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225" tabRatio="701" activeTab="12"/>
  </bookViews>
  <sheets>
    <sheet name="Overview" sheetId="48" r:id="rId1"/>
    <sheet name="Solar" sheetId="28" r:id="rId2"/>
    <sheet name="Land" sheetId="11" r:id="rId3"/>
    <sheet name="X" sheetId="22" r:id="rId4"/>
    <sheet name="X_irr" sheetId="26" r:id="rId5"/>
    <sheet name="LandUse" sheetId="39" r:id="rId6"/>
    <sheet name="SolarE" sheetId="42" r:id="rId7"/>
    <sheet name="SusForest" sheetId="27" r:id="rId8"/>
    <sheet name="BioE" sheetId="40" r:id="rId9"/>
    <sheet name="WindE" sheetId="43" r:id="rId10"/>
    <sheet name="HydroE" sheetId="44" r:id="rId11"/>
    <sheet name="GeoE" sheetId="45" r:id="rId12"/>
    <sheet name="results" sheetId="46" r:id="rId13"/>
    <sheet name="indicators" sheetId="49" r:id="rId14"/>
    <sheet name="TC_land" sheetId="17" r:id="rId15"/>
    <sheet name="M" sheetId="24" r:id="rId16"/>
    <sheet name="G" sheetId="41" r:id="rId17"/>
    <sheet name="A_min" sheetId="13" r:id="rId18"/>
    <sheet name="A_mode" sheetId="18" r:id="rId19"/>
    <sheet name="A_max" sheetId="19" r:id="rId20"/>
    <sheet name="A_d" sheetId="20" r:id="rId21"/>
    <sheet name="Input" sheetId="21" r:id="rId22"/>
    <sheet name="Conversion factors" sheetId="6" r:id="rId23"/>
  </sheets>
  <definedNames>
    <definedName name="_xlchart.v1.0" hidden="1">X!$A$11</definedName>
    <definedName name="_xlchart.v1.1" hidden="1">X!$A$12</definedName>
    <definedName name="_xlchart.v1.10" hidden="1">X!$A$21</definedName>
    <definedName name="_xlchart.v1.11" hidden="1">X!$A$22</definedName>
    <definedName name="_xlchart.v1.12" hidden="1">X!$A$23</definedName>
    <definedName name="_xlchart.v1.13" hidden="1">X!$A$8</definedName>
    <definedName name="_xlchart.v1.14" hidden="1">X!$A$9</definedName>
    <definedName name="_xlchart.v1.15" hidden="1">X!$C$11:$I$11</definedName>
    <definedName name="_xlchart.v1.16" hidden="1">X!$C$12:$I$12</definedName>
    <definedName name="_xlchart.v1.17" hidden="1">X!$C$13:$I$13</definedName>
    <definedName name="_xlchart.v1.18" hidden="1">X!$C$14:$I$14</definedName>
    <definedName name="_xlchart.v1.19" hidden="1">X!$C$15:$I$15</definedName>
    <definedName name="_xlchart.v1.2" hidden="1">X!$A$13</definedName>
    <definedName name="_xlchart.v1.20" hidden="1">X!$C$16:$I$16</definedName>
    <definedName name="_xlchart.v1.21" hidden="1">X!$C$17:$I$17</definedName>
    <definedName name="_xlchart.v1.22" hidden="1">X!$C$18:$I$18</definedName>
    <definedName name="_xlchart.v1.23" hidden="1">X!$C$19:$I$19</definedName>
    <definedName name="_xlchart.v1.24" hidden="1">X!$C$20:$I$20</definedName>
    <definedName name="_xlchart.v1.25" hidden="1">X!$C$21:$I$21</definedName>
    <definedName name="_xlchart.v1.26" hidden="1">X!$C$22:$I$22</definedName>
    <definedName name="_xlchart.v1.27" hidden="1">X!$C$23:$I$23</definedName>
    <definedName name="_xlchart.v1.28" hidden="1">X!$C$8:$I$8</definedName>
    <definedName name="_xlchart.v1.29" hidden="1">X!$C$9:$I$9</definedName>
    <definedName name="_xlchart.v1.3" hidden="1">X!$A$14</definedName>
    <definedName name="_xlchart.v1.30" hidden="1">X_irr!$A$11</definedName>
    <definedName name="_xlchart.v1.31" hidden="1">X_irr!$A$12</definedName>
    <definedName name="_xlchart.v1.32" hidden="1">X_irr!$A$13</definedName>
    <definedName name="_xlchart.v1.33" hidden="1">X_irr!$A$14</definedName>
    <definedName name="_xlchart.v1.34" hidden="1">X_irr!$A$15</definedName>
    <definedName name="_xlchart.v1.35" hidden="1">X_irr!$A$16</definedName>
    <definedName name="_xlchart.v1.36" hidden="1">X_irr!$A$17</definedName>
    <definedName name="_xlchart.v1.37" hidden="1">X_irr!$A$18</definedName>
    <definedName name="_xlchart.v1.38" hidden="1">X_irr!$A$19</definedName>
    <definedName name="_xlchart.v1.39" hidden="1">X_irr!$A$20</definedName>
    <definedName name="_xlchart.v1.4" hidden="1">X!$A$15</definedName>
    <definedName name="_xlchart.v1.40" hidden="1">X_irr!$A$21</definedName>
    <definedName name="_xlchart.v1.41" hidden="1">X_irr!$A$22</definedName>
    <definedName name="_xlchart.v1.42" hidden="1">X_irr!$A$23</definedName>
    <definedName name="_xlchart.v1.43" hidden="1">X_irr!$A$8</definedName>
    <definedName name="_xlchart.v1.44" hidden="1">X_irr!$A$9</definedName>
    <definedName name="_xlchart.v1.45" hidden="1">X_irr!$C$11:$I$11</definedName>
    <definedName name="_xlchart.v1.46" hidden="1">X_irr!$C$12:$I$12</definedName>
    <definedName name="_xlchart.v1.47" hidden="1">X_irr!$C$13:$I$13</definedName>
    <definedName name="_xlchart.v1.48" hidden="1">X_irr!$C$14:$I$14</definedName>
    <definedName name="_xlchart.v1.49" hidden="1">X_irr!$C$15:$I$15</definedName>
    <definedName name="_xlchart.v1.5" hidden="1">X!$A$16</definedName>
    <definedName name="_xlchart.v1.50" hidden="1">X_irr!$C$16:$I$16</definedName>
    <definedName name="_xlchart.v1.51" hidden="1">X_irr!$C$17:$I$17</definedName>
    <definedName name="_xlchart.v1.52" hidden="1">X_irr!$C$18:$I$18</definedName>
    <definedName name="_xlchart.v1.53" hidden="1">X_irr!$C$19:$I$19</definedName>
    <definedName name="_xlchart.v1.54" hidden="1">X_irr!$C$20:$I$20</definedName>
    <definedName name="_xlchart.v1.55" hidden="1">X_irr!$C$21:$I$21</definedName>
    <definedName name="_xlchart.v1.56" hidden="1">X_irr!$C$22:$I$22</definedName>
    <definedName name="_xlchart.v1.57" hidden="1">X_irr!$C$23:$I$23</definedName>
    <definedName name="_xlchart.v1.58" hidden="1">X_irr!$C$8:$I$8</definedName>
    <definedName name="_xlchart.v1.59" hidden="1">X_irr!$C$9:$I$9</definedName>
    <definedName name="_xlchart.v1.6" hidden="1">X!$A$17</definedName>
    <definedName name="_xlchart.v1.7" hidden="1">X!$A$18</definedName>
    <definedName name="_xlchart.v1.8" hidden="1">X!$A$19</definedName>
    <definedName name="_xlchart.v1.9" hidden="1">X!$A$20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9" l="1"/>
  <c r="J88" i="39"/>
  <c r="K88" i="39"/>
  <c r="I88" i="39"/>
  <c r="J79" i="39" l="1"/>
  <c r="K79" i="39"/>
  <c r="I79" i="39" l="1"/>
  <c r="H96" i="46" l="1"/>
  <c r="I96" i="46"/>
  <c r="J96" i="46"/>
  <c r="K96" i="46"/>
  <c r="L96" i="46"/>
  <c r="G100" i="46" l="1"/>
  <c r="G106" i="46" s="1"/>
  <c r="Q96" i="46" l="1"/>
  <c r="P96" i="46"/>
  <c r="K46" i="39" l="1"/>
  <c r="J40" i="39" l="1"/>
  <c r="J57" i="39"/>
  <c r="J46" i="39"/>
  <c r="C74" i="39"/>
  <c r="D79" i="39"/>
  <c r="K44" i="39" l="1"/>
  <c r="M28" i="49" l="1"/>
  <c r="M29" i="49"/>
  <c r="M30" i="49"/>
  <c r="M31" i="49"/>
  <c r="M32" i="49"/>
  <c r="M33" i="49"/>
  <c r="M34" i="49"/>
  <c r="M35" i="49"/>
  <c r="M36" i="49"/>
  <c r="M48" i="49"/>
  <c r="M49" i="49"/>
  <c r="M50" i="49"/>
  <c r="M51" i="49"/>
  <c r="M52" i="49"/>
  <c r="M53" i="49"/>
  <c r="M54" i="49"/>
  <c r="M55" i="49"/>
  <c r="M56" i="49"/>
  <c r="M20" i="49"/>
  <c r="M14" i="49"/>
  <c r="M24" i="49" s="1"/>
  <c r="M39" i="49" l="1"/>
  <c r="M40" i="49" s="1"/>
  <c r="M65" i="49"/>
  <c r="M61" i="49"/>
  <c r="M67" i="49"/>
  <c r="M87" i="49" s="1"/>
  <c r="M63" i="49"/>
  <c r="M83" i="49" s="1"/>
  <c r="M37" i="49"/>
  <c r="M66" i="49"/>
  <c r="M86" i="49" s="1"/>
  <c r="M62" i="49"/>
  <c r="M82" i="49" s="1"/>
  <c r="M57" i="49"/>
  <c r="M68" i="49"/>
  <c r="M64" i="49"/>
  <c r="M60" i="49"/>
  <c r="M85" i="49"/>
  <c r="M81" i="49"/>
  <c r="M43" i="49" l="1"/>
  <c r="M42" i="49"/>
  <c r="M80" i="49"/>
  <c r="M84" i="49"/>
  <c r="M88" i="49"/>
  <c r="D20" i="49" l="1"/>
  <c r="F14" i="49" l="1"/>
  <c r="F22" i="49" s="1"/>
  <c r="G14" i="49"/>
  <c r="G37" i="49" s="1"/>
  <c r="H14" i="49"/>
  <c r="H37" i="49" s="1"/>
  <c r="I14" i="49"/>
  <c r="J14" i="49"/>
  <c r="J37" i="49" s="1"/>
  <c r="G20" i="49"/>
  <c r="F20" i="49"/>
  <c r="F28" i="49"/>
  <c r="G28" i="49"/>
  <c r="H28" i="49"/>
  <c r="I28" i="49"/>
  <c r="J28" i="49"/>
  <c r="F29" i="49"/>
  <c r="G29" i="49"/>
  <c r="H29" i="49"/>
  <c r="I29" i="49"/>
  <c r="J29" i="49"/>
  <c r="F30" i="49"/>
  <c r="G30" i="49"/>
  <c r="H30" i="49"/>
  <c r="I30" i="49"/>
  <c r="J30" i="49"/>
  <c r="F31" i="49"/>
  <c r="G31" i="49"/>
  <c r="H31" i="49"/>
  <c r="I31" i="49"/>
  <c r="J31" i="49"/>
  <c r="F32" i="49"/>
  <c r="G32" i="49"/>
  <c r="H32" i="49"/>
  <c r="I32" i="49"/>
  <c r="J32" i="49"/>
  <c r="F33" i="49"/>
  <c r="G33" i="49"/>
  <c r="H33" i="49"/>
  <c r="I33" i="49"/>
  <c r="J33" i="49"/>
  <c r="F34" i="49"/>
  <c r="G34" i="49"/>
  <c r="H34" i="49"/>
  <c r="I34" i="49"/>
  <c r="J34" i="49"/>
  <c r="F35" i="49"/>
  <c r="G35" i="49"/>
  <c r="H35" i="49"/>
  <c r="I35" i="49"/>
  <c r="J35" i="49"/>
  <c r="F36" i="49"/>
  <c r="G36" i="49"/>
  <c r="H36" i="49"/>
  <c r="I36" i="49"/>
  <c r="J36" i="49"/>
  <c r="F37" i="49"/>
  <c r="L28" i="49"/>
  <c r="N28" i="49"/>
  <c r="O28" i="49"/>
  <c r="P28" i="49"/>
  <c r="L29" i="49"/>
  <c r="N29" i="49"/>
  <c r="O29" i="49"/>
  <c r="P29" i="49"/>
  <c r="L30" i="49"/>
  <c r="N30" i="49"/>
  <c r="O30" i="49"/>
  <c r="P30" i="49"/>
  <c r="L31" i="49"/>
  <c r="N31" i="49"/>
  <c r="O31" i="49"/>
  <c r="P31" i="49"/>
  <c r="L32" i="49"/>
  <c r="N32" i="49"/>
  <c r="O32" i="49"/>
  <c r="P32" i="49"/>
  <c r="L33" i="49"/>
  <c r="N33" i="49"/>
  <c r="O33" i="49"/>
  <c r="P33" i="49"/>
  <c r="L34" i="49"/>
  <c r="N34" i="49"/>
  <c r="O34" i="49"/>
  <c r="P34" i="49"/>
  <c r="L35" i="49"/>
  <c r="N35" i="49"/>
  <c r="O35" i="49"/>
  <c r="P35" i="49"/>
  <c r="L36" i="49"/>
  <c r="N36" i="49"/>
  <c r="O36" i="49"/>
  <c r="P36" i="49"/>
  <c r="L48" i="49"/>
  <c r="N48" i="49"/>
  <c r="O48" i="49"/>
  <c r="P48" i="49"/>
  <c r="L49" i="49"/>
  <c r="N49" i="49"/>
  <c r="O49" i="49"/>
  <c r="P49" i="49"/>
  <c r="L50" i="49"/>
  <c r="N50" i="49"/>
  <c r="O50" i="49"/>
  <c r="P50" i="49"/>
  <c r="L51" i="49"/>
  <c r="N51" i="49"/>
  <c r="O51" i="49"/>
  <c r="P51" i="49"/>
  <c r="L52" i="49"/>
  <c r="N52" i="49"/>
  <c r="O52" i="49"/>
  <c r="P52" i="49"/>
  <c r="L53" i="49"/>
  <c r="N53" i="49"/>
  <c r="O53" i="49"/>
  <c r="P53" i="49"/>
  <c r="L54" i="49"/>
  <c r="N54" i="49"/>
  <c r="O54" i="49"/>
  <c r="P54" i="49"/>
  <c r="L55" i="49"/>
  <c r="N55" i="49"/>
  <c r="O55" i="49"/>
  <c r="P55" i="49"/>
  <c r="L56" i="49"/>
  <c r="L68" i="49" s="1"/>
  <c r="N56" i="49"/>
  <c r="N68" i="49" s="1"/>
  <c r="N88" i="49" s="1"/>
  <c r="O56" i="49"/>
  <c r="O68" i="49" s="1"/>
  <c r="P56" i="49"/>
  <c r="L60" i="49"/>
  <c r="K28" i="49"/>
  <c r="K29" i="49"/>
  <c r="K30" i="49"/>
  <c r="K31" i="49"/>
  <c r="K32" i="49"/>
  <c r="K33" i="49"/>
  <c r="K34" i="49"/>
  <c r="K35" i="49"/>
  <c r="K36" i="49"/>
  <c r="K48" i="49"/>
  <c r="K49" i="49"/>
  <c r="K50" i="49"/>
  <c r="K51" i="49"/>
  <c r="K52" i="49"/>
  <c r="K53" i="49"/>
  <c r="K54" i="49"/>
  <c r="K55" i="49"/>
  <c r="K56" i="49"/>
  <c r="E14" i="49"/>
  <c r="E37" i="49" s="1"/>
  <c r="E32" i="49"/>
  <c r="E36" i="49"/>
  <c r="E28" i="49"/>
  <c r="E29" i="49"/>
  <c r="E30" i="49"/>
  <c r="E31" i="49"/>
  <c r="E33" i="49"/>
  <c r="E34" i="49"/>
  <c r="E35" i="49"/>
  <c r="D28" i="49"/>
  <c r="D29" i="49"/>
  <c r="D30" i="49"/>
  <c r="D31" i="49"/>
  <c r="D32" i="49"/>
  <c r="D33" i="49"/>
  <c r="D34" i="49"/>
  <c r="D35" i="49"/>
  <c r="D36" i="49"/>
  <c r="C29" i="49"/>
  <c r="C30" i="49"/>
  <c r="C31" i="49"/>
  <c r="C32" i="49"/>
  <c r="C33" i="49"/>
  <c r="C34" i="49"/>
  <c r="C35" i="49"/>
  <c r="C36" i="49"/>
  <c r="C37" i="49"/>
  <c r="C28" i="49"/>
  <c r="E39" i="49" l="1"/>
  <c r="E40" i="49" s="1"/>
  <c r="E42" i="49" s="1"/>
  <c r="E43" i="49"/>
  <c r="F39" i="49"/>
  <c r="F40" i="49" s="1"/>
  <c r="D39" i="49"/>
  <c r="D40" i="49" s="1"/>
  <c r="I39" i="49"/>
  <c r="I40" i="49" s="1"/>
  <c r="L39" i="49"/>
  <c r="L40" i="49" s="1"/>
  <c r="H39" i="49"/>
  <c r="H40" i="49" s="1"/>
  <c r="O39" i="49"/>
  <c r="O40" i="49" s="1"/>
  <c r="K39" i="49"/>
  <c r="K40" i="49" s="1"/>
  <c r="N39" i="49"/>
  <c r="N40" i="49" s="1"/>
  <c r="G39" i="49"/>
  <c r="G40" i="49" s="1"/>
  <c r="C39" i="49"/>
  <c r="P39" i="49"/>
  <c r="P40" i="49" s="1"/>
  <c r="J39" i="49"/>
  <c r="J40" i="49" s="1"/>
  <c r="P64" i="49"/>
  <c r="P68" i="49"/>
  <c r="P88" i="49" s="1"/>
  <c r="P60" i="49"/>
  <c r="P80" i="49" s="1"/>
  <c r="L64" i="49"/>
  <c r="L84" i="49" s="1"/>
  <c r="F48" i="49"/>
  <c r="F50" i="49"/>
  <c r="F55" i="49"/>
  <c r="F53" i="49"/>
  <c r="F49" i="49"/>
  <c r="F54" i="49"/>
  <c r="F51" i="49"/>
  <c r="F57" i="49"/>
  <c r="F24" i="49"/>
  <c r="J22" i="49"/>
  <c r="J20" i="49"/>
  <c r="F56" i="49"/>
  <c r="F52" i="49"/>
  <c r="I37" i="49"/>
  <c r="H22" i="49"/>
  <c r="G22" i="49"/>
  <c r="H20" i="49"/>
  <c r="I22" i="49"/>
  <c r="I57" i="49" s="1"/>
  <c r="O67" i="49"/>
  <c r="O87" i="49" s="1"/>
  <c r="O66" i="49"/>
  <c r="O86" i="49" s="1"/>
  <c r="O62" i="49"/>
  <c r="O82" i="49" s="1"/>
  <c r="N67" i="49"/>
  <c r="N87" i="49" s="1"/>
  <c r="N63" i="49"/>
  <c r="N83" i="49" s="1"/>
  <c r="O88" i="49"/>
  <c r="N60" i="49"/>
  <c r="N80" i="49" s="1"/>
  <c r="L67" i="49"/>
  <c r="L87" i="49" s="1"/>
  <c r="L61" i="49"/>
  <c r="L81" i="49" s="1"/>
  <c r="O65" i="49"/>
  <c r="O85" i="49" s="1"/>
  <c r="N66" i="49"/>
  <c r="N86" i="49" s="1"/>
  <c r="P67" i="49"/>
  <c r="P87" i="49" s="1"/>
  <c r="P61" i="49"/>
  <c r="P81" i="49" s="1"/>
  <c r="P63" i="49"/>
  <c r="L63" i="49"/>
  <c r="N62" i="49"/>
  <c r="O61" i="49"/>
  <c r="L88" i="49"/>
  <c r="P84" i="49"/>
  <c r="L80" i="49"/>
  <c r="P66" i="49"/>
  <c r="L66" i="49"/>
  <c r="N65" i="49"/>
  <c r="O64" i="49"/>
  <c r="P62" i="49"/>
  <c r="L62" i="49"/>
  <c r="N61" i="49"/>
  <c r="O60" i="49"/>
  <c r="P65" i="49"/>
  <c r="L65" i="49"/>
  <c r="N64" i="49"/>
  <c r="O63" i="49"/>
  <c r="K60" i="49"/>
  <c r="K80" i="49" s="1"/>
  <c r="E20" i="49"/>
  <c r="K68" i="49"/>
  <c r="K64" i="49"/>
  <c r="K84" i="49" s="1"/>
  <c r="K67" i="49"/>
  <c r="K87" i="49" s="1"/>
  <c r="K65" i="49"/>
  <c r="K85" i="49" s="1"/>
  <c r="K66" i="49"/>
  <c r="K86" i="49" s="1"/>
  <c r="K61" i="49"/>
  <c r="K81" i="49" s="1"/>
  <c r="K63" i="49"/>
  <c r="K62" i="49"/>
  <c r="E22" i="49"/>
  <c r="E48" i="49" s="1"/>
  <c r="P20" i="49"/>
  <c r="O20" i="49"/>
  <c r="N20" i="49"/>
  <c r="L20" i="49"/>
  <c r="K20" i="49"/>
  <c r="P14" i="49"/>
  <c r="O14" i="49"/>
  <c r="N14" i="49"/>
  <c r="L14" i="49"/>
  <c r="K14" i="49"/>
  <c r="D43" i="49" l="1"/>
  <c r="D42" i="49"/>
  <c r="H43" i="49"/>
  <c r="H42" i="49"/>
  <c r="N43" i="49"/>
  <c r="N42" i="49"/>
  <c r="L43" i="49"/>
  <c r="L42" i="49"/>
  <c r="O43" i="49"/>
  <c r="O42" i="49"/>
  <c r="F43" i="49"/>
  <c r="F42" i="49"/>
  <c r="P43" i="49"/>
  <c r="P42" i="49"/>
  <c r="K43" i="49"/>
  <c r="K42" i="49"/>
  <c r="I42" i="49"/>
  <c r="I43" i="49"/>
  <c r="F63" i="49"/>
  <c r="F83" i="49" s="1"/>
  <c r="I24" i="49"/>
  <c r="F68" i="49"/>
  <c r="F88" i="49" s="1"/>
  <c r="E49" i="49"/>
  <c r="E50" i="49"/>
  <c r="H48" i="49"/>
  <c r="H52" i="49"/>
  <c r="H56" i="49"/>
  <c r="H49" i="49"/>
  <c r="H53" i="49"/>
  <c r="H57" i="49"/>
  <c r="H50" i="49"/>
  <c r="H54" i="49"/>
  <c r="H24" i="49"/>
  <c r="H51" i="49"/>
  <c r="H55" i="49"/>
  <c r="F61" i="49"/>
  <c r="F60" i="49"/>
  <c r="G49" i="49"/>
  <c r="G53" i="49"/>
  <c r="G57" i="49"/>
  <c r="G52" i="49"/>
  <c r="G50" i="49"/>
  <c r="G54" i="49"/>
  <c r="G56" i="49"/>
  <c r="G51" i="49"/>
  <c r="G55" i="49"/>
  <c r="G48" i="49"/>
  <c r="G24" i="49"/>
  <c r="F67" i="49"/>
  <c r="I20" i="49"/>
  <c r="F62" i="49"/>
  <c r="J50" i="49"/>
  <c r="J54" i="49"/>
  <c r="J57" i="49"/>
  <c r="J24" i="49"/>
  <c r="J51" i="49"/>
  <c r="J55" i="49"/>
  <c r="J48" i="49"/>
  <c r="J52" i="49"/>
  <c r="J56" i="49"/>
  <c r="J49" i="49"/>
  <c r="J53" i="49"/>
  <c r="I51" i="49"/>
  <c r="I55" i="49"/>
  <c r="I54" i="49"/>
  <c r="I48" i="49"/>
  <c r="I52" i="49"/>
  <c r="I56" i="49"/>
  <c r="I50" i="49"/>
  <c r="I49" i="49"/>
  <c r="I53" i="49"/>
  <c r="F64" i="49"/>
  <c r="F66" i="49"/>
  <c r="F65" i="49"/>
  <c r="L24" i="49"/>
  <c r="L37" i="49"/>
  <c r="L57" i="49"/>
  <c r="O24" i="49"/>
  <c r="O37" i="49"/>
  <c r="O57" i="49"/>
  <c r="N24" i="49"/>
  <c r="N57" i="49"/>
  <c r="N37" i="49"/>
  <c r="P24" i="49"/>
  <c r="P57" i="49"/>
  <c r="P37" i="49"/>
  <c r="E53" i="49"/>
  <c r="N81" i="49"/>
  <c r="L83" i="49"/>
  <c r="L82" i="49"/>
  <c r="N85" i="49"/>
  <c r="P83" i="49"/>
  <c r="P85" i="49"/>
  <c r="O84" i="49"/>
  <c r="P82" i="49"/>
  <c r="L86" i="49"/>
  <c r="O81" i="49"/>
  <c r="O83" i="49"/>
  <c r="N84" i="49"/>
  <c r="L85" i="49"/>
  <c r="O80" i="49"/>
  <c r="P86" i="49"/>
  <c r="N82" i="49"/>
  <c r="E55" i="49"/>
  <c r="K57" i="49"/>
  <c r="K37" i="49"/>
  <c r="K88" i="49"/>
  <c r="K83" i="49"/>
  <c r="K82" i="49"/>
  <c r="K24" i="49"/>
  <c r="E52" i="49"/>
  <c r="E57" i="49"/>
  <c r="E51" i="49"/>
  <c r="E54" i="49"/>
  <c r="E56" i="49"/>
  <c r="E24" i="49"/>
  <c r="J42" i="49" l="1"/>
  <c r="J43" i="49"/>
  <c r="G42" i="49"/>
  <c r="G43" i="49"/>
  <c r="I68" i="49"/>
  <c r="I88" i="49" s="1"/>
  <c r="J65" i="49"/>
  <c r="G67" i="49"/>
  <c r="G87" i="49" s="1"/>
  <c r="H63" i="49"/>
  <c r="H83" i="49" s="1"/>
  <c r="F84" i="49"/>
  <c r="F85" i="49"/>
  <c r="I65" i="49"/>
  <c r="I64" i="49"/>
  <c r="I63" i="49"/>
  <c r="J61" i="49"/>
  <c r="J67" i="49"/>
  <c r="J66" i="49"/>
  <c r="F87" i="49"/>
  <c r="G63" i="49"/>
  <c r="G64" i="49"/>
  <c r="F80" i="49"/>
  <c r="H65" i="49"/>
  <c r="H60" i="49"/>
  <c r="I67" i="49"/>
  <c r="J60" i="49"/>
  <c r="G62" i="49"/>
  <c r="H64" i="49"/>
  <c r="I61" i="49"/>
  <c r="I60" i="49"/>
  <c r="J68" i="49"/>
  <c r="J63" i="49"/>
  <c r="J62" i="49"/>
  <c r="G68" i="49"/>
  <c r="F81" i="49"/>
  <c r="H66" i="49"/>
  <c r="H61" i="49"/>
  <c r="G61" i="49"/>
  <c r="F86" i="49"/>
  <c r="I62" i="49"/>
  <c r="I66" i="49"/>
  <c r="J64" i="49"/>
  <c r="F82" i="49"/>
  <c r="G60" i="49"/>
  <c r="G66" i="49"/>
  <c r="G65" i="49"/>
  <c r="H67" i="49"/>
  <c r="H62" i="49"/>
  <c r="H68" i="49"/>
  <c r="E63" i="49"/>
  <c r="E83" i="49" s="1"/>
  <c r="E65" i="49"/>
  <c r="E85" i="49" s="1"/>
  <c r="E62" i="49"/>
  <c r="E82" i="49" s="1"/>
  <c r="E66" i="49"/>
  <c r="E64" i="49"/>
  <c r="E84" i="49" s="1"/>
  <c r="E67" i="49"/>
  <c r="E87" i="49" s="1"/>
  <c r="E60" i="49"/>
  <c r="E80" i="49" s="1"/>
  <c r="E61" i="49"/>
  <c r="E81" i="49" s="1"/>
  <c r="E68" i="49"/>
  <c r="E88" i="49" s="1"/>
  <c r="J85" i="49" l="1"/>
  <c r="I86" i="49"/>
  <c r="H84" i="49"/>
  <c r="G85" i="49"/>
  <c r="G82" i="49"/>
  <c r="I83" i="49"/>
  <c r="H87" i="49"/>
  <c r="G81" i="49"/>
  <c r="I87" i="49"/>
  <c r="J81" i="49"/>
  <c r="I82" i="49"/>
  <c r="H81" i="49"/>
  <c r="G88" i="49"/>
  <c r="H88" i="49"/>
  <c r="G86" i="49"/>
  <c r="H86" i="49"/>
  <c r="J82" i="49"/>
  <c r="I80" i="49"/>
  <c r="J80" i="49"/>
  <c r="H80" i="49"/>
  <c r="G84" i="49"/>
  <c r="J86" i="49"/>
  <c r="I84" i="49"/>
  <c r="J88" i="49"/>
  <c r="H82" i="49"/>
  <c r="G80" i="49"/>
  <c r="J84" i="49"/>
  <c r="J83" i="49"/>
  <c r="I81" i="49"/>
  <c r="H85" i="49"/>
  <c r="G83" i="49"/>
  <c r="J87" i="49"/>
  <c r="I85" i="49"/>
  <c r="E86" i="49"/>
  <c r="C22" i="49" l="1"/>
  <c r="C20" i="49"/>
  <c r="D14" i="49"/>
  <c r="C51" i="49" l="1"/>
  <c r="C55" i="49"/>
  <c r="C49" i="49"/>
  <c r="C57" i="49"/>
  <c r="C54" i="49"/>
  <c r="C52" i="49"/>
  <c r="C56" i="49"/>
  <c r="C53" i="49"/>
  <c r="C50" i="49"/>
  <c r="C48" i="49"/>
  <c r="D22" i="49"/>
  <c r="D57" i="49" s="1"/>
  <c r="D37" i="49"/>
  <c r="C24" i="49"/>
  <c r="F22" i="44"/>
  <c r="G22" i="44"/>
  <c r="E22" i="44"/>
  <c r="C62" i="49" l="1"/>
  <c r="C66" i="49"/>
  <c r="M76" i="49" s="1"/>
  <c r="C65" i="49"/>
  <c r="M75" i="49" s="1"/>
  <c r="C63" i="49"/>
  <c r="M73" i="49" s="1"/>
  <c r="C68" i="49"/>
  <c r="M78" i="49" s="1"/>
  <c r="C61" i="49"/>
  <c r="M71" i="49" s="1"/>
  <c r="D48" i="49"/>
  <c r="D52" i="49"/>
  <c r="D56" i="49"/>
  <c r="D50" i="49"/>
  <c r="D55" i="49"/>
  <c r="D49" i="49"/>
  <c r="D53" i="49"/>
  <c r="D54" i="49"/>
  <c r="D51" i="49"/>
  <c r="D24" i="49"/>
  <c r="C60" i="49"/>
  <c r="M70" i="49" s="1"/>
  <c r="C64" i="49"/>
  <c r="M74" i="49" s="1"/>
  <c r="C67" i="49"/>
  <c r="M77" i="49" s="1"/>
  <c r="K18" i="22"/>
  <c r="L18" i="22"/>
  <c r="M18" i="22"/>
  <c r="K19" i="22"/>
  <c r="L19" i="22"/>
  <c r="M19" i="22"/>
  <c r="K20" i="22"/>
  <c r="L20" i="22"/>
  <c r="M20" i="22"/>
  <c r="K21" i="22"/>
  <c r="L21" i="22"/>
  <c r="M21" i="22"/>
  <c r="K22" i="22"/>
  <c r="L22" i="22"/>
  <c r="M22" i="22"/>
  <c r="K23" i="22"/>
  <c r="L23" i="22"/>
  <c r="M23" i="22"/>
  <c r="M17" i="22"/>
  <c r="L17" i="22"/>
  <c r="K17" i="22"/>
  <c r="L25" i="22" l="1"/>
  <c r="L26" i="22"/>
  <c r="C82" i="49"/>
  <c r="M72" i="49"/>
  <c r="F77" i="49"/>
  <c r="H77" i="49"/>
  <c r="I77" i="49"/>
  <c r="J77" i="49"/>
  <c r="G77" i="49"/>
  <c r="F75" i="49"/>
  <c r="J75" i="49"/>
  <c r="G75" i="49"/>
  <c r="H75" i="49"/>
  <c r="I75" i="49"/>
  <c r="F72" i="49"/>
  <c r="I72" i="49"/>
  <c r="H72" i="49"/>
  <c r="G72" i="49"/>
  <c r="J72" i="49"/>
  <c r="F70" i="49"/>
  <c r="J70" i="49"/>
  <c r="I70" i="49"/>
  <c r="H70" i="49"/>
  <c r="G70" i="49"/>
  <c r="I78" i="49"/>
  <c r="F78" i="49"/>
  <c r="G78" i="49"/>
  <c r="H78" i="49"/>
  <c r="J78" i="49"/>
  <c r="F76" i="49"/>
  <c r="H76" i="49"/>
  <c r="G76" i="49"/>
  <c r="I76" i="49"/>
  <c r="J76" i="49"/>
  <c r="F74" i="49"/>
  <c r="G74" i="49"/>
  <c r="J74" i="49"/>
  <c r="H74" i="49"/>
  <c r="I74" i="49"/>
  <c r="F71" i="49"/>
  <c r="I71" i="49"/>
  <c r="J71" i="49"/>
  <c r="G71" i="49"/>
  <c r="H71" i="49"/>
  <c r="F73" i="49"/>
  <c r="G73" i="49"/>
  <c r="H73" i="49"/>
  <c r="I73" i="49"/>
  <c r="J73" i="49"/>
  <c r="K70" i="49"/>
  <c r="L70" i="49"/>
  <c r="N70" i="49"/>
  <c r="P70" i="49"/>
  <c r="O70" i="49"/>
  <c r="K78" i="49"/>
  <c r="N78" i="49"/>
  <c r="O78" i="49"/>
  <c r="L78" i="49"/>
  <c r="P78" i="49"/>
  <c r="D61" i="49"/>
  <c r="D81" i="49" s="1"/>
  <c r="D64" i="49"/>
  <c r="D84" i="49" s="1"/>
  <c r="C86" i="49"/>
  <c r="O76" i="49"/>
  <c r="N76" i="49"/>
  <c r="L76" i="49"/>
  <c r="P76" i="49"/>
  <c r="K77" i="49"/>
  <c r="O77" i="49"/>
  <c r="P77" i="49"/>
  <c r="L77" i="49"/>
  <c r="N77" i="49"/>
  <c r="K75" i="49"/>
  <c r="O75" i="49"/>
  <c r="N75" i="49"/>
  <c r="L75" i="49"/>
  <c r="P75" i="49"/>
  <c r="C72" i="49"/>
  <c r="O72" i="49"/>
  <c r="P72" i="49"/>
  <c r="N72" i="49"/>
  <c r="L72" i="49"/>
  <c r="K74" i="49"/>
  <c r="L74" i="49"/>
  <c r="P74" i="49"/>
  <c r="O74" i="49"/>
  <c r="N74" i="49"/>
  <c r="K71" i="49"/>
  <c r="L71" i="49"/>
  <c r="P71" i="49"/>
  <c r="O71" i="49"/>
  <c r="N71" i="49"/>
  <c r="K73" i="49"/>
  <c r="N73" i="49"/>
  <c r="L73" i="49"/>
  <c r="O73" i="49"/>
  <c r="P73" i="49"/>
  <c r="C76" i="49"/>
  <c r="K76" i="49"/>
  <c r="E72" i="49"/>
  <c r="K72" i="49"/>
  <c r="E76" i="49"/>
  <c r="C75" i="49"/>
  <c r="C85" i="49"/>
  <c r="E75" i="49"/>
  <c r="D63" i="49"/>
  <c r="D83" i="49" s="1"/>
  <c r="D60" i="49"/>
  <c r="D80" i="49" s="1"/>
  <c r="C87" i="49"/>
  <c r="C77" i="49"/>
  <c r="E77" i="49"/>
  <c r="D67" i="49"/>
  <c r="D87" i="49" s="1"/>
  <c r="C74" i="49"/>
  <c r="C84" i="49"/>
  <c r="E74" i="49"/>
  <c r="D66" i="49"/>
  <c r="D62" i="49"/>
  <c r="C81" i="49"/>
  <c r="C71" i="49"/>
  <c r="E71" i="49"/>
  <c r="C83" i="49"/>
  <c r="C73" i="49"/>
  <c r="E73" i="49"/>
  <c r="C80" i="49"/>
  <c r="C70" i="49"/>
  <c r="E70" i="49"/>
  <c r="D65" i="49"/>
  <c r="D85" i="49" s="1"/>
  <c r="D68" i="49"/>
  <c r="D88" i="49" s="1"/>
  <c r="C78" i="49"/>
  <c r="C88" i="49"/>
  <c r="E78" i="49"/>
  <c r="K26" i="22"/>
  <c r="M26" i="22"/>
  <c r="K25" i="22"/>
  <c r="M25" i="22"/>
  <c r="C72" i="46"/>
  <c r="C74" i="46"/>
  <c r="M90" i="49" l="1"/>
  <c r="M25" i="49" s="1"/>
  <c r="F90" i="49"/>
  <c r="F25" i="49" s="1"/>
  <c r="I90" i="49"/>
  <c r="I25" i="49" s="1"/>
  <c r="G90" i="49"/>
  <c r="G25" i="49" s="1"/>
  <c r="H90" i="49"/>
  <c r="H25" i="49" s="1"/>
  <c r="J90" i="49"/>
  <c r="J25" i="49" s="1"/>
  <c r="D71" i="49"/>
  <c r="L90" i="49"/>
  <c r="L25" i="49" s="1"/>
  <c r="P90" i="49"/>
  <c r="P25" i="49" s="1"/>
  <c r="N90" i="49"/>
  <c r="N25" i="49" s="1"/>
  <c r="D74" i="49"/>
  <c r="O90" i="49"/>
  <c r="O25" i="49" s="1"/>
  <c r="K90" i="49"/>
  <c r="K25" i="49" s="1"/>
  <c r="D70" i="49"/>
  <c r="D73" i="49"/>
  <c r="D82" i="49"/>
  <c r="D72" i="49"/>
  <c r="D75" i="49"/>
  <c r="D78" i="49"/>
  <c r="E90" i="49"/>
  <c r="E25" i="49" s="1"/>
  <c r="D77" i="49"/>
  <c r="C90" i="49"/>
  <c r="C25" i="49" s="1"/>
  <c r="D86" i="49"/>
  <c r="D76" i="49"/>
  <c r="O67" i="46"/>
  <c r="O76" i="46"/>
  <c r="N67" i="46"/>
  <c r="N76" i="46"/>
  <c r="K67" i="46"/>
  <c r="K76" i="46"/>
  <c r="J67" i="46"/>
  <c r="J76" i="46"/>
  <c r="G67" i="46"/>
  <c r="G68" i="46"/>
  <c r="G69" i="46"/>
  <c r="G70" i="46"/>
  <c r="G71" i="46"/>
  <c r="G73" i="46"/>
  <c r="G76" i="46"/>
  <c r="G77" i="46"/>
  <c r="G78" i="46"/>
  <c r="F67" i="46"/>
  <c r="F68" i="46"/>
  <c r="F69" i="46"/>
  <c r="F70" i="46"/>
  <c r="F71" i="46"/>
  <c r="F73" i="46"/>
  <c r="F76" i="46"/>
  <c r="F77" i="46"/>
  <c r="F78" i="46"/>
  <c r="K68" i="46" l="1"/>
  <c r="O68" i="46"/>
  <c r="J68" i="46"/>
  <c r="N68" i="46"/>
  <c r="K70" i="46"/>
  <c r="O70" i="46"/>
  <c r="J77" i="46"/>
  <c r="N77" i="46"/>
  <c r="K77" i="46"/>
  <c r="O77" i="46"/>
  <c r="N71" i="46"/>
  <c r="J71" i="46"/>
  <c r="N70" i="46"/>
  <c r="J70" i="46"/>
  <c r="O71" i="46"/>
  <c r="K71" i="46"/>
  <c r="O69" i="46"/>
  <c r="K69" i="46"/>
  <c r="N69" i="46"/>
  <c r="J69" i="46"/>
  <c r="J78" i="46"/>
  <c r="N78" i="46"/>
  <c r="K78" i="46"/>
  <c r="O78" i="46"/>
  <c r="J73" i="46"/>
  <c r="N73" i="46"/>
  <c r="K73" i="46"/>
  <c r="O73" i="46"/>
  <c r="D90" i="49"/>
  <c r="D25" i="49" s="1"/>
  <c r="F15" i="42"/>
  <c r="F9" i="42" l="1"/>
  <c r="G9" i="42"/>
  <c r="E9" i="42"/>
  <c r="F4" i="42"/>
  <c r="E73" i="46" l="1"/>
  <c r="M73" i="46" l="1"/>
  <c r="C73" i="46" s="1"/>
  <c r="I73" i="46"/>
  <c r="G26" i="40"/>
  <c r="F26" i="40"/>
  <c r="E26" i="40"/>
  <c r="G20" i="40"/>
  <c r="F20" i="40"/>
  <c r="E20" i="40"/>
  <c r="G16" i="40"/>
  <c r="F16" i="40"/>
  <c r="E16" i="40"/>
  <c r="G11" i="40"/>
  <c r="G12" i="40"/>
  <c r="G10" i="40"/>
  <c r="F11" i="40"/>
  <c r="F12" i="40"/>
  <c r="F10" i="40"/>
  <c r="E11" i="40"/>
  <c r="E12" i="40"/>
  <c r="E10" i="40"/>
  <c r="F13" i="40" l="1"/>
  <c r="G13" i="40"/>
  <c r="E13" i="40"/>
  <c r="C17" i="46"/>
  <c r="C18" i="46"/>
  <c r="C19" i="46"/>
  <c r="C20" i="46"/>
  <c r="C21" i="46"/>
  <c r="C22" i="46"/>
  <c r="C23" i="46"/>
  <c r="C24" i="46"/>
  <c r="C16" i="46"/>
  <c r="C9" i="46"/>
  <c r="C8" i="46"/>
  <c r="C5" i="46"/>
  <c r="C6" i="46"/>
  <c r="C7" i="46"/>
  <c r="C4" i="46"/>
  <c r="C14" i="46" l="1"/>
  <c r="D14" i="46" s="1"/>
  <c r="C12" i="46"/>
  <c r="D12" i="46" s="1"/>
  <c r="C11" i="46"/>
  <c r="D4" i="46"/>
  <c r="D11" i="46" l="1"/>
  <c r="D8" i="46"/>
  <c r="D7" i="46"/>
  <c r="D21" i="46"/>
  <c r="D17" i="46"/>
  <c r="D22" i="46"/>
  <c r="D18" i="46"/>
  <c r="D20" i="46"/>
  <c r="D6" i="46"/>
  <c r="D19" i="46"/>
  <c r="D5" i="46"/>
  <c r="D24" i="46"/>
  <c r="D16" i="46"/>
  <c r="D23" i="46"/>
  <c r="D9" i="46"/>
  <c r="J94" i="46"/>
  <c r="J100" i="46" s="1"/>
  <c r="L100" i="46"/>
  <c r="K100" i="46"/>
  <c r="I100" i="46"/>
  <c r="H100" i="46"/>
  <c r="E69" i="46"/>
  <c r="M69" i="46" l="1"/>
  <c r="I69" i="46"/>
  <c r="D93" i="46" s="1"/>
  <c r="C93" i="46"/>
  <c r="C69" i="46"/>
  <c r="F20" i="45"/>
  <c r="G20" i="45"/>
  <c r="E20" i="45"/>
  <c r="F15" i="45"/>
  <c r="G17" i="45"/>
  <c r="E17" i="45"/>
  <c r="F17" i="45" s="1"/>
  <c r="G16" i="45"/>
  <c r="G18" i="45" s="1"/>
  <c r="E16" i="45"/>
  <c r="E18" i="45"/>
  <c r="F14" i="45"/>
  <c r="D96" i="46"/>
  <c r="E96" i="46"/>
  <c r="C96" i="46"/>
  <c r="E93" i="46" l="1"/>
  <c r="F16" i="45"/>
  <c r="F18" i="45"/>
  <c r="M76" i="46" l="1"/>
  <c r="I76" i="46"/>
  <c r="E78" i="46"/>
  <c r="E76" i="46"/>
  <c r="E77" i="46"/>
  <c r="E71" i="46"/>
  <c r="E70" i="46"/>
  <c r="E68" i="46"/>
  <c r="M67" i="46"/>
  <c r="C67" i="46" s="1"/>
  <c r="I67" i="46"/>
  <c r="E67" i="46"/>
  <c r="F36" i="46"/>
  <c r="F37" i="46"/>
  <c r="G37" i="46"/>
  <c r="E36" i="46"/>
  <c r="E37" i="46"/>
  <c r="C44" i="46"/>
  <c r="D44" i="46" s="1"/>
  <c r="C45" i="46"/>
  <c r="D45" i="46" s="1"/>
  <c r="C46" i="46"/>
  <c r="D46" i="46" s="1"/>
  <c r="C47" i="46"/>
  <c r="D47" i="46" s="1"/>
  <c r="C48" i="46"/>
  <c r="D48" i="46" s="1"/>
  <c r="C49" i="46"/>
  <c r="D49" i="46" s="1"/>
  <c r="C50" i="46"/>
  <c r="D50" i="46" s="1"/>
  <c r="C51" i="46"/>
  <c r="D51" i="46" s="1"/>
  <c r="C43" i="46"/>
  <c r="D43" i="46" s="1"/>
  <c r="C30" i="46"/>
  <c r="C31" i="46"/>
  <c r="C32" i="46"/>
  <c r="C33" i="46"/>
  <c r="C34" i="46"/>
  <c r="C35" i="46"/>
  <c r="C36" i="46"/>
  <c r="C37" i="46"/>
  <c r="C29" i="46"/>
  <c r="C92" i="46" l="1"/>
  <c r="M68" i="46"/>
  <c r="I68" i="46"/>
  <c r="C98" i="46"/>
  <c r="M77" i="46"/>
  <c r="I77" i="46"/>
  <c r="C94" i="46"/>
  <c r="M70" i="46"/>
  <c r="I70" i="46"/>
  <c r="C95" i="46"/>
  <c r="I71" i="46"/>
  <c r="M71" i="46"/>
  <c r="C99" i="46"/>
  <c r="M78" i="46"/>
  <c r="I78" i="46"/>
  <c r="C76" i="46"/>
  <c r="C38" i="46"/>
  <c r="C52" i="46"/>
  <c r="D52" i="46" s="1"/>
  <c r="G52" i="43"/>
  <c r="C52" i="43"/>
  <c r="E52" i="43" s="1"/>
  <c r="D94" i="46" l="1"/>
  <c r="C70" i="46"/>
  <c r="D98" i="46"/>
  <c r="C77" i="46"/>
  <c r="C78" i="46"/>
  <c r="D99" i="46"/>
  <c r="D95" i="46"/>
  <c r="C71" i="46"/>
  <c r="D92" i="46"/>
  <c r="G8" i="45"/>
  <c r="F8" i="45"/>
  <c r="E8" i="45"/>
  <c r="G7" i="45"/>
  <c r="F7" i="45"/>
  <c r="E7" i="45"/>
  <c r="G5" i="45"/>
  <c r="F5" i="45"/>
  <c r="E5" i="45"/>
  <c r="G4" i="45"/>
  <c r="C4" i="45"/>
  <c r="E4" i="45" s="1"/>
  <c r="F39" i="44"/>
  <c r="G39" i="44"/>
  <c r="E39" i="44"/>
  <c r="G38" i="44"/>
  <c r="F38" i="44"/>
  <c r="E38" i="44"/>
  <c r="C68" i="46" l="1"/>
  <c r="E94" i="46"/>
  <c r="E98" i="46"/>
  <c r="E99" i="46"/>
  <c r="E95" i="46"/>
  <c r="E92" i="46"/>
  <c r="E9" i="45"/>
  <c r="E11" i="45" s="1"/>
  <c r="G9" i="45"/>
  <c r="G11" i="45" s="1"/>
  <c r="F9" i="45"/>
  <c r="F11" i="45" s="1"/>
  <c r="G33" i="44"/>
  <c r="E33" i="44"/>
  <c r="C33" i="44"/>
  <c r="G56" i="43" l="1"/>
  <c r="F56" i="43"/>
  <c r="E56" i="43"/>
  <c r="F51" i="43"/>
  <c r="G49" i="43"/>
  <c r="F49" i="43"/>
  <c r="F50" i="43" s="1"/>
  <c r="E49" i="43"/>
  <c r="G48" i="43"/>
  <c r="C48" i="43"/>
  <c r="E48" i="43" s="1"/>
  <c r="F25" i="44" l="1"/>
  <c r="F26" i="44" s="1"/>
  <c r="G25" i="44"/>
  <c r="G26" i="44" s="1"/>
  <c r="E25" i="44"/>
  <c r="E26" i="44" s="1"/>
  <c r="C13" i="46" s="1"/>
  <c r="D13" i="46" s="1"/>
  <c r="G4" i="44"/>
  <c r="G13" i="44" s="1"/>
  <c r="F4" i="44"/>
  <c r="F13" i="44" s="1"/>
  <c r="E4" i="44"/>
  <c r="E13" i="44" s="1"/>
  <c r="G21" i="44"/>
  <c r="F21" i="44"/>
  <c r="E21" i="44"/>
  <c r="G14" i="44"/>
  <c r="F11" i="44"/>
  <c r="F15" i="44" s="1"/>
  <c r="E15" i="44"/>
  <c r="G6" i="44"/>
  <c r="G9" i="44" s="1"/>
  <c r="F6" i="44"/>
  <c r="F9" i="44" s="1"/>
  <c r="E6" i="44"/>
  <c r="E9" i="44" s="1"/>
  <c r="E14" i="44" l="1"/>
  <c r="E27" i="44"/>
  <c r="F14" i="44"/>
  <c r="G15" i="44"/>
  <c r="D73" i="43"/>
  <c r="E73" i="43"/>
  <c r="F73" i="43"/>
  <c r="G73" i="43"/>
  <c r="H73" i="43"/>
  <c r="I73" i="43"/>
  <c r="J73" i="43"/>
  <c r="K73" i="43"/>
  <c r="L73" i="43"/>
  <c r="M73" i="43"/>
  <c r="N73" i="43"/>
  <c r="O73" i="43"/>
  <c r="P73" i="43"/>
  <c r="Q73" i="43"/>
  <c r="R73" i="43"/>
  <c r="S73" i="43"/>
  <c r="T73" i="43"/>
  <c r="U73" i="43"/>
  <c r="V73" i="43"/>
  <c r="W73" i="43"/>
  <c r="C73" i="43"/>
  <c r="D72" i="43"/>
  <c r="E66" i="46" s="1"/>
  <c r="C91" i="46" s="1"/>
  <c r="E72" i="43"/>
  <c r="F72" i="43"/>
  <c r="F66" i="46" s="1"/>
  <c r="G72" i="43"/>
  <c r="H72" i="43"/>
  <c r="G66" i="46" s="1"/>
  <c r="I72" i="43"/>
  <c r="J72" i="43"/>
  <c r="K72" i="43"/>
  <c r="I66" i="46" s="1"/>
  <c r="D91" i="46" s="1"/>
  <c r="L72" i="43"/>
  <c r="M72" i="43"/>
  <c r="J66" i="46" s="1"/>
  <c r="N72" i="43"/>
  <c r="O72" i="43"/>
  <c r="K66" i="46" s="1"/>
  <c r="P72" i="43"/>
  <c r="Q72" i="43"/>
  <c r="R72" i="43"/>
  <c r="M66" i="46" s="1"/>
  <c r="S72" i="43"/>
  <c r="T72" i="43"/>
  <c r="N66" i="46" s="1"/>
  <c r="U72" i="43"/>
  <c r="V72" i="43"/>
  <c r="O66" i="46" s="1"/>
  <c r="W72" i="43"/>
  <c r="C72" i="43"/>
  <c r="E91" i="46" l="1"/>
  <c r="C66" i="46"/>
  <c r="E30" i="44"/>
  <c r="G30" i="44"/>
  <c r="G27" i="44"/>
  <c r="F27" i="44"/>
  <c r="F30" i="44"/>
  <c r="G38" i="43"/>
  <c r="F38" i="43"/>
  <c r="E38" i="43"/>
  <c r="G37" i="43"/>
  <c r="F37" i="43"/>
  <c r="E37" i="43"/>
  <c r="G45" i="43"/>
  <c r="F45" i="43"/>
  <c r="E45" i="43"/>
  <c r="G29" i="43"/>
  <c r="F29" i="43"/>
  <c r="E29" i="43"/>
  <c r="G28" i="43"/>
  <c r="F28" i="43"/>
  <c r="E28" i="43"/>
  <c r="F7" i="43"/>
  <c r="C7" i="43"/>
  <c r="G6" i="43"/>
  <c r="C6" i="43"/>
  <c r="E6" i="43" s="1"/>
  <c r="G42" i="43"/>
  <c r="C42" i="43"/>
  <c r="E42" i="43" s="1"/>
  <c r="G4" i="43"/>
  <c r="C4" i="43"/>
  <c r="E4" i="43" s="1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W36" i="42"/>
  <c r="V36" i="42"/>
  <c r="O75" i="46" s="1"/>
  <c r="O79" i="46" s="1"/>
  <c r="U36" i="42"/>
  <c r="T36" i="42"/>
  <c r="N75" i="46" s="1"/>
  <c r="N79" i="46" s="1"/>
  <c r="S36" i="42"/>
  <c r="R36" i="42"/>
  <c r="M75" i="46" s="1"/>
  <c r="Q36" i="42"/>
  <c r="P36" i="42"/>
  <c r="O36" i="42"/>
  <c r="K75" i="46" s="1"/>
  <c r="K79" i="46" s="1"/>
  <c r="N36" i="42"/>
  <c r="M36" i="42"/>
  <c r="J75" i="46" s="1"/>
  <c r="J79" i="46" s="1"/>
  <c r="L36" i="42"/>
  <c r="K36" i="42"/>
  <c r="I75" i="46" s="1"/>
  <c r="J36" i="42"/>
  <c r="I36" i="42"/>
  <c r="H36" i="42"/>
  <c r="G75" i="46" s="1"/>
  <c r="G79" i="46" s="1"/>
  <c r="G36" i="42"/>
  <c r="F36" i="42"/>
  <c r="F75" i="46" s="1"/>
  <c r="F79" i="46" s="1"/>
  <c r="E36" i="42"/>
  <c r="D36" i="42"/>
  <c r="E75" i="46" s="1"/>
  <c r="C36" i="42"/>
  <c r="C75" i="46" l="1"/>
  <c r="E97" i="46"/>
  <c r="E100" i="46" s="1"/>
  <c r="E106" i="46" s="1"/>
  <c r="M79" i="46"/>
  <c r="D97" i="46"/>
  <c r="D100" i="46" s="1"/>
  <c r="I79" i="46"/>
  <c r="E79" i="46"/>
  <c r="C97" i="46"/>
  <c r="C100" i="46" s="1"/>
  <c r="G51" i="43"/>
  <c r="G50" i="43"/>
  <c r="E51" i="43"/>
  <c r="E50" i="43"/>
  <c r="E7" i="43"/>
  <c r="E9" i="43" s="1"/>
  <c r="G7" i="43"/>
  <c r="G9" i="43" s="1"/>
  <c r="F9" i="43"/>
  <c r="G20" i="42"/>
  <c r="E20" i="42"/>
  <c r="F18" i="42"/>
  <c r="F17" i="42"/>
  <c r="F7" i="42"/>
  <c r="F6" i="42"/>
  <c r="C79" i="46" l="1"/>
  <c r="Q79" i="46"/>
  <c r="P67" i="46"/>
  <c r="R67" i="46" s="1"/>
  <c r="P71" i="46"/>
  <c r="R71" i="46" s="1"/>
  <c r="P66" i="46"/>
  <c r="R66" i="46" s="1"/>
  <c r="P77" i="46"/>
  <c r="R77" i="46" s="1"/>
  <c r="P78" i="46"/>
  <c r="R78" i="46" s="1"/>
  <c r="P68" i="46"/>
  <c r="R68" i="46" s="1"/>
  <c r="P72" i="46"/>
  <c r="R72" i="46" s="1"/>
  <c r="P73" i="46"/>
  <c r="R73" i="46" s="1"/>
  <c r="P74" i="46"/>
  <c r="R74" i="46" s="1"/>
  <c r="P69" i="46"/>
  <c r="R69" i="46" s="1"/>
  <c r="P70" i="46"/>
  <c r="R70" i="46" s="1"/>
  <c r="P76" i="46"/>
  <c r="R76" i="46" s="1"/>
  <c r="P75" i="46"/>
  <c r="R75" i="46" s="1"/>
  <c r="F20" i="42"/>
  <c r="Q67" i="46" l="1"/>
  <c r="Q71" i="46"/>
  <c r="Q66" i="46"/>
  <c r="Q72" i="46"/>
  <c r="Q69" i="46"/>
  <c r="Q77" i="46"/>
  <c r="Q74" i="46"/>
  <c r="Q68" i="46"/>
  <c r="Q73" i="46"/>
  <c r="Q78" i="46"/>
  <c r="Q70" i="46"/>
  <c r="Q76" i="46"/>
  <c r="Q75" i="46"/>
  <c r="C78" i="39" l="1"/>
  <c r="J14" i="39" l="1"/>
  <c r="J15" i="39"/>
  <c r="F72" i="39" s="1"/>
  <c r="C80" i="39" s="1"/>
  <c r="S5" i="39"/>
  <c r="T5" i="39"/>
  <c r="T52" i="39" s="1"/>
  <c r="U5" i="39"/>
  <c r="U52" i="39" s="1"/>
  <c r="S6" i="39"/>
  <c r="T6" i="39"/>
  <c r="T53" i="39" s="1"/>
  <c r="U6" i="39"/>
  <c r="U53" i="39" s="1"/>
  <c r="S7" i="39"/>
  <c r="T7" i="39"/>
  <c r="T37" i="39" s="1"/>
  <c r="U7" i="39"/>
  <c r="U54" i="39" s="1"/>
  <c r="S8" i="39"/>
  <c r="T8" i="39"/>
  <c r="T55" i="39" s="1"/>
  <c r="U8" i="39"/>
  <c r="U55" i="39" s="1"/>
  <c r="S9" i="39"/>
  <c r="T9" i="39"/>
  <c r="T39" i="39" s="1"/>
  <c r="U9" i="39"/>
  <c r="U56" i="39" s="1"/>
  <c r="S10" i="39"/>
  <c r="T10" i="39"/>
  <c r="T57" i="39" s="1"/>
  <c r="U10" i="39"/>
  <c r="U57" i="39" s="1"/>
  <c r="S11" i="39"/>
  <c r="T11" i="39"/>
  <c r="T58" i="39" s="1"/>
  <c r="U11" i="39"/>
  <c r="U58" i="39" s="1"/>
  <c r="S12" i="39"/>
  <c r="T12" i="39"/>
  <c r="T59" i="39" s="1"/>
  <c r="U12" i="39"/>
  <c r="U59" i="39" s="1"/>
  <c r="U4" i="39"/>
  <c r="U51" i="39" s="1"/>
  <c r="T4" i="39"/>
  <c r="T51" i="39" s="1"/>
  <c r="S4" i="39"/>
  <c r="X12" i="39" l="1"/>
  <c r="G51" i="46" s="1"/>
  <c r="W12" i="39"/>
  <c r="F51" i="46" s="1"/>
  <c r="V12" i="39"/>
  <c r="E51" i="46" s="1"/>
  <c r="S55" i="39"/>
  <c r="S56" i="39"/>
  <c r="S52" i="39"/>
  <c r="W11" i="39"/>
  <c r="F50" i="46" s="1"/>
  <c r="V11" i="39"/>
  <c r="E50" i="46" s="1"/>
  <c r="X11" i="39"/>
  <c r="G50" i="46" s="1"/>
  <c r="S54" i="39"/>
  <c r="U40" i="39"/>
  <c r="S42" i="39"/>
  <c r="V42" i="39" s="1"/>
  <c r="I51" i="46" s="1"/>
  <c r="S37" i="39"/>
  <c r="T56" i="39"/>
  <c r="S59" i="39"/>
  <c r="V59" i="39" s="1"/>
  <c r="M51" i="46" s="1"/>
  <c r="S34" i="39"/>
  <c r="S38" i="39"/>
  <c r="U36" i="39"/>
  <c r="T35" i="39"/>
  <c r="T40" i="39"/>
  <c r="U41" i="39"/>
  <c r="U35" i="39"/>
  <c r="T54" i="39"/>
  <c r="U34" i="39"/>
  <c r="S39" i="39"/>
  <c r="U37" i="39"/>
  <c r="T36" i="39"/>
  <c r="S35" i="39"/>
  <c r="U42" i="39"/>
  <c r="T41" i="39"/>
  <c r="U39" i="39"/>
  <c r="T38" i="39"/>
  <c r="T34" i="39"/>
  <c r="U38" i="39"/>
  <c r="S36" i="39"/>
  <c r="S40" i="39"/>
  <c r="T42" i="39"/>
  <c r="S41" i="39"/>
  <c r="V41" i="39" s="1"/>
  <c r="I50" i="46" s="1"/>
  <c r="S51" i="39"/>
  <c r="S53" i="39"/>
  <c r="S57" i="39"/>
  <c r="S58" i="39"/>
  <c r="V58" i="39" s="1"/>
  <c r="M50" i="46" s="1"/>
  <c r="S14" i="39"/>
  <c r="S15" i="39"/>
  <c r="C14" i="41"/>
  <c r="C13" i="41"/>
  <c r="C12" i="41"/>
  <c r="C11" i="41"/>
  <c r="C10" i="41"/>
  <c r="C9" i="41"/>
  <c r="C8" i="41"/>
  <c r="C7" i="41"/>
  <c r="C6" i="41"/>
  <c r="C5" i="41"/>
  <c r="F52" i="40"/>
  <c r="G52" i="40"/>
  <c r="E52" i="40"/>
  <c r="G51" i="40"/>
  <c r="C51" i="40"/>
  <c r="E51" i="40" s="1"/>
  <c r="G48" i="40"/>
  <c r="E48" i="40"/>
  <c r="G43" i="40"/>
  <c r="E43" i="40"/>
  <c r="G41" i="40"/>
  <c r="E41" i="40"/>
  <c r="G39" i="40"/>
  <c r="E39" i="40"/>
  <c r="G42" i="40"/>
  <c r="G40" i="40"/>
  <c r="G38" i="40"/>
  <c r="C42" i="40"/>
  <c r="E42" i="40" s="1"/>
  <c r="C40" i="40"/>
  <c r="E40" i="40" s="1"/>
  <c r="C38" i="40"/>
  <c r="E38" i="40" s="1"/>
  <c r="G36" i="40"/>
  <c r="G37" i="40" s="1"/>
  <c r="C36" i="40"/>
  <c r="E36" i="40" s="1"/>
  <c r="E37" i="40" s="1"/>
  <c r="G7" i="40"/>
  <c r="G6" i="40"/>
  <c r="D6" i="40" s="1"/>
  <c r="F6" i="40"/>
  <c r="F7" i="40" s="1"/>
  <c r="D5" i="40"/>
  <c r="C5" i="40"/>
  <c r="E4" i="40"/>
  <c r="E6" i="40" s="1"/>
  <c r="D4" i="40"/>
  <c r="W42" i="39" l="1"/>
  <c r="J51" i="46" s="1"/>
  <c r="S45" i="39"/>
  <c r="W41" i="39"/>
  <c r="J50" i="46" s="1"/>
  <c r="S44" i="39"/>
  <c r="V51" i="39"/>
  <c r="M43" i="46" s="1"/>
  <c r="W58" i="39"/>
  <c r="N50" i="46" s="1"/>
  <c r="S61" i="39"/>
  <c r="S62" i="39"/>
  <c r="W59" i="39"/>
  <c r="N51" i="46" s="1"/>
  <c r="E46" i="40"/>
  <c r="G46" i="40"/>
  <c r="C6" i="40"/>
  <c r="E7" i="40"/>
  <c r="F41" i="40"/>
  <c r="F37" i="40"/>
  <c r="F39" i="40"/>
  <c r="F43" i="40"/>
  <c r="F48" i="40" l="1"/>
  <c r="F46" i="40"/>
  <c r="D78" i="39" l="1"/>
  <c r="D80" i="39"/>
  <c r="X42" i="39"/>
  <c r="K51" i="46" s="1"/>
  <c r="X41" i="39"/>
  <c r="K50" i="46" s="1"/>
  <c r="H5" i="39"/>
  <c r="H52" i="39" s="1"/>
  <c r="H6" i="39"/>
  <c r="H53" i="39" s="1"/>
  <c r="H7" i="39"/>
  <c r="H54" i="39" s="1"/>
  <c r="H8" i="39"/>
  <c r="H38" i="39" s="1"/>
  <c r="H9" i="39"/>
  <c r="H56" i="39" s="1"/>
  <c r="H10" i="39"/>
  <c r="H57" i="39" s="1"/>
  <c r="H11" i="39"/>
  <c r="H58" i="39" s="1"/>
  <c r="H12" i="39"/>
  <c r="H42" i="39" s="1"/>
  <c r="H4" i="39"/>
  <c r="K5" i="39"/>
  <c r="K6" i="39"/>
  <c r="K7" i="39"/>
  <c r="K8" i="39"/>
  <c r="K9" i="39"/>
  <c r="K10" i="39"/>
  <c r="K11" i="39"/>
  <c r="K12" i="39"/>
  <c r="J18" i="39"/>
  <c r="G5" i="39"/>
  <c r="G52" i="39" s="1"/>
  <c r="G6" i="39"/>
  <c r="G53" i="39" s="1"/>
  <c r="G7" i="39"/>
  <c r="G54" i="39" s="1"/>
  <c r="G8" i="39"/>
  <c r="G55" i="39" s="1"/>
  <c r="G9" i="39"/>
  <c r="G56" i="39" s="1"/>
  <c r="G10" i="39"/>
  <c r="G57" i="39" s="1"/>
  <c r="G11" i="39"/>
  <c r="G58" i="39" s="1"/>
  <c r="G12" i="39"/>
  <c r="G59" i="39" s="1"/>
  <c r="F5" i="39"/>
  <c r="F6" i="39"/>
  <c r="F7" i="39"/>
  <c r="F8" i="39"/>
  <c r="F9" i="39"/>
  <c r="F10" i="39"/>
  <c r="F11" i="39"/>
  <c r="F12" i="39"/>
  <c r="F59" i="39" s="1"/>
  <c r="G4" i="39"/>
  <c r="E5" i="39"/>
  <c r="E52" i="39" s="1"/>
  <c r="E6" i="39"/>
  <c r="E53" i="39" s="1"/>
  <c r="E7" i="39"/>
  <c r="E54" i="39" s="1"/>
  <c r="E8" i="39"/>
  <c r="E55" i="39" s="1"/>
  <c r="E9" i="39"/>
  <c r="E56" i="39" s="1"/>
  <c r="E10" i="39"/>
  <c r="E57" i="39" s="1"/>
  <c r="E11" i="39"/>
  <c r="E58" i="39" s="1"/>
  <c r="E12" i="39"/>
  <c r="E59" i="39" s="1"/>
  <c r="D5" i="39"/>
  <c r="D52" i="39" s="1"/>
  <c r="D6" i="39"/>
  <c r="D53" i="39" s="1"/>
  <c r="D7" i="39"/>
  <c r="D54" i="39" s="1"/>
  <c r="D8" i="39"/>
  <c r="D55" i="39" s="1"/>
  <c r="D9" i="39"/>
  <c r="D56" i="39" s="1"/>
  <c r="D10" i="39"/>
  <c r="D57" i="39" s="1"/>
  <c r="D11" i="39"/>
  <c r="D58" i="39" s="1"/>
  <c r="D12" i="39"/>
  <c r="D59" i="39" s="1"/>
  <c r="C5" i="39"/>
  <c r="C52" i="39" s="1"/>
  <c r="C6" i="39"/>
  <c r="C53" i="39" s="1"/>
  <c r="C7" i="39"/>
  <c r="C54" i="39" s="1"/>
  <c r="C8" i="39"/>
  <c r="C55" i="39" s="1"/>
  <c r="C9" i="39"/>
  <c r="C56" i="39" s="1"/>
  <c r="C10" i="39"/>
  <c r="C57" i="39" s="1"/>
  <c r="C11" i="39"/>
  <c r="C58" i="39" s="1"/>
  <c r="C12" i="39"/>
  <c r="C59" i="39" s="1"/>
  <c r="E4" i="39"/>
  <c r="D4" i="39"/>
  <c r="C4" i="39"/>
  <c r="I4" i="39"/>
  <c r="F4" i="39"/>
  <c r="F58" i="39" l="1"/>
  <c r="M36" i="46" s="1"/>
  <c r="G36" i="46"/>
  <c r="F57" i="39"/>
  <c r="K4" i="39"/>
  <c r="I15" i="39"/>
  <c r="F71" i="39" s="1"/>
  <c r="I14" i="39"/>
  <c r="G51" i="39"/>
  <c r="G15" i="39"/>
  <c r="G21" i="39" s="1"/>
  <c r="C51" i="39"/>
  <c r="C62" i="39" s="1"/>
  <c r="C14" i="39"/>
  <c r="C15" i="39"/>
  <c r="C18" i="39" s="1"/>
  <c r="D51" i="39"/>
  <c r="D15" i="39"/>
  <c r="D22" i="39" s="1"/>
  <c r="H51" i="39"/>
  <c r="H15" i="39"/>
  <c r="H23" i="39" s="1"/>
  <c r="F15" i="39"/>
  <c r="F26" i="39" s="1"/>
  <c r="F14" i="39"/>
  <c r="E51" i="39"/>
  <c r="E15" i="39"/>
  <c r="E24" i="39" s="1"/>
  <c r="L6" i="39"/>
  <c r="L9" i="39"/>
  <c r="L5" i="39"/>
  <c r="L8" i="39"/>
  <c r="F34" i="39"/>
  <c r="C40" i="39"/>
  <c r="M37" i="46"/>
  <c r="G36" i="39"/>
  <c r="G42" i="39"/>
  <c r="E39" i="39"/>
  <c r="C36" i="39"/>
  <c r="N37" i="46"/>
  <c r="E41" i="39"/>
  <c r="G38" i="39"/>
  <c r="E35" i="39"/>
  <c r="E85" i="39"/>
  <c r="G40" i="39"/>
  <c r="E37" i="39"/>
  <c r="H55" i="39"/>
  <c r="C42" i="39"/>
  <c r="C38" i="39"/>
  <c r="C34" i="39"/>
  <c r="E34" i="39"/>
  <c r="F42" i="39"/>
  <c r="H41" i="39"/>
  <c r="D41" i="39"/>
  <c r="F40" i="39"/>
  <c r="N40" i="39" s="1"/>
  <c r="H39" i="39"/>
  <c r="D39" i="39"/>
  <c r="F38" i="39"/>
  <c r="H37" i="39"/>
  <c r="D37" i="39"/>
  <c r="F36" i="39"/>
  <c r="H35" i="39"/>
  <c r="D35" i="39"/>
  <c r="E81" i="39"/>
  <c r="E84" i="39"/>
  <c r="O37" i="46"/>
  <c r="X59" i="39"/>
  <c r="O51" i="46" s="1"/>
  <c r="H34" i="39"/>
  <c r="D34" i="39"/>
  <c r="E42" i="39"/>
  <c r="G41" i="39"/>
  <c r="C41" i="39"/>
  <c r="E40" i="39"/>
  <c r="G39" i="39"/>
  <c r="C39" i="39"/>
  <c r="E38" i="39"/>
  <c r="G37" i="39"/>
  <c r="C37" i="39"/>
  <c r="E36" i="39"/>
  <c r="G35" i="39"/>
  <c r="C35" i="39"/>
  <c r="E87" i="39"/>
  <c r="E83" i="39"/>
  <c r="H59" i="39"/>
  <c r="X58" i="39"/>
  <c r="O50" i="46" s="1"/>
  <c r="G34" i="39"/>
  <c r="D42" i="39"/>
  <c r="F41" i="39"/>
  <c r="H40" i="39"/>
  <c r="D40" i="39"/>
  <c r="F39" i="39"/>
  <c r="D38" i="39"/>
  <c r="F37" i="39"/>
  <c r="H36" i="39"/>
  <c r="D36" i="39"/>
  <c r="F35" i="39"/>
  <c r="E86" i="39"/>
  <c r="E82" i="39"/>
  <c r="F54" i="39"/>
  <c r="F52" i="39"/>
  <c r="F51" i="39"/>
  <c r="P51" i="39" s="1"/>
  <c r="M29" i="46" s="1"/>
  <c r="F55" i="39"/>
  <c r="F53" i="39"/>
  <c r="F56" i="39"/>
  <c r="L7" i="39"/>
  <c r="L4" i="39"/>
  <c r="L10" i="39"/>
  <c r="J26" i="39"/>
  <c r="J25" i="39"/>
  <c r="J23" i="39"/>
  <c r="J19" i="39"/>
  <c r="J22" i="39"/>
  <c r="J21" i="39"/>
  <c r="J24" i="39"/>
  <c r="J20" i="39"/>
  <c r="C79" i="39" l="1"/>
  <c r="O4" i="39"/>
  <c r="I46" i="39"/>
  <c r="N4" i="39"/>
  <c r="W4" i="39" s="1"/>
  <c r="F43" i="46" s="1"/>
  <c r="O36" i="46"/>
  <c r="N36" i="46"/>
  <c r="I37" i="46"/>
  <c r="Q4" i="39"/>
  <c r="F29" i="46" s="1"/>
  <c r="M4" i="39"/>
  <c r="V4" i="39" s="1"/>
  <c r="E43" i="46" s="1"/>
  <c r="D25" i="39"/>
  <c r="C44" i="39"/>
  <c r="C45" i="39"/>
  <c r="C61" i="39"/>
  <c r="F45" i="39"/>
  <c r="F44" i="39"/>
  <c r="K43" i="39" s="1"/>
  <c r="J37" i="46"/>
  <c r="H18" i="39"/>
  <c r="H26" i="39"/>
  <c r="H21" i="39"/>
  <c r="K37" i="46"/>
  <c r="K14" i="39"/>
  <c r="K15" i="39"/>
  <c r="K24" i="39" s="1"/>
  <c r="D20" i="39"/>
  <c r="D26" i="39"/>
  <c r="D24" i="39"/>
  <c r="H20" i="39"/>
  <c r="H24" i="39"/>
  <c r="D21" i="39"/>
  <c r="H22" i="39"/>
  <c r="H19" i="39"/>
  <c r="H25" i="39"/>
  <c r="C22" i="39"/>
  <c r="F61" i="39"/>
  <c r="F62" i="39"/>
  <c r="J36" i="46"/>
  <c r="K36" i="46"/>
  <c r="Y51" i="39"/>
  <c r="I36" i="46"/>
  <c r="D18" i="39"/>
  <c r="D23" i="39"/>
  <c r="D19" i="39"/>
  <c r="F22" i="39"/>
  <c r="C21" i="39"/>
  <c r="E22" i="39"/>
  <c r="G25" i="39"/>
  <c r="G22" i="39"/>
  <c r="E21" i="39"/>
  <c r="E25" i="39"/>
  <c r="E19" i="39"/>
  <c r="G20" i="39"/>
  <c r="E26" i="39"/>
  <c r="C26" i="39"/>
  <c r="E23" i="39"/>
  <c r="I19" i="39"/>
  <c r="I20" i="39"/>
  <c r="I21" i="39"/>
  <c r="I22" i="39"/>
  <c r="I23" i="39"/>
  <c r="I24" i="39"/>
  <c r="I25" i="39"/>
  <c r="I26" i="39"/>
  <c r="F20" i="39"/>
  <c r="F23" i="39"/>
  <c r="F25" i="39"/>
  <c r="F21" i="39"/>
  <c r="F19" i="39"/>
  <c r="F24" i="39"/>
  <c r="E20" i="39"/>
  <c r="C20" i="39"/>
  <c r="C25" i="39"/>
  <c r="G19" i="39"/>
  <c r="E18" i="39"/>
  <c r="G24" i="39"/>
  <c r="I18" i="39"/>
  <c r="C19" i="39"/>
  <c r="G26" i="39"/>
  <c r="C24" i="39"/>
  <c r="C23" i="39"/>
  <c r="G23" i="39"/>
  <c r="G18" i="39"/>
  <c r="F18" i="39"/>
  <c r="O5" i="39" l="1"/>
  <c r="X4" i="39"/>
  <c r="R4" i="39"/>
  <c r="N57" i="39"/>
  <c r="W57" i="39" s="1"/>
  <c r="N49" i="46" s="1"/>
  <c r="I35" i="39"/>
  <c r="M35" i="39" s="1"/>
  <c r="I39" i="39"/>
  <c r="M39" i="39" s="1"/>
  <c r="M56" i="39" s="1"/>
  <c r="P56" i="39" s="1"/>
  <c r="M34" i="46" s="1"/>
  <c r="I41" i="39"/>
  <c r="I38" i="39"/>
  <c r="M38" i="39" s="1"/>
  <c r="I42" i="39"/>
  <c r="I36" i="39"/>
  <c r="M36" i="39" s="1"/>
  <c r="M53" i="39" s="1"/>
  <c r="I40" i="39"/>
  <c r="I37" i="39"/>
  <c r="M37" i="39" s="1"/>
  <c r="V37" i="39" s="1"/>
  <c r="I34" i="39"/>
  <c r="P35" i="39"/>
  <c r="I30" i="46" s="1"/>
  <c r="K39" i="39"/>
  <c r="O39" i="39" s="1"/>
  <c r="K38" i="39"/>
  <c r="O38" i="39" s="1"/>
  <c r="K34" i="39"/>
  <c r="O34" i="39" s="1"/>
  <c r="O51" i="39" s="1"/>
  <c r="K36" i="39"/>
  <c r="O36" i="39" s="1"/>
  <c r="O53" i="39" s="1"/>
  <c r="V35" i="39"/>
  <c r="I44" i="46" s="1"/>
  <c r="K37" i="39"/>
  <c r="O37" i="39" s="1"/>
  <c r="O54" i="39" s="1"/>
  <c r="K41" i="39"/>
  <c r="K35" i="39"/>
  <c r="O35" i="39" s="1"/>
  <c r="K42" i="39"/>
  <c r="K18" i="39"/>
  <c r="P4" i="39"/>
  <c r="K25" i="39"/>
  <c r="K20" i="39"/>
  <c r="K23" i="39"/>
  <c r="K26" i="39"/>
  <c r="K19" i="39"/>
  <c r="K22" i="39"/>
  <c r="K21" i="39"/>
  <c r="V39" i="39" l="1"/>
  <c r="M52" i="39"/>
  <c r="P52" i="39" s="1"/>
  <c r="Q57" i="39"/>
  <c r="N35" i="46" s="1"/>
  <c r="V36" i="39"/>
  <c r="I45" i="46" s="1"/>
  <c r="N53" i="39"/>
  <c r="W53" i="39" s="1"/>
  <c r="N45" i="46" s="1"/>
  <c r="V56" i="39"/>
  <c r="Y56" i="39" s="1"/>
  <c r="P53" i="39"/>
  <c r="M31" i="46" s="1"/>
  <c r="V53" i="39"/>
  <c r="M45" i="46" s="1"/>
  <c r="N38" i="39"/>
  <c r="Q38" i="39" s="1"/>
  <c r="J33" i="46" s="1"/>
  <c r="V38" i="39"/>
  <c r="I47" i="46" s="1"/>
  <c r="P38" i="39"/>
  <c r="I33" i="46" s="1"/>
  <c r="N35" i="39"/>
  <c r="Q35" i="39" s="1"/>
  <c r="J30" i="46" s="1"/>
  <c r="O52" i="39"/>
  <c r="X38" i="39"/>
  <c r="K47" i="46" s="1"/>
  <c r="O55" i="39"/>
  <c r="G29" i="46"/>
  <c r="X39" i="39"/>
  <c r="K48" i="46" s="1"/>
  <c r="O56" i="39"/>
  <c r="N56" i="39" s="1"/>
  <c r="X53" i="39"/>
  <c r="O45" i="46" s="1"/>
  <c r="R53" i="39"/>
  <c r="O31" i="46" s="1"/>
  <c r="M55" i="39"/>
  <c r="I45" i="39"/>
  <c r="M34" i="39"/>
  <c r="G43" i="46"/>
  <c r="O6" i="39"/>
  <c r="X5" i="39"/>
  <c r="G44" i="46" s="1"/>
  <c r="R5" i="39"/>
  <c r="N5" i="39"/>
  <c r="M5" i="39"/>
  <c r="P37" i="39"/>
  <c r="I32" i="46" s="1"/>
  <c r="M54" i="39"/>
  <c r="P36" i="39"/>
  <c r="I31" i="46" s="1"/>
  <c r="X54" i="39"/>
  <c r="O46" i="46" s="1"/>
  <c r="R54" i="39"/>
  <c r="O32" i="46" s="1"/>
  <c r="N51" i="39"/>
  <c r="X51" i="39"/>
  <c r="R51" i="39"/>
  <c r="P39" i="39"/>
  <c r="I34" i="46" s="1"/>
  <c r="I57" i="39"/>
  <c r="M57" i="39" s="1"/>
  <c r="M40" i="39"/>
  <c r="O40" i="39" s="1"/>
  <c r="R40" i="39" s="1"/>
  <c r="K35" i="46" s="1"/>
  <c r="Y35" i="39"/>
  <c r="E29" i="46"/>
  <c r="I46" i="46"/>
  <c r="M30" i="46"/>
  <c r="I48" i="46"/>
  <c r="N39" i="39"/>
  <c r="Q39" i="39" s="1"/>
  <c r="J34" i="46" s="1"/>
  <c r="R39" i="39"/>
  <c r="K34" i="46" s="1"/>
  <c r="R38" i="39"/>
  <c r="K33" i="46" s="1"/>
  <c r="W35" i="39"/>
  <c r="J44" i="46" s="1"/>
  <c r="X34" i="39"/>
  <c r="K43" i="46" s="1"/>
  <c r="R34" i="39"/>
  <c r="K29" i="46" s="1"/>
  <c r="X36" i="39"/>
  <c r="K45" i="46" s="1"/>
  <c r="R36" i="39"/>
  <c r="K31" i="46" s="1"/>
  <c r="X35" i="39"/>
  <c r="K44" i="46" s="1"/>
  <c r="R35" i="39"/>
  <c r="K30" i="46" s="1"/>
  <c r="X37" i="39"/>
  <c r="K46" i="46" s="1"/>
  <c r="R37" i="39"/>
  <c r="K32" i="46" s="1"/>
  <c r="N37" i="39"/>
  <c r="N36" i="39"/>
  <c r="Y4" i="39"/>
  <c r="Y53" i="39" l="1"/>
  <c r="N55" i="39"/>
  <c r="V52" i="39"/>
  <c r="M48" i="46"/>
  <c r="Q53" i="39"/>
  <c r="N31" i="46" s="1"/>
  <c r="X40" i="39"/>
  <c r="K49" i="46" s="1"/>
  <c r="Y37" i="39"/>
  <c r="Y38" i="39"/>
  <c r="W38" i="39"/>
  <c r="J47" i="46" s="1"/>
  <c r="P55" i="39"/>
  <c r="Y36" i="39"/>
  <c r="V55" i="39"/>
  <c r="M47" i="46" s="1"/>
  <c r="Q56" i="39"/>
  <c r="N34" i="46" s="1"/>
  <c r="W56" i="39"/>
  <c r="N48" i="46" s="1"/>
  <c r="P57" i="39"/>
  <c r="M35" i="46" s="1"/>
  <c r="V57" i="39"/>
  <c r="O57" i="39"/>
  <c r="V5" i="39"/>
  <c r="P5" i="39"/>
  <c r="O7" i="39"/>
  <c r="X6" i="39"/>
  <c r="N6" i="39"/>
  <c r="R6" i="39"/>
  <c r="M6" i="39"/>
  <c r="X52" i="39"/>
  <c r="O44" i="46" s="1"/>
  <c r="R52" i="39"/>
  <c r="O30" i="46" s="1"/>
  <c r="N52" i="39"/>
  <c r="O43" i="46"/>
  <c r="W5" i="39"/>
  <c r="Q5" i="39"/>
  <c r="W51" i="39"/>
  <c r="N43" i="46" s="1"/>
  <c r="Q51" i="39"/>
  <c r="N29" i="46" s="1"/>
  <c r="N54" i="39"/>
  <c r="V54" i="39"/>
  <c r="P54" i="39"/>
  <c r="M32" i="46" s="1"/>
  <c r="G30" i="46"/>
  <c r="X55" i="39"/>
  <c r="O47" i="46" s="1"/>
  <c r="R55" i="39"/>
  <c r="O33" i="46" s="1"/>
  <c r="O29" i="46"/>
  <c r="V34" i="39"/>
  <c r="P34" i="39"/>
  <c r="X56" i="39"/>
  <c r="O48" i="46" s="1"/>
  <c r="R56" i="39"/>
  <c r="O34" i="46" s="1"/>
  <c r="N34" i="39"/>
  <c r="Q34" i="39" s="1"/>
  <c r="J29" i="46" s="1"/>
  <c r="Y39" i="39"/>
  <c r="P40" i="39"/>
  <c r="I35" i="46" s="1"/>
  <c r="V40" i="39"/>
  <c r="W39" i="39"/>
  <c r="J48" i="46" s="1"/>
  <c r="K38" i="46"/>
  <c r="K52" i="46"/>
  <c r="W55" i="39"/>
  <c r="Q55" i="39"/>
  <c r="W37" i="39"/>
  <c r="J46" i="46" s="1"/>
  <c r="Q37" i="39"/>
  <c r="J32" i="46" s="1"/>
  <c r="W34" i="39"/>
  <c r="J43" i="46" s="1"/>
  <c r="X44" i="39"/>
  <c r="W36" i="39"/>
  <c r="J45" i="46" s="1"/>
  <c r="Q36" i="39"/>
  <c r="J31" i="46" s="1"/>
  <c r="R45" i="39"/>
  <c r="R44" i="39"/>
  <c r="O44" i="39" s="1"/>
  <c r="M44" i="46" l="1"/>
  <c r="Y52" i="39"/>
  <c r="V61" i="39"/>
  <c r="Y55" i="39"/>
  <c r="X45" i="39"/>
  <c r="M33" i="46"/>
  <c r="P62" i="39"/>
  <c r="H79" i="39" s="1"/>
  <c r="R61" i="39"/>
  <c r="O61" i="39" s="1"/>
  <c r="Y40" i="39"/>
  <c r="I49" i="46"/>
  <c r="O8" i="39"/>
  <c r="X7" i="39"/>
  <c r="N7" i="39"/>
  <c r="R7" i="39"/>
  <c r="M7" i="39"/>
  <c r="M49" i="46"/>
  <c r="Y57" i="39"/>
  <c r="M38" i="46"/>
  <c r="Q52" i="39"/>
  <c r="N30" i="46" s="1"/>
  <c r="W52" i="39"/>
  <c r="N44" i="46" s="1"/>
  <c r="I29" i="46"/>
  <c r="I38" i="46" s="1"/>
  <c r="P44" i="39"/>
  <c r="M44" i="39" s="1"/>
  <c r="P45" i="39"/>
  <c r="W54" i="39"/>
  <c r="N46" i="46" s="1"/>
  <c r="Q54" i="39"/>
  <c r="N32" i="46" s="1"/>
  <c r="F44" i="46"/>
  <c r="W6" i="39"/>
  <c r="F45" i="46" s="1"/>
  <c r="Q6" i="39"/>
  <c r="F31" i="46" s="1"/>
  <c r="E44" i="46"/>
  <c r="Y5" i="39"/>
  <c r="V6" i="39"/>
  <c r="P6" i="39"/>
  <c r="E31" i="46" s="1"/>
  <c r="P61" i="39"/>
  <c r="M61" i="39" s="1"/>
  <c r="M46" i="46"/>
  <c r="Y54" i="39"/>
  <c r="F30" i="46"/>
  <c r="G31" i="46"/>
  <c r="E30" i="46"/>
  <c r="V62" i="39"/>
  <c r="Y62" i="39" s="1"/>
  <c r="W40" i="39"/>
  <c r="J49" i="46" s="1"/>
  <c r="J52" i="46" s="1"/>
  <c r="Q40" i="39"/>
  <c r="J35" i="46" s="1"/>
  <c r="J38" i="46" s="1"/>
  <c r="I43" i="46"/>
  <c r="V44" i="39"/>
  <c r="V45" i="39"/>
  <c r="Y34" i="39"/>
  <c r="X61" i="39"/>
  <c r="G45" i="46"/>
  <c r="R57" i="39"/>
  <c r="O35" i="46" s="1"/>
  <c r="O38" i="46" s="1"/>
  <c r="X57" i="39"/>
  <c r="O49" i="46" s="1"/>
  <c r="O52" i="46" s="1"/>
  <c r="N33" i="46"/>
  <c r="Q44" i="39"/>
  <c r="N44" i="39" s="1"/>
  <c r="N47" i="46"/>
  <c r="Y61" i="39"/>
  <c r="M62" i="39"/>
  <c r="W44" i="39"/>
  <c r="O45" i="39"/>
  <c r="G78" i="39"/>
  <c r="M52" i="46" l="1"/>
  <c r="I52" i="46"/>
  <c r="R62" i="39"/>
  <c r="H78" i="39" s="1"/>
  <c r="O62" i="39"/>
  <c r="Y44" i="39"/>
  <c r="Q45" i="39"/>
  <c r="N45" i="39" s="1"/>
  <c r="N38" i="46"/>
  <c r="W45" i="39"/>
  <c r="M45" i="39"/>
  <c r="G79" i="39"/>
  <c r="W61" i="39"/>
  <c r="O9" i="39"/>
  <c r="X8" i="39"/>
  <c r="G47" i="46" s="1"/>
  <c r="R8" i="39"/>
  <c r="M8" i="39"/>
  <c r="N8" i="39"/>
  <c r="W62" i="39"/>
  <c r="C54" i="46" s="1"/>
  <c r="D54" i="46" s="1"/>
  <c r="Q62" i="39"/>
  <c r="N62" i="39" s="1"/>
  <c r="G32" i="46"/>
  <c r="E45" i="46"/>
  <c r="Y6" i="39"/>
  <c r="G46" i="46"/>
  <c r="N52" i="46"/>
  <c r="X62" i="39"/>
  <c r="C55" i="46" s="1"/>
  <c r="D55" i="46" s="1"/>
  <c r="V7" i="39"/>
  <c r="P7" i="39"/>
  <c r="Q61" i="39"/>
  <c r="N61" i="39" s="1"/>
  <c r="Y45" i="39"/>
  <c r="W7" i="39"/>
  <c r="Q7" i="39"/>
  <c r="G80" i="39"/>
  <c r="H80" i="39" l="1"/>
  <c r="F46" i="46"/>
  <c r="W8" i="39"/>
  <c r="F47" i="46" s="1"/>
  <c r="Q8" i="39"/>
  <c r="F33" i="46" s="1"/>
  <c r="V8" i="39"/>
  <c r="P8" i="39"/>
  <c r="E33" i="46" s="1"/>
  <c r="E32" i="46"/>
  <c r="E46" i="46"/>
  <c r="Y7" i="39"/>
  <c r="O10" i="39"/>
  <c r="X9" i="39"/>
  <c r="G48" i="46" s="1"/>
  <c r="N9" i="39"/>
  <c r="R9" i="39"/>
  <c r="M9" i="39"/>
  <c r="F32" i="46"/>
  <c r="G33" i="46"/>
  <c r="E80" i="27"/>
  <c r="X14" i="39" l="1"/>
  <c r="E47" i="46"/>
  <c r="Y8" i="39"/>
  <c r="G34" i="46"/>
  <c r="R14" i="39"/>
  <c r="O14" i="39" s="1"/>
  <c r="W9" i="39"/>
  <c r="Q9" i="39"/>
  <c r="V9" i="39"/>
  <c r="P9" i="39"/>
  <c r="E34" i="46" s="1"/>
  <c r="X10" i="39"/>
  <c r="G49" i="46" s="1"/>
  <c r="G52" i="46" s="1"/>
  <c r="M10" i="39"/>
  <c r="R10" i="39"/>
  <c r="N10" i="39"/>
  <c r="X15" i="39"/>
  <c r="W14" i="39"/>
  <c r="H83" i="27"/>
  <c r="G82" i="27"/>
  <c r="F81" i="27"/>
  <c r="F69" i="27"/>
  <c r="F57" i="27"/>
  <c r="E68" i="27"/>
  <c r="E56" i="27"/>
  <c r="D79" i="27"/>
  <c r="C78" i="27"/>
  <c r="D67" i="27"/>
  <c r="D55" i="27"/>
  <c r="F27" i="27"/>
  <c r="H59" i="27" s="1"/>
  <c r="G27" i="27"/>
  <c r="H71" i="27" s="1"/>
  <c r="E27" i="27"/>
  <c r="H47" i="27" s="1"/>
  <c r="F45" i="27"/>
  <c r="G16" i="27"/>
  <c r="G70" i="27" s="1"/>
  <c r="F16" i="27"/>
  <c r="G58" i="27" s="1"/>
  <c r="E16" i="27"/>
  <c r="G46" i="27" s="1"/>
  <c r="E44" i="27"/>
  <c r="D43" i="27"/>
  <c r="F9" i="27"/>
  <c r="C54" i="27" s="1"/>
  <c r="G9" i="27"/>
  <c r="C66" i="27" s="1"/>
  <c r="E9" i="27"/>
  <c r="C42" i="27" s="1"/>
  <c r="F39" i="22"/>
  <c r="P14" i="39" l="1"/>
  <c r="M14" i="39" s="1"/>
  <c r="G35" i="46"/>
  <c r="G38" i="46" s="1"/>
  <c r="R15" i="39"/>
  <c r="V10" i="39"/>
  <c r="P10" i="39"/>
  <c r="F48" i="46"/>
  <c r="E48" i="46"/>
  <c r="Y9" i="39"/>
  <c r="V14" i="39"/>
  <c r="Y14" i="39" s="1"/>
  <c r="F34" i="46"/>
  <c r="Q14" i="39"/>
  <c r="N14" i="39" s="1"/>
  <c r="W10" i="39"/>
  <c r="F49" i="46" s="1"/>
  <c r="F52" i="46" s="1"/>
  <c r="Q10" i="39"/>
  <c r="F35" i="46" s="1"/>
  <c r="C23" i="11"/>
  <c r="C22" i="11"/>
  <c r="C18" i="11"/>
  <c r="C19" i="11"/>
  <c r="C17" i="11"/>
  <c r="C14" i="11"/>
  <c r="C15" i="11"/>
  <c r="C13" i="11"/>
  <c r="F21" i="11"/>
  <c r="E9" i="11"/>
  <c r="G9" i="11"/>
  <c r="F25" i="11"/>
  <c r="F9" i="11"/>
  <c r="C8" i="11"/>
  <c r="D8" i="11"/>
  <c r="G4" i="11"/>
  <c r="G3" i="11"/>
  <c r="F38" i="46" l="1"/>
  <c r="E49" i="46"/>
  <c r="E52" i="46" s="1"/>
  <c r="Y10" i="39"/>
  <c r="R25" i="39"/>
  <c r="R26" i="39"/>
  <c r="R16" i="39"/>
  <c r="F78" i="39"/>
  <c r="R18" i="39"/>
  <c r="R19" i="39"/>
  <c r="R20" i="39"/>
  <c r="R21" i="39"/>
  <c r="R22" i="39"/>
  <c r="R23" i="39"/>
  <c r="Q15" i="39"/>
  <c r="V15" i="39"/>
  <c r="R24" i="39"/>
  <c r="W15" i="39"/>
  <c r="E35" i="46"/>
  <c r="E38" i="46" s="1"/>
  <c r="P15" i="39"/>
  <c r="F61" i="28"/>
  <c r="C56" i="28"/>
  <c r="C57" i="28"/>
  <c r="C55" i="28"/>
  <c r="C10" i="28"/>
  <c r="C9" i="28"/>
  <c r="G3" i="28"/>
  <c r="C4" i="28"/>
  <c r="C3" i="28"/>
  <c r="E3" i="28" s="1"/>
  <c r="P16" i="39" l="1"/>
  <c r="F79" i="39"/>
  <c r="F80" i="39"/>
  <c r="Q16" i="39"/>
  <c r="Y15" i="39"/>
  <c r="G19" i="27"/>
  <c r="F19" i="27"/>
  <c r="E19" i="27"/>
  <c r="F43" i="11" l="1"/>
  <c r="F41" i="11"/>
  <c r="F39" i="11"/>
  <c r="F37" i="11"/>
  <c r="F34" i="11"/>
  <c r="F32" i="11"/>
  <c r="F30" i="11"/>
  <c r="F4" i="11"/>
  <c r="E4" i="11"/>
  <c r="F3" i="11"/>
  <c r="E3" i="11"/>
  <c r="C38" i="28" l="1"/>
  <c r="C37" i="28"/>
  <c r="F11" i="28"/>
  <c r="C39" i="28" s="1"/>
  <c r="G10" i="28"/>
  <c r="C47" i="28" s="1"/>
  <c r="E10" i="28"/>
  <c r="G9" i="28"/>
  <c r="E9" i="28"/>
  <c r="C28" i="28" s="1"/>
  <c r="K6" i="28"/>
  <c r="F5" i="28"/>
  <c r="G4" i="28"/>
  <c r="G5" i="28" s="1"/>
  <c r="E4" i="28"/>
  <c r="E5" i="28" s="1"/>
  <c r="E5" i="11" s="1"/>
  <c r="F8" i="28" l="1"/>
  <c r="D61" i="28" s="1"/>
  <c r="F5" i="11"/>
  <c r="F6" i="11" s="1"/>
  <c r="G6" i="28"/>
  <c r="G7" i="11" s="1"/>
  <c r="G25" i="11" s="1"/>
  <c r="G5" i="11"/>
  <c r="G11" i="28"/>
  <c r="C48" i="28" s="1"/>
  <c r="F6" i="28"/>
  <c r="F7" i="11" s="1"/>
  <c r="E11" i="28"/>
  <c r="C30" i="28" s="1"/>
  <c r="C29" i="28"/>
  <c r="C46" i="28"/>
  <c r="F12" i="28"/>
  <c r="E6" i="28"/>
  <c r="E7" i="11" s="1"/>
  <c r="E25" i="11" s="1"/>
  <c r="E8" i="28"/>
  <c r="G8" i="28"/>
  <c r="E61" i="28" s="1"/>
  <c r="E12" i="28" l="1"/>
  <c r="C61" i="28"/>
  <c r="G12" i="28"/>
  <c r="G4" i="27"/>
  <c r="G5" i="27"/>
  <c r="G3" i="27"/>
  <c r="F4" i="27"/>
  <c r="F5" i="27"/>
  <c r="F3" i="27"/>
  <c r="E4" i="27"/>
  <c r="E5" i="27"/>
  <c r="E3" i="27"/>
  <c r="E6" i="27" l="1"/>
  <c r="G6" i="27"/>
  <c r="F6" i="27"/>
  <c r="D48" i="26"/>
  <c r="E48" i="26"/>
  <c r="F48" i="26"/>
  <c r="G48" i="26"/>
  <c r="H48" i="26"/>
  <c r="I48" i="26"/>
  <c r="C48" i="26"/>
  <c r="F49" i="26"/>
  <c r="D49" i="26"/>
  <c r="E49" i="26"/>
  <c r="G49" i="26"/>
  <c r="H49" i="26"/>
  <c r="I49" i="26"/>
  <c r="D50" i="26"/>
  <c r="E50" i="26"/>
  <c r="F50" i="26"/>
  <c r="G50" i="26"/>
  <c r="H50" i="26"/>
  <c r="I50" i="26"/>
  <c r="C50" i="26"/>
  <c r="C49" i="26"/>
  <c r="F10" i="27" l="1"/>
  <c r="F12" i="27" s="1"/>
  <c r="F17" i="27" s="1"/>
  <c r="F18" i="27" s="1"/>
  <c r="F20" i="27" s="1"/>
  <c r="G10" i="27"/>
  <c r="G12" i="27" s="1"/>
  <c r="G17" i="27" s="1"/>
  <c r="G18" i="27" s="1"/>
  <c r="G20" i="27" s="1"/>
  <c r="E10" i="27"/>
  <c r="E12" i="27" s="1"/>
  <c r="E17" i="27" s="1"/>
  <c r="E18" i="27" s="1"/>
  <c r="E20" i="27" s="1"/>
  <c r="C41" i="22"/>
  <c r="C42" i="22"/>
  <c r="C39" i="22"/>
  <c r="C40" i="22" s="1"/>
  <c r="I42" i="22"/>
  <c r="H42" i="22"/>
  <c r="G42" i="22"/>
  <c r="F42" i="22"/>
  <c r="E42" i="22"/>
  <c r="D42" i="22"/>
  <c r="I41" i="22"/>
  <c r="H41" i="22"/>
  <c r="G41" i="22"/>
  <c r="F41" i="22"/>
  <c r="E41" i="22"/>
  <c r="D41" i="22"/>
  <c r="I39" i="22"/>
  <c r="I40" i="22" s="1"/>
  <c r="H39" i="22"/>
  <c r="H40" i="22" s="1"/>
  <c r="G39" i="22"/>
  <c r="G40" i="22" s="1"/>
  <c r="F40" i="22"/>
  <c r="E39" i="22"/>
  <c r="E40" i="22" s="1"/>
  <c r="D39" i="22"/>
  <c r="D40" i="22" s="1"/>
  <c r="D41" i="26"/>
  <c r="E41" i="26"/>
  <c r="F41" i="26"/>
  <c r="G41" i="26"/>
  <c r="H41" i="26"/>
  <c r="I41" i="26"/>
  <c r="D42" i="26"/>
  <c r="E42" i="26"/>
  <c r="F42" i="26"/>
  <c r="G42" i="26"/>
  <c r="H42" i="26"/>
  <c r="I42" i="26"/>
  <c r="C42" i="26"/>
  <c r="C41" i="26"/>
  <c r="D39" i="26"/>
  <c r="D51" i="26" s="1"/>
  <c r="E39" i="26"/>
  <c r="F39" i="26"/>
  <c r="G39" i="26"/>
  <c r="H39" i="26"/>
  <c r="I39" i="26"/>
  <c r="C39" i="26"/>
  <c r="F23" i="27" l="1"/>
  <c r="F24" i="27" s="1"/>
  <c r="F28" i="27" s="1"/>
  <c r="F30" i="27" s="1"/>
  <c r="G23" i="27"/>
  <c r="G24" i="27" s="1"/>
  <c r="G28" i="27" s="1"/>
  <c r="G30" i="27" s="1"/>
  <c r="E23" i="27"/>
  <c r="E24" i="27" s="1"/>
  <c r="D43" i="22"/>
  <c r="D45" i="22" s="1"/>
  <c r="H43" i="22"/>
  <c r="H45" i="22" s="1"/>
  <c r="C40" i="26"/>
  <c r="C51" i="26"/>
  <c r="G40" i="26"/>
  <c r="G51" i="26"/>
  <c r="H40" i="26"/>
  <c r="H51" i="26"/>
  <c r="D40" i="26"/>
  <c r="F40" i="26"/>
  <c r="F51" i="26"/>
  <c r="I40" i="26"/>
  <c r="I51" i="26"/>
  <c r="E40" i="26"/>
  <c r="E51" i="26"/>
  <c r="C43" i="22"/>
  <c r="C45" i="22" s="1"/>
  <c r="G43" i="26"/>
  <c r="G44" i="26" s="1"/>
  <c r="C43" i="26"/>
  <c r="C44" i="26" s="1"/>
  <c r="E43" i="22"/>
  <c r="E44" i="22" s="1"/>
  <c r="I43" i="22"/>
  <c r="I45" i="22" s="1"/>
  <c r="F43" i="26"/>
  <c r="F45" i="26" s="1"/>
  <c r="I43" i="26"/>
  <c r="I45" i="26" s="1"/>
  <c r="E43" i="26"/>
  <c r="E45" i="26" s="1"/>
  <c r="H43" i="26"/>
  <c r="H45" i="26" s="1"/>
  <c r="D43" i="26"/>
  <c r="D44" i="26" s="1"/>
  <c r="F43" i="22"/>
  <c r="F44" i="22" s="1"/>
  <c r="G43" i="22"/>
  <c r="G44" i="22" s="1"/>
  <c r="C44" i="22"/>
  <c r="G45" i="26" l="1"/>
  <c r="E45" i="22"/>
  <c r="E44" i="26"/>
  <c r="H44" i="22"/>
  <c r="D44" i="22"/>
  <c r="E28" i="27"/>
  <c r="E30" i="27" s="1"/>
  <c r="C45" i="26"/>
  <c r="D45" i="26"/>
  <c r="F44" i="26"/>
  <c r="I44" i="26"/>
  <c r="F45" i="22"/>
  <c r="I44" i="22"/>
  <c r="H44" i="26"/>
  <c r="G45" i="22"/>
  <c r="N34" i="19" l="1"/>
  <c r="M33" i="19"/>
  <c r="N34" i="18"/>
  <c r="M33" i="18"/>
  <c r="D9" i="17"/>
  <c r="D10" i="17"/>
  <c r="D11" i="17"/>
  <c r="D12" i="17"/>
  <c r="D13" i="17"/>
  <c r="D14" i="17"/>
  <c r="D15" i="17"/>
  <c r="D16" i="17"/>
  <c r="G26" i="17" s="1"/>
  <c r="H31" i="11"/>
  <c r="H33" i="11"/>
  <c r="H35" i="11"/>
  <c r="H38" i="11"/>
  <c r="H40" i="11"/>
  <c r="H42" i="11"/>
  <c r="H44" i="11"/>
  <c r="N34" i="13"/>
  <c r="M33" i="13"/>
  <c r="G77" i="11" l="1"/>
  <c r="D5" i="17"/>
  <c r="G73" i="11"/>
  <c r="G76" i="11" s="1"/>
  <c r="E73" i="11"/>
  <c r="E77" i="11" s="1"/>
  <c r="F73" i="11"/>
  <c r="F74" i="11" s="1"/>
  <c r="F77" i="11" l="1"/>
  <c r="E76" i="11"/>
  <c r="G11" i="17"/>
  <c r="D10" i="18" s="1"/>
  <c r="G13" i="17"/>
  <c r="D12" i="18" s="1"/>
  <c r="G10" i="17"/>
  <c r="D9" i="18" s="1"/>
  <c r="G16" i="17"/>
  <c r="D15" i="18" s="1"/>
  <c r="G14" i="17"/>
  <c r="D13" i="18" s="1"/>
  <c r="G15" i="17"/>
  <c r="D14" i="18" s="1"/>
  <c r="G9" i="17"/>
  <c r="G12" i="17"/>
  <c r="D11" i="18" s="1"/>
  <c r="F75" i="11"/>
  <c r="F76" i="11"/>
  <c r="I44" i="11"/>
  <c r="I42" i="11"/>
  <c r="J42" i="11"/>
  <c r="I40" i="11"/>
  <c r="I38" i="11"/>
  <c r="J38" i="11"/>
  <c r="I35" i="11"/>
  <c r="I33" i="11"/>
  <c r="I31" i="11"/>
  <c r="J7" i="11"/>
  <c r="D8" i="18" l="1"/>
  <c r="D16" i="18" s="1"/>
  <c r="V7" i="11"/>
  <c r="Z7" i="11" s="1"/>
  <c r="D5" i="21"/>
  <c r="D4" i="17"/>
  <c r="G5" i="17" s="1"/>
  <c r="J35" i="11"/>
  <c r="J44" i="11"/>
  <c r="J33" i="11"/>
  <c r="J40" i="11"/>
  <c r="J31" i="11"/>
  <c r="D6" i="17"/>
  <c r="X16" i="11"/>
  <c r="AA14" i="11"/>
  <c r="X15" i="11"/>
  <c r="X13" i="11"/>
  <c r="Z13" i="11" s="1"/>
  <c r="X12" i="11"/>
  <c r="X11" i="11"/>
  <c r="X10" i="11"/>
  <c r="X25" i="11"/>
  <c r="Z25" i="11" s="1"/>
  <c r="X8" i="11"/>
  <c r="F44" i="11"/>
  <c r="F42" i="11"/>
  <c r="F40" i="11"/>
  <c r="F38" i="11"/>
  <c r="F35" i="11"/>
  <c r="F33" i="11"/>
  <c r="F31" i="11"/>
  <c r="J21" i="11"/>
  <c r="J12" i="11"/>
  <c r="F12" i="11"/>
  <c r="G23" i="11"/>
  <c r="E16" i="17" s="1"/>
  <c r="H26" i="17" s="1"/>
  <c r="E23" i="11"/>
  <c r="C16" i="17" s="1"/>
  <c r="F26" i="17" s="1"/>
  <c r="J23" i="11"/>
  <c r="J22" i="11"/>
  <c r="G22" i="11"/>
  <c r="E15" i="17" s="1"/>
  <c r="E22" i="11"/>
  <c r="J19" i="11"/>
  <c r="J18" i="11"/>
  <c r="J17" i="11"/>
  <c r="G19" i="11"/>
  <c r="E14" i="17" s="1"/>
  <c r="E19" i="11"/>
  <c r="G18" i="11"/>
  <c r="E13" i="17" s="1"/>
  <c r="E18" i="11"/>
  <c r="G17" i="11"/>
  <c r="E12" i="17" s="1"/>
  <c r="E17" i="11"/>
  <c r="J15" i="11"/>
  <c r="J14" i="11"/>
  <c r="J13" i="11"/>
  <c r="J25" i="11"/>
  <c r="J8" i="11"/>
  <c r="G15" i="11"/>
  <c r="E11" i="17" s="1"/>
  <c r="E15" i="11"/>
  <c r="G14" i="11"/>
  <c r="E10" i="17" s="1"/>
  <c r="E14" i="11"/>
  <c r="G13" i="11"/>
  <c r="E9" i="17" s="1"/>
  <c r="E13" i="11"/>
  <c r="E8" i="11"/>
  <c r="D17" i="17" l="1"/>
  <c r="G6" i="17"/>
  <c r="D20" i="17"/>
  <c r="G20" i="17" s="1"/>
  <c r="G18" i="18" s="1"/>
  <c r="G27" i="18" s="1"/>
  <c r="F61" i="11"/>
  <c r="D24" i="17"/>
  <c r="G24" i="17" s="1"/>
  <c r="K22" i="18" s="1"/>
  <c r="K31" i="18" s="1"/>
  <c r="F65" i="11"/>
  <c r="D23" i="17"/>
  <c r="G23" i="17" s="1"/>
  <c r="J21" i="18" s="1"/>
  <c r="J30" i="18" s="1"/>
  <c r="F64" i="11"/>
  <c r="D21" i="17"/>
  <c r="G21" i="17" s="1"/>
  <c r="H19" i="18" s="1"/>
  <c r="H28" i="18" s="1"/>
  <c r="F62" i="11"/>
  <c r="Y15" i="11"/>
  <c r="AA15" i="11" s="1"/>
  <c r="D25" i="17"/>
  <c r="G25" i="17" s="1"/>
  <c r="L23" i="18" s="1"/>
  <c r="L32" i="18" s="1"/>
  <c r="F66" i="11"/>
  <c r="F51" i="11"/>
  <c r="D19" i="17"/>
  <c r="G19" i="17" s="1"/>
  <c r="F17" i="18" s="1"/>
  <c r="F26" i="18" s="1"/>
  <c r="F60" i="11"/>
  <c r="D22" i="17"/>
  <c r="G22" i="17" s="1"/>
  <c r="I20" i="18" s="1"/>
  <c r="I29" i="18" s="1"/>
  <c r="F63" i="11"/>
  <c r="Z10" i="11"/>
  <c r="C6" i="18"/>
  <c r="C7" i="18" s="1"/>
  <c r="G4" i="17"/>
  <c r="E44" i="11"/>
  <c r="C15" i="17"/>
  <c r="E42" i="11"/>
  <c r="E56" i="11" s="1"/>
  <c r="C14" i="17"/>
  <c r="E40" i="11"/>
  <c r="E55" i="11" s="1"/>
  <c r="C13" i="17"/>
  <c r="E38" i="11"/>
  <c r="E54" i="11" s="1"/>
  <c r="C12" i="17"/>
  <c r="E35" i="11"/>
  <c r="E53" i="11" s="1"/>
  <c r="C11" i="17"/>
  <c r="E33" i="11"/>
  <c r="C10" i="17"/>
  <c r="E31" i="11"/>
  <c r="E51" i="11" s="1"/>
  <c r="C9" i="17"/>
  <c r="E74" i="11"/>
  <c r="G74" i="11"/>
  <c r="Y25" i="11"/>
  <c r="AA25" i="11" s="1"/>
  <c r="F52" i="11"/>
  <c r="Y13" i="11"/>
  <c r="AA13" i="11" s="1"/>
  <c r="F56" i="11"/>
  <c r="Y10" i="11"/>
  <c r="AA10" i="11" s="1"/>
  <c r="F53" i="11"/>
  <c r="Y11" i="11"/>
  <c r="AA11" i="11" s="1"/>
  <c r="F54" i="11"/>
  <c r="Y12" i="11"/>
  <c r="AA12" i="11" s="1"/>
  <c r="F55" i="11"/>
  <c r="L40" i="11"/>
  <c r="O40" i="11" s="1"/>
  <c r="S40" i="11" s="1"/>
  <c r="L35" i="11"/>
  <c r="O35" i="11" s="1"/>
  <c r="S35" i="11" s="1"/>
  <c r="L33" i="11"/>
  <c r="O33" i="11" s="1"/>
  <c r="S33" i="11" s="1"/>
  <c r="L44" i="11"/>
  <c r="O44" i="11" s="1"/>
  <c r="S44" i="11" s="1"/>
  <c r="L23" i="11"/>
  <c r="L25" i="11"/>
  <c r="L19" i="11"/>
  <c r="L8" i="11"/>
  <c r="O8" i="11" s="1"/>
  <c r="L12" i="11"/>
  <c r="O12" i="11" s="1"/>
  <c r="S12" i="11" s="1"/>
  <c r="L18" i="11"/>
  <c r="L7" i="11"/>
  <c r="F26" i="11"/>
  <c r="F27" i="11" s="1"/>
  <c r="L31" i="11"/>
  <c r="O31" i="11" s="1"/>
  <c r="S31" i="11" s="1"/>
  <c r="L38" i="11"/>
  <c r="O38" i="11" s="1"/>
  <c r="S38" i="11" s="1"/>
  <c r="L42" i="11"/>
  <c r="O42" i="11" s="1"/>
  <c r="S42" i="11" s="1"/>
  <c r="L21" i="11"/>
  <c r="L22" i="11"/>
  <c r="L17" i="11"/>
  <c r="L14" i="11"/>
  <c r="L15" i="11"/>
  <c r="L13" i="11"/>
  <c r="E6" i="11"/>
  <c r="K22" i="11" s="1"/>
  <c r="AA16" i="11"/>
  <c r="Z11" i="11"/>
  <c r="Z16" i="11"/>
  <c r="Z15" i="11"/>
  <c r="Z8" i="11"/>
  <c r="Z12" i="11"/>
  <c r="G31" i="11"/>
  <c r="G35" i="11"/>
  <c r="G40" i="11"/>
  <c r="Y8" i="11"/>
  <c r="F46" i="11"/>
  <c r="G44" i="11"/>
  <c r="E12" i="11"/>
  <c r="G33" i="11"/>
  <c r="G38" i="11"/>
  <c r="G42" i="11"/>
  <c r="G12" i="11"/>
  <c r="G21" i="11" s="1"/>
  <c r="O25" i="11" l="1"/>
  <c r="S25" i="11" s="1"/>
  <c r="F53" i="40"/>
  <c r="F55" i="40" s="1"/>
  <c r="E17" i="17"/>
  <c r="E21" i="11"/>
  <c r="C17" i="17" s="1"/>
  <c r="F27" i="17" s="1"/>
  <c r="G17" i="17"/>
  <c r="G8" i="17" s="1"/>
  <c r="G27" i="17"/>
  <c r="X14" i="11"/>
  <c r="Z14" i="11" s="1"/>
  <c r="F67" i="11"/>
  <c r="O21" i="11"/>
  <c r="S21" i="11" s="1"/>
  <c r="O23" i="11"/>
  <c r="S23" i="11" s="1"/>
  <c r="O14" i="11"/>
  <c r="S14" i="11" s="1"/>
  <c r="O15" i="11"/>
  <c r="S15" i="11" s="1"/>
  <c r="O17" i="11"/>
  <c r="S17" i="11" s="1"/>
  <c r="O7" i="11"/>
  <c r="O19" i="11"/>
  <c r="S19" i="11" s="1"/>
  <c r="O13" i="11"/>
  <c r="S13" i="11" s="1"/>
  <c r="O22" i="11"/>
  <c r="S22" i="11" s="1"/>
  <c r="O18" i="11"/>
  <c r="S18" i="11" s="1"/>
  <c r="N22" i="11"/>
  <c r="C6" i="17"/>
  <c r="C5" i="21"/>
  <c r="C4" i="17"/>
  <c r="E5" i="17"/>
  <c r="G75" i="11"/>
  <c r="C5" i="17"/>
  <c r="F12" i="17" s="1"/>
  <c r="D11" i="13" s="1"/>
  <c r="E75" i="11"/>
  <c r="E25" i="17"/>
  <c r="H25" i="17" s="1"/>
  <c r="L23" i="19" s="1"/>
  <c r="L32" i="19" s="1"/>
  <c r="G66" i="11"/>
  <c r="E66" i="11"/>
  <c r="C25" i="17"/>
  <c r="F25" i="17" s="1"/>
  <c r="L23" i="13" s="1"/>
  <c r="L32" i="13" s="1"/>
  <c r="G56" i="11"/>
  <c r="E24" i="17"/>
  <c r="H24" i="17" s="1"/>
  <c r="K22" i="19" s="1"/>
  <c r="K31" i="19" s="1"/>
  <c r="G65" i="11"/>
  <c r="C24" i="17"/>
  <c r="F24" i="17" s="1"/>
  <c r="K22" i="13" s="1"/>
  <c r="K31" i="13" s="1"/>
  <c r="E65" i="11"/>
  <c r="E46" i="11"/>
  <c r="E57" i="11" s="1"/>
  <c r="G55" i="11"/>
  <c r="E23" i="17"/>
  <c r="H23" i="17" s="1"/>
  <c r="J21" i="19" s="1"/>
  <c r="J30" i="19" s="1"/>
  <c r="G64" i="11"/>
  <c r="C23" i="17"/>
  <c r="F23" i="17" s="1"/>
  <c r="J21" i="13" s="1"/>
  <c r="J30" i="13" s="1"/>
  <c r="E64" i="11"/>
  <c r="G54" i="11"/>
  <c r="E22" i="17"/>
  <c r="H22" i="17" s="1"/>
  <c r="I20" i="19" s="1"/>
  <c r="I29" i="19" s="1"/>
  <c r="G63" i="11"/>
  <c r="C22" i="17"/>
  <c r="F22" i="17" s="1"/>
  <c r="I20" i="13" s="1"/>
  <c r="I29" i="13" s="1"/>
  <c r="E63" i="11"/>
  <c r="G52" i="11"/>
  <c r="E20" i="17"/>
  <c r="H20" i="17" s="1"/>
  <c r="G18" i="19" s="1"/>
  <c r="G27" i="19" s="1"/>
  <c r="G61" i="11"/>
  <c r="C20" i="17"/>
  <c r="F20" i="17" s="1"/>
  <c r="G18" i="13" s="1"/>
  <c r="G27" i="13" s="1"/>
  <c r="E61" i="11"/>
  <c r="E52" i="11"/>
  <c r="G53" i="11"/>
  <c r="E21" i="17"/>
  <c r="H21" i="17" s="1"/>
  <c r="H19" i="19" s="1"/>
  <c r="H28" i="19" s="1"/>
  <c r="G62" i="11"/>
  <c r="C21" i="17"/>
  <c r="F21" i="17" s="1"/>
  <c r="H19" i="13" s="1"/>
  <c r="H28" i="13" s="1"/>
  <c r="E62" i="11"/>
  <c r="G51" i="11"/>
  <c r="E19" i="17"/>
  <c r="H19" i="17" s="1"/>
  <c r="F17" i="19" s="1"/>
  <c r="F26" i="19" s="1"/>
  <c r="G60" i="11"/>
  <c r="C19" i="17"/>
  <c r="F19" i="17" s="1"/>
  <c r="F17" i="13" s="1"/>
  <c r="F26" i="13" s="1"/>
  <c r="E60" i="11"/>
  <c r="F47" i="11"/>
  <c r="F57" i="11"/>
  <c r="K15" i="11"/>
  <c r="K17" i="11"/>
  <c r="K21" i="11"/>
  <c r="K13" i="11"/>
  <c r="K19" i="11"/>
  <c r="K8" i="11"/>
  <c r="N8" i="11" s="1"/>
  <c r="K18" i="11"/>
  <c r="K7" i="11"/>
  <c r="K23" i="11"/>
  <c r="K25" i="11"/>
  <c r="E53" i="40" s="1"/>
  <c r="E55" i="40" s="1"/>
  <c r="K12" i="11"/>
  <c r="N12" i="11" s="1"/>
  <c r="K33" i="11"/>
  <c r="N33" i="11" s="1"/>
  <c r="K44" i="11"/>
  <c r="N44" i="11" s="1"/>
  <c r="K40" i="11"/>
  <c r="N40" i="11" s="1"/>
  <c r="K35" i="11"/>
  <c r="N35" i="11" s="1"/>
  <c r="K38" i="11"/>
  <c r="N38" i="11" s="1"/>
  <c r="K42" i="11"/>
  <c r="N42" i="11" s="1"/>
  <c r="K31" i="11"/>
  <c r="N31" i="11" s="1"/>
  <c r="K14" i="11"/>
  <c r="O46" i="11"/>
  <c r="S46" i="11" s="1"/>
  <c r="G6" i="11"/>
  <c r="AA8" i="11"/>
  <c r="Y17" i="11"/>
  <c r="AA17" i="11" s="1"/>
  <c r="G46" i="11"/>
  <c r="H27" i="17" l="1"/>
  <c r="H17" i="17"/>
  <c r="E26" i="11"/>
  <c r="E27" i="11" s="1"/>
  <c r="O26" i="11"/>
  <c r="O27" i="11" s="1"/>
  <c r="N25" i="11"/>
  <c r="N19" i="11"/>
  <c r="N15" i="11"/>
  <c r="N7" i="11"/>
  <c r="N13" i="11"/>
  <c r="N23" i="11"/>
  <c r="N14" i="11"/>
  <c r="N18" i="11"/>
  <c r="N21" i="11"/>
  <c r="N17" i="11"/>
  <c r="F6" i="17"/>
  <c r="E6" i="17"/>
  <c r="E5" i="21"/>
  <c r="E4" i="17"/>
  <c r="H5" i="17" s="1"/>
  <c r="E67" i="11"/>
  <c r="F11" i="17"/>
  <c r="D10" i="13" s="1"/>
  <c r="F17" i="17"/>
  <c r="E47" i="11"/>
  <c r="F5" i="17"/>
  <c r="F16" i="17"/>
  <c r="D15" i="13" s="1"/>
  <c r="F10" i="17"/>
  <c r="D9" i="13" s="1"/>
  <c r="F9" i="17"/>
  <c r="D8" i="13" s="1"/>
  <c r="F13" i="17"/>
  <c r="D12" i="13" s="1"/>
  <c r="F15" i="17"/>
  <c r="D14" i="13" s="1"/>
  <c r="F14" i="17"/>
  <c r="D13" i="13" s="1"/>
  <c r="H16" i="17"/>
  <c r="D15" i="19" s="1"/>
  <c r="H12" i="17"/>
  <c r="D11" i="19" s="1"/>
  <c r="H10" i="17"/>
  <c r="D9" i="19" s="1"/>
  <c r="H11" i="17"/>
  <c r="D10" i="19" s="1"/>
  <c r="H14" i="17"/>
  <c r="D13" i="19" s="1"/>
  <c r="H13" i="17"/>
  <c r="D12" i="19" s="1"/>
  <c r="H9" i="17"/>
  <c r="D8" i="19" s="1"/>
  <c r="H15" i="17"/>
  <c r="D14" i="19" s="1"/>
  <c r="G67" i="11"/>
  <c r="N46" i="11"/>
  <c r="G47" i="11"/>
  <c r="G57" i="11"/>
  <c r="M12" i="11"/>
  <c r="P12" i="11" s="1"/>
  <c r="M23" i="11"/>
  <c r="M25" i="11"/>
  <c r="G53" i="40" s="1"/>
  <c r="G55" i="40" s="1"/>
  <c r="M18" i="11"/>
  <c r="M7" i="11"/>
  <c r="M19" i="11"/>
  <c r="M8" i="11"/>
  <c r="P8" i="11" s="1"/>
  <c r="M35" i="11"/>
  <c r="P35" i="11" s="1"/>
  <c r="M44" i="11"/>
  <c r="P44" i="11" s="1"/>
  <c r="M42" i="11"/>
  <c r="P42" i="11" s="1"/>
  <c r="M31" i="11"/>
  <c r="P31" i="11" s="1"/>
  <c r="M38" i="11"/>
  <c r="P38" i="11" s="1"/>
  <c r="M40" i="11"/>
  <c r="P40" i="11" s="1"/>
  <c r="M33" i="11"/>
  <c r="P33" i="11" s="1"/>
  <c r="M17" i="11"/>
  <c r="M13" i="11"/>
  <c r="M21" i="11"/>
  <c r="M15" i="11"/>
  <c r="M22" i="11"/>
  <c r="M14" i="11"/>
  <c r="L46" i="11"/>
  <c r="F35" i="40" s="1"/>
  <c r="O47" i="11"/>
  <c r="S47" i="11" s="1"/>
  <c r="F45" i="40" l="1"/>
  <c r="F47" i="40"/>
  <c r="N26" i="11"/>
  <c r="N27" i="11" s="1"/>
  <c r="P25" i="11"/>
  <c r="G26" i="11"/>
  <c r="G27" i="11" s="1"/>
  <c r="P21" i="11"/>
  <c r="P14" i="11"/>
  <c r="P13" i="11"/>
  <c r="P18" i="11"/>
  <c r="P22" i="11"/>
  <c r="P17" i="11"/>
  <c r="P7" i="11"/>
  <c r="P15" i="11"/>
  <c r="P19" i="11"/>
  <c r="P23" i="11"/>
  <c r="J46" i="11"/>
  <c r="L71" i="11"/>
  <c r="O71" i="11" s="1"/>
  <c r="L72" i="11"/>
  <c r="O72" i="11" s="1"/>
  <c r="H6" i="17"/>
  <c r="H4" i="17" s="1"/>
  <c r="D16" i="13"/>
  <c r="D16" i="19"/>
  <c r="F8" i="17"/>
  <c r="F4" i="17"/>
  <c r="C6" i="13"/>
  <c r="C7" i="13" s="1"/>
  <c r="C6" i="19"/>
  <c r="C7" i="19" s="1"/>
  <c r="H8" i="17"/>
  <c r="L47" i="11"/>
  <c r="J47" i="11" s="1"/>
  <c r="N47" i="11"/>
  <c r="K46" i="11"/>
  <c r="E35" i="40" s="1"/>
  <c r="P46" i="11"/>
  <c r="E47" i="40" l="1"/>
  <c r="E45" i="40"/>
  <c r="P26" i="11"/>
  <c r="P27" i="11" s="1"/>
  <c r="K72" i="11"/>
  <c r="N72" i="11" s="1"/>
  <c r="K71" i="11"/>
  <c r="N71" i="11" s="1"/>
  <c r="K47" i="11"/>
  <c r="P47" i="11"/>
  <c r="M46" i="11"/>
  <c r="G35" i="40" s="1"/>
  <c r="G47" i="40" l="1"/>
  <c r="G45" i="40"/>
  <c r="M71" i="11"/>
  <c r="P71" i="11" s="1"/>
  <c r="M72" i="11"/>
  <c r="P72" i="11" s="1"/>
  <c r="M47" i="11"/>
  <c r="C25" i="6"/>
  <c r="C24" i="6"/>
  <c r="C16" i="6" l="1"/>
  <c r="C11" i="6"/>
  <c r="C5" i="6"/>
  <c r="C6" i="6"/>
</calcChain>
</file>

<file path=xl/sharedStrings.xml><?xml version="1.0" encoding="utf-8"?>
<sst xmlns="http://schemas.openxmlformats.org/spreadsheetml/2006/main" count="1903" uniqueCount="664">
  <si>
    <t>total</t>
  </si>
  <si>
    <t>agriculture</t>
  </si>
  <si>
    <t>https://data.worldbank.org/indicator/AG.LND.TOTL.K2</t>
  </si>
  <si>
    <t>%</t>
  </si>
  <si>
    <t>Source</t>
  </si>
  <si>
    <t>https://en.wikipedia.org/wiki/Earth</t>
  </si>
  <si>
    <t>m</t>
  </si>
  <si>
    <t>m²</t>
  </si>
  <si>
    <t>W</t>
  </si>
  <si>
    <t>Steffen_2015</t>
  </si>
  <si>
    <t>-</t>
  </si>
  <si>
    <t>J</t>
  </si>
  <si>
    <t>10^12 m³</t>
  </si>
  <si>
    <t>Coal</t>
  </si>
  <si>
    <t>kg Steinkohleeinheit</t>
  </si>
  <si>
    <t>kJ</t>
  </si>
  <si>
    <t>kg OE</t>
  </si>
  <si>
    <t>Mtoe</t>
  </si>
  <si>
    <t>m³ natural gaas</t>
  </si>
  <si>
    <t>Gtoe</t>
  </si>
  <si>
    <t>kilo</t>
  </si>
  <si>
    <t>10^3</t>
  </si>
  <si>
    <t>Mega</t>
  </si>
  <si>
    <t>10^6</t>
  </si>
  <si>
    <t>Giga</t>
  </si>
  <si>
    <t>10^9</t>
  </si>
  <si>
    <t>Tera</t>
  </si>
  <si>
    <t>10^12</t>
  </si>
  <si>
    <t>Peta</t>
  </si>
  <si>
    <t>Exa</t>
  </si>
  <si>
    <t>10^15</t>
  </si>
  <si>
    <t>10^18</t>
  </si>
  <si>
    <t>Gt SKE</t>
  </si>
  <si>
    <t>kgCO2</t>
  </si>
  <si>
    <t>Oil</t>
  </si>
  <si>
    <t>Natural gas</t>
  </si>
  <si>
    <t>Unit</t>
  </si>
  <si>
    <t>Description</t>
  </si>
  <si>
    <t>Error +</t>
  </si>
  <si>
    <t>Min</t>
  </si>
  <si>
    <t>Max</t>
  </si>
  <si>
    <t xml:space="preserve">Error - </t>
  </si>
  <si>
    <t>Biofuels</t>
  </si>
  <si>
    <t>EJ</t>
  </si>
  <si>
    <t>Agriculture and forest residues</t>
  </si>
  <si>
    <t>additional forest growth harvest</t>
  </si>
  <si>
    <t>IEA - 2011 - Tech Roadmap Biofuels</t>
  </si>
  <si>
    <t>Bauen 2010</t>
  </si>
  <si>
    <t>Dornburg 2008 Biomass Assessment</t>
  </si>
  <si>
    <t>Estimation of land use types</t>
  </si>
  <si>
    <t>~~tropical</t>
  </si>
  <si>
    <t>~~temperate</t>
  </si>
  <si>
    <t>~~boreal</t>
  </si>
  <si>
    <t>from [°]</t>
  </si>
  <si>
    <t>to [°]</t>
  </si>
  <si>
    <t>Solar factor</t>
  </si>
  <si>
    <t>Potential land coverage (without human influence)</t>
  </si>
  <si>
    <t>Maximum possible land system change</t>
  </si>
  <si>
    <t>assumption</t>
  </si>
  <si>
    <t>Graph</t>
  </si>
  <si>
    <t>total surface</t>
  </si>
  <si>
    <t>tropical forest</t>
  </si>
  <si>
    <t>temporal forest</t>
  </si>
  <si>
    <t>boreal forest</t>
  </si>
  <si>
    <t>savanna</t>
  </si>
  <si>
    <t>rest of land</t>
  </si>
  <si>
    <t>desert</t>
  </si>
  <si>
    <t>polar land</t>
  </si>
  <si>
    <t>Shrubland and tundra</t>
  </si>
  <si>
    <t>grasland and steppe</t>
  </si>
  <si>
    <t>land/water</t>
  </si>
  <si>
    <t>unchanged</t>
  </si>
  <si>
    <t>% unchanged</t>
  </si>
  <si>
    <t>W/m²</t>
  </si>
  <si>
    <t>potential human appropriation</t>
  </si>
  <si>
    <t>Incoming radiation, received by surface</t>
  </si>
  <si>
    <t>Radiation density, on cross section</t>
  </si>
  <si>
    <t>Mode</t>
  </si>
  <si>
    <t>Irradiation density on surface [W/m²]</t>
  </si>
  <si>
    <t xml:space="preserve"> (-3 sigma)</t>
  </si>
  <si>
    <t>(+3 sigma)</t>
  </si>
  <si>
    <t>Irradiation on surface [W]</t>
  </si>
  <si>
    <t>balance check (&lt;0 is conservative)</t>
  </si>
  <si>
    <t>balance check: deviation from total (&lt;0 is conservative)</t>
  </si>
  <si>
    <t>Ocean surface (total-land-desert-polar)</t>
  </si>
  <si>
    <t>forest, tropical, fraction</t>
  </si>
  <si>
    <t>forest, tropical, appropriable</t>
  </si>
  <si>
    <t>forest, temporal, fraction</t>
  </si>
  <si>
    <t>forest, temporal, appropriable</t>
  </si>
  <si>
    <t>forest, boreal, fraction</t>
  </si>
  <si>
    <t>forest, boreal, appropriable</t>
  </si>
  <si>
    <t>Savanna, fraction</t>
  </si>
  <si>
    <t>Savanna, appropriable</t>
  </si>
  <si>
    <t>Grassland, fraction</t>
  </si>
  <si>
    <t>Grassland, appropriable</t>
  </si>
  <si>
    <t>Shrubland and Tundra, fraction</t>
  </si>
  <si>
    <t>Shrubland and Tundra, appropriable</t>
  </si>
  <si>
    <t>Desert, fraction</t>
  </si>
  <si>
    <t>Desert, approproiable</t>
  </si>
  <si>
    <t>land, appropriable, w/o desert</t>
  </si>
  <si>
    <t>land, appropriable, w desert</t>
  </si>
  <si>
    <t>Earth, cross section</t>
  </si>
  <si>
    <t>Earth, surface area (calculated as sphere)</t>
  </si>
  <si>
    <t>Forest, potential</t>
  </si>
  <si>
    <t>Savanna, potential</t>
  </si>
  <si>
    <t>Grassland and steppe, potential</t>
  </si>
  <si>
    <t>Shrubland and tundra, potential</t>
  </si>
  <si>
    <t>Desert, potential</t>
  </si>
  <si>
    <t>Land system change, fractions land w/o desert&amp;polar</t>
  </si>
  <si>
    <t>TC mode</t>
  </si>
  <si>
    <t>TC max</t>
  </si>
  <si>
    <t>TC min</t>
  </si>
  <si>
    <t>[ ]</t>
  </si>
  <si>
    <t>m²/m²</t>
  </si>
  <si>
    <t>Comparison to actual land use (2015)</t>
  </si>
  <si>
    <t>land, agriculture</t>
  </si>
  <si>
    <t>land, urban</t>
  </si>
  <si>
    <t>land, change total</t>
  </si>
  <si>
    <t>https://data.worldbank.org/indicator/AG.LND.TOTL.K2 ;  http://faostat3.fao.org/home/E.</t>
  </si>
  <si>
    <t>Land system change, fractions land w desert&amp;polar</t>
  </si>
  <si>
    <t>Desert, appropriable</t>
  </si>
  <si>
    <t>land, change total, fraction (w/o desert &amp; polar)</t>
  </si>
  <si>
    <t>land, change total, fraction (w desert &amp; polar)</t>
  </si>
  <si>
    <t>land, urban, fraction of total</t>
  </si>
  <si>
    <t>land, agriculture, fraction of total</t>
  </si>
  <si>
    <t>from</t>
  </si>
  <si>
    <t>to</t>
  </si>
  <si>
    <t xml:space="preserve">Input area: </t>
  </si>
  <si>
    <t>C5</t>
  </si>
  <si>
    <t>No</t>
  </si>
  <si>
    <t>Total surface area</t>
  </si>
  <si>
    <t>Land, total</t>
  </si>
  <si>
    <t>Ocean, total</t>
  </si>
  <si>
    <t>Land, forest, tropical</t>
  </si>
  <si>
    <t>Land, forest, temporal</t>
  </si>
  <si>
    <t>Land, forest, boreal</t>
  </si>
  <si>
    <t>land, shrubland and tundra, potential</t>
  </si>
  <si>
    <t>Land, grassland and steppe, potential</t>
  </si>
  <si>
    <t>Land, savanna, potential</t>
  </si>
  <si>
    <t>land, desert, potential</t>
  </si>
  <si>
    <t>land, polar, potential</t>
  </si>
  <si>
    <t>land, rest, potential</t>
  </si>
  <si>
    <t>Land, forest, tropical, appropriable</t>
  </si>
  <si>
    <t>Land, forest, temporal, appropriable</t>
  </si>
  <si>
    <t>Land, forest, boreal, appropriable</t>
  </si>
  <si>
    <t>Land, savanna, appropriable</t>
  </si>
  <si>
    <t>Land, grassland and steppe, appropriable</t>
  </si>
  <si>
    <t>land, shrubland and tundra, appropriable</t>
  </si>
  <si>
    <t>land, desert, appropriable</t>
  </si>
  <si>
    <t>land, polar, appropriable</t>
  </si>
  <si>
    <t>land, rest, appropriable</t>
  </si>
  <si>
    <t>process fraction -&gt; of</t>
  </si>
  <si>
    <t>Land, forest, tropical, remaining</t>
  </si>
  <si>
    <t>Land, forest, temporal, remaining</t>
  </si>
  <si>
    <t>Land, forest, boreal, remaining</t>
  </si>
  <si>
    <t>Land, savanna, remaining</t>
  </si>
  <si>
    <t>Land, grassland and steppe, remaining</t>
  </si>
  <si>
    <t>land, shrubland and tundra, remaining</t>
  </si>
  <si>
    <t>land, desert, remaining</t>
  </si>
  <si>
    <t>land, polar, remaining</t>
  </si>
  <si>
    <t>land, rest, remaining</t>
  </si>
  <si>
    <t>AF34</t>
  </si>
  <si>
    <t>land area</t>
  </si>
  <si>
    <t>Base: land</t>
  </si>
  <si>
    <t>base: ~,potential</t>
  </si>
  <si>
    <t>Matrix A_min</t>
  </si>
  <si>
    <t>distribution</t>
  </si>
  <si>
    <t>[m²]</t>
  </si>
  <si>
    <t>quantile</t>
  </si>
  <si>
    <t>Output (landsystem change in m²)</t>
  </si>
  <si>
    <t>Incoming radiation</t>
  </si>
  <si>
    <t>fraction of incoming radiation on surface</t>
  </si>
  <si>
    <t>W/W</t>
  </si>
  <si>
    <t>radiation intensity -&gt; on</t>
  </si>
  <si>
    <t>Total surface average</t>
  </si>
  <si>
    <t>Land, savanna</t>
  </si>
  <si>
    <t>Land, grassland and steppe</t>
  </si>
  <si>
    <t>land, shrubland and tundra</t>
  </si>
  <si>
    <t>land, desert</t>
  </si>
  <si>
    <t>land, polar</t>
  </si>
  <si>
    <t>land, rest</t>
  </si>
  <si>
    <t>Matrix M (Mapping biome on areas)</t>
  </si>
  <si>
    <t>Mapping biome on ares</t>
  </si>
  <si>
    <t>L34</t>
  </si>
  <si>
    <t>Output (irradiation received [W])</t>
  </si>
  <si>
    <t>[W]</t>
  </si>
  <si>
    <t>Balance check</t>
  </si>
  <si>
    <t>Total Land irradiation</t>
  </si>
  <si>
    <t>Total irradiation on appropriable land</t>
  </si>
  <si>
    <t>Total irradiation on remaining land</t>
  </si>
  <si>
    <t>Sum</t>
  </si>
  <si>
    <t>~fraction of total (from biome calculation)</t>
  </si>
  <si>
    <t>~fraction of total (from global calculation)</t>
  </si>
  <si>
    <t>Total Land</t>
  </si>
  <si>
    <t>Total of appropriable land</t>
  </si>
  <si>
    <t>Total of remaining land</t>
  </si>
  <si>
    <t>~fraction of total (from global calculation) alt</t>
  </si>
  <si>
    <t>desert, appropriable</t>
  </si>
  <si>
    <t>land, appropriable w/o desert</t>
  </si>
  <si>
    <t>remaining land</t>
  </si>
  <si>
    <t>oceans</t>
  </si>
  <si>
    <t>Sustainable use of remaining forests</t>
  </si>
  <si>
    <t>forest, tropical, remaining</t>
  </si>
  <si>
    <t>forest, temporal, remaining</t>
  </si>
  <si>
    <t>forest, boreal, remaining</t>
  </si>
  <si>
    <t>O'Brien_2015 (13% of forest is protected today, 36% of forest is primary today)</t>
  </si>
  <si>
    <t>forest, available for sustainable use</t>
  </si>
  <si>
    <t>fraction of protected forest area</t>
  </si>
  <si>
    <t>fraction of forest accessible to sus. Use</t>
  </si>
  <si>
    <t>forest, sustainable use</t>
  </si>
  <si>
    <t>O'Brien_2015</t>
  </si>
  <si>
    <t>Net annual increment (NAI)</t>
  </si>
  <si>
    <t>sustainable harvest rate</t>
  </si>
  <si>
    <t>m³/m²a</t>
  </si>
  <si>
    <t>bark</t>
  </si>
  <si>
    <t>Wood, harvest</t>
  </si>
  <si>
    <t>m³/a</t>
  </si>
  <si>
    <t>chips and sawdust</t>
  </si>
  <si>
    <t>Wood, sawnwood</t>
  </si>
  <si>
    <t>Wood, residues to energy (bark+chips)</t>
  </si>
  <si>
    <t>error-</t>
  </si>
  <si>
    <t>error+</t>
  </si>
  <si>
    <t>heating value, wood, dry</t>
  </si>
  <si>
    <t>J/kg</t>
  </si>
  <si>
    <t>Dubbel_2005 L68</t>
  </si>
  <si>
    <t>density, wood, dry</t>
  </si>
  <si>
    <t>kg/m³</t>
  </si>
  <si>
    <t>Wärmetransport</t>
  </si>
  <si>
    <t>Heat, from wood, residues</t>
  </si>
  <si>
    <t>Conversion efficiency, heat to electricity</t>
  </si>
  <si>
    <t>Electricity, from wood residues</t>
  </si>
  <si>
    <t>land, appropriable</t>
  </si>
  <si>
    <t>AG35</t>
  </si>
  <si>
    <t>land, appropriable, total</t>
  </si>
  <si>
    <t>land remaining, total</t>
  </si>
  <si>
    <t>Incoming radiation density</t>
  </si>
  <si>
    <t>~fraction reflected at atmosphere</t>
  </si>
  <si>
    <t>~fraction absorbed in atmosphere</t>
  </si>
  <si>
    <t>~fraction received by surface</t>
  </si>
  <si>
    <t>~received by surface</t>
  </si>
  <si>
    <t>Solar energy inflow in the earth system</t>
  </si>
  <si>
    <t>Earth, surface area (sphere with r)</t>
  </si>
  <si>
    <t>Earth, cross section (circle with r)</t>
  </si>
  <si>
    <t>Earth, radius (r )</t>
  </si>
  <si>
    <t>AE_min</t>
  </si>
  <si>
    <t>radiation, incoming</t>
  </si>
  <si>
    <t>radiation, reflected at atmosphere</t>
  </si>
  <si>
    <t>radiation, absorbed by atmosphere</t>
  </si>
  <si>
    <t>radiation, received by surface</t>
  </si>
  <si>
    <t>AE_mode</t>
  </si>
  <si>
    <t>AE_max</t>
  </si>
  <si>
    <t>AE_d</t>
  </si>
  <si>
    <t>IE</t>
  </si>
  <si>
    <t>min</t>
  </si>
  <si>
    <t>mode</t>
  </si>
  <si>
    <t>max</t>
  </si>
  <si>
    <t>d</t>
  </si>
  <si>
    <t>X</t>
  </si>
  <si>
    <t>Results</t>
  </si>
  <si>
    <t>Input vector</t>
  </si>
  <si>
    <t>Distribution</t>
  </si>
  <si>
    <t>Monte-Carlo Simulation</t>
  </si>
  <si>
    <t>From "Solar"</t>
  </si>
  <si>
    <t>From "X"</t>
  </si>
  <si>
    <t>Szargut_2001, Kleidon_2012, Chen_2005</t>
  </si>
  <si>
    <t>conversion efficiency of system (system losses)</t>
  </si>
  <si>
    <t>Dubbel_2005</t>
  </si>
  <si>
    <t>Fraction of surface suitable for solar energy harvest</t>
  </si>
  <si>
    <t>Agriculture</t>
  </si>
  <si>
    <t>Wood, harvest, chemical energy</t>
  </si>
  <si>
    <t>radiation, on forest</t>
  </si>
  <si>
    <t>conversion efficiency, radiation to harvest</t>
  </si>
  <si>
    <t>Forest</t>
  </si>
  <si>
    <t>Hydro</t>
  </si>
  <si>
    <t>radaition, on ocean</t>
  </si>
  <si>
    <t>evaporation, from ocean</t>
  </si>
  <si>
    <t>km³/a</t>
  </si>
  <si>
    <t>https://www.nasa.gov/feature/goddard/nasa-balances-water-budget-with-new-estimates-of-liquid-assets</t>
  </si>
  <si>
    <t>m³/s</t>
  </si>
  <si>
    <t>enthalpy of vapor (at 15°C average surface temp)</t>
  </si>
  <si>
    <t>kJ/kg</t>
  </si>
  <si>
    <t>density of water (at 15°C)</t>
  </si>
  <si>
    <t>thermal energy in evaporation, from ocean</t>
  </si>
  <si>
    <t>river, runoff</t>
  </si>
  <si>
    <t>Rodell_2015</t>
  </si>
  <si>
    <t>potential energy in rivers</t>
  </si>
  <si>
    <t>Chen_2005, Schilling_2011</t>
  </si>
  <si>
    <t>mean elevation of river basin</t>
  </si>
  <si>
    <t>thermal energy in rivers</t>
  </si>
  <si>
    <t>conversion efficiency (hydraulic losses in ducts)</t>
  </si>
  <si>
    <t>conversion efficiency (turbine)</t>
  </si>
  <si>
    <t>conversion efficiency (generator)</t>
  </si>
  <si>
    <t>overall conversion efficiency</t>
  </si>
  <si>
    <t>Schilling_2011, Dubbel_2005</t>
  </si>
  <si>
    <t>Sigloch_2009 p358, Schilling_2011</t>
  </si>
  <si>
    <t>Schilling_2011</t>
  </si>
  <si>
    <t>https://www.iea.org/Sankey/#?c=World&amp;s=Balance</t>
  </si>
  <si>
    <t>hydropower installed (2015)</t>
  </si>
  <si>
    <t>fraction accessible to forward osmosis</t>
  </si>
  <si>
    <t>mixing free energy, fresh/saltwater</t>
  </si>
  <si>
    <t>Yip_2012</t>
  </si>
  <si>
    <t>conversion efficiency, forward osmosis</t>
  </si>
  <si>
    <t>mixing free energy, in river runoff, total</t>
  </si>
  <si>
    <t>electricity, FO</t>
  </si>
  <si>
    <t>LEcuyer_2015</t>
  </si>
  <si>
    <t>LEcuyer_2015, check also with Szargut_2001, Zahoransky_2008</t>
  </si>
  <si>
    <t>Polar, potential (Antarctica + Greenland)</t>
  </si>
  <si>
    <t>Land, rest</t>
  </si>
  <si>
    <t>Ramankutty_1999</t>
  </si>
  <si>
    <t>Ramankutty_1999, Rodell_2015</t>
  </si>
  <si>
    <t>assumption: geometry, access paths, roads,…</t>
  </si>
  <si>
    <t>forest, remaining</t>
  </si>
  <si>
    <t>forest, avaiable for sustainable use</t>
  </si>
  <si>
    <t>fraction of non-protected forest area</t>
  </si>
  <si>
    <t>forest, sustainable use, NAI</t>
  </si>
  <si>
    <t>Logging efficiency (harvest-residues)</t>
  </si>
  <si>
    <t>NAI, sustainable harvest</t>
  </si>
  <si>
    <t>conversion ratio: wood volume -&gt; chemical energy</t>
  </si>
  <si>
    <t>J*a/m³</t>
  </si>
  <si>
    <t>F_min</t>
  </si>
  <si>
    <t>F_mode</t>
  </si>
  <si>
    <t>F_max</t>
  </si>
  <si>
    <t>F_d</t>
  </si>
  <si>
    <t>(-3 sigma)</t>
  </si>
  <si>
    <t>XF</t>
  </si>
  <si>
    <t>Coastline, world</t>
  </si>
  <si>
    <t>Coastline, w/o Antarctica, Islands</t>
  </si>
  <si>
    <t xml:space="preserve"> </t>
  </si>
  <si>
    <t>World average: 840m (https://en.wikipedia.org/wiki/List_of_countries_by_average_elevation )</t>
  </si>
  <si>
    <t>Schilling_2011, Kleidon_2012, Miller_2011</t>
  </si>
  <si>
    <t>Wind energy, atmosphere</t>
  </si>
  <si>
    <t>mu</t>
  </si>
  <si>
    <t xml:space="preserve"> -3sigma</t>
  </si>
  <si>
    <t xml:space="preserve"> +3 sigma</t>
  </si>
  <si>
    <t>fraction of wind energy in boundary layer</t>
  </si>
  <si>
    <t>Miller_2011</t>
  </si>
  <si>
    <t>Wind turbine, height</t>
  </si>
  <si>
    <t>IEA_2013, Miller_2015</t>
  </si>
  <si>
    <t>Wind turbine, diameter</t>
  </si>
  <si>
    <t>IEA_2013</t>
  </si>
  <si>
    <t>Atmospheric boundary layer, heigth</t>
  </si>
  <si>
    <t>Roedel_2011</t>
  </si>
  <si>
    <t>b=H+D/2</t>
  </si>
  <si>
    <t>a=H-D/2</t>
  </si>
  <si>
    <t>z_0 roughness height</t>
  </si>
  <si>
    <t>O'Brien_2015, Krausmann_2008</t>
  </si>
  <si>
    <t>from Matlab</t>
  </si>
  <si>
    <t xml:space="preserve"> (-3sigma)</t>
  </si>
  <si>
    <t>(+3sigma)</t>
  </si>
  <si>
    <t>[m³/a]</t>
  </si>
  <si>
    <t>Accessible coastal sea surface</t>
  </si>
  <si>
    <t>wind turbine aerodynamic efficiency</t>
  </si>
  <si>
    <t>Schilling_2011 (needs to be smaller than 0,59 (Betz' limit))</t>
  </si>
  <si>
    <t>wind turbine, mechanical and electrical efficiency</t>
  </si>
  <si>
    <t>friction losses, generator losses, transmission losses, AC/DC/AC conversion losses</t>
  </si>
  <si>
    <t>wind turbine, overall efficiency</t>
  </si>
  <si>
    <t>Wave energy</t>
  </si>
  <si>
    <t>conversion efficiency, mechanical &amp; electrical</t>
  </si>
  <si>
    <t>conversion efficiency, hydraulic</t>
  </si>
  <si>
    <t>conversion efficency, overall</t>
  </si>
  <si>
    <t>Tide</t>
  </si>
  <si>
    <t>Tide energy</t>
  </si>
  <si>
    <t>Chen_2005</t>
  </si>
  <si>
    <t>Kleidon_2012</t>
  </si>
  <si>
    <t>Chen_2005, Accad_1978</t>
  </si>
  <si>
    <t>Geothermal</t>
  </si>
  <si>
    <t>Geothermal heat flux</t>
  </si>
  <si>
    <t>fraction of heat flux at high temperatures close to surface</t>
  </si>
  <si>
    <t>fraction of heat flux through land area</t>
  </si>
  <si>
    <t>Few places with high temperature heat flux</t>
  </si>
  <si>
    <t>Wave</t>
  </si>
  <si>
    <t>efficiency, radiation to river potential energy</t>
  </si>
  <si>
    <t>electricity, hydro</t>
  </si>
  <si>
    <t>efficiency, radiation to mixing free energy in rivers</t>
  </si>
  <si>
    <t>wind energy, atmosphere</t>
  </si>
  <si>
    <t>power in rotor layer/power in boundary layer</t>
  </si>
  <si>
    <t>electricity, wind</t>
  </si>
  <si>
    <t>electricity, tide</t>
  </si>
  <si>
    <t>electricity, geothermal</t>
  </si>
  <si>
    <t>from land</t>
  </si>
  <si>
    <t>Comment</t>
  </si>
  <si>
    <t>Accessible coastal sea surface, distance from coastline</t>
  </si>
  <si>
    <t>cropland</t>
  </si>
  <si>
    <t>forest plantations</t>
  </si>
  <si>
    <t>appropriable</t>
  </si>
  <si>
    <t>pasture</t>
  </si>
  <si>
    <t>total potential</t>
  </si>
  <si>
    <t>percentage of total</t>
  </si>
  <si>
    <t>total agriculture</t>
  </si>
  <si>
    <t>occupation of SOS</t>
  </si>
  <si>
    <t>cropland - max. SOS1%</t>
  </si>
  <si>
    <t>pasture - max. SOS1%</t>
  </si>
  <si>
    <t>built env. - max. SOS1%</t>
  </si>
  <si>
    <t>cropland (2000)</t>
  </si>
  <si>
    <t>pasture (2000)</t>
  </si>
  <si>
    <t>built env.</t>
  </si>
  <si>
    <t>comments</t>
  </si>
  <si>
    <t>agricultural desert use as of 2000, rest for infrastructure</t>
  </si>
  <si>
    <t>land use data</t>
  </si>
  <si>
    <t>built envrionment</t>
  </si>
  <si>
    <t>O'Brien 2015</t>
  </si>
  <si>
    <t>reference year</t>
  </si>
  <si>
    <t>a</t>
  </si>
  <si>
    <t>visualization</t>
  </si>
  <si>
    <t>Bioenergy estimations</t>
  </si>
  <si>
    <t>Data source</t>
  </si>
  <si>
    <t>Energy content of CH2O</t>
  </si>
  <si>
    <t>kJ/mol</t>
  </si>
  <si>
    <t>Woodward_1983, Kleidon_2012</t>
  </si>
  <si>
    <t>Clucose C6H12O6 is a simple multiplication of CH2O and has the same energy content per C atom</t>
  </si>
  <si>
    <t>Molar weight of C</t>
  </si>
  <si>
    <t>g/mol</t>
  </si>
  <si>
    <t>kJ/kgC</t>
  </si>
  <si>
    <t>conversion factor</t>
  </si>
  <si>
    <t>(W/m²)/(gC/m²a)</t>
  </si>
  <si>
    <t>average irradiation density on appropriable land</t>
  </si>
  <si>
    <t>from "land"</t>
  </si>
  <si>
    <t>NPP, cropland, actual</t>
  </si>
  <si>
    <t>gC/m²a</t>
  </si>
  <si>
    <t>Haberl_2007</t>
  </si>
  <si>
    <t>NPP, cropland, harvest</t>
  </si>
  <si>
    <t>NPP, pasture, actual</t>
  </si>
  <si>
    <t>NPP, pasture, harvest</t>
  </si>
  <si>
    <t>factor, NPP to harvest, cropland</t>
  </si>
  <si>
    <t>factor, NPP to harvest, pasture</t>
  </si>
  <si>
    <t>Marine NPP</t>
  </si>
  <si>
    <t>average NPP, oceans</t>
  </si>
  <si>
    <t>Stiling_1996</t>
  </si>
  <si>
    <t>average irradiation density on oceans</t>
  </si>
  <si>
    <t>factor, radiation to NPP, oceans</t>
  </si>
  <si>
    <t>factor, radiation to NPP, cropland</t>
  </si>
  <si>
    <t>factor, radiation to NPP, pasture</t>
  </si>
  <si>
    <t>irradiation appropriable</t>
  </si>
  <si>
    <t>on cropland</t>
  </si>
  <si>
    <t>on pasture</t>
  </si>
  <si>
    <t>on built envrionment</t>
  </si>
  <si>
    <t>appropriable land, w/o desert</t>
  </si>
  <si>
    <t>solar factor per biome</t>
  </si>
  <si>
    <t>radiation density</t>
  </si>
  <si>
    <t>infrastructure/total</t>
  </si>
  <si>
    <t>land use scenarios</t>
  </si>
  <si>
    <t>Ramankutty_2009</t>
  </si>
  <si>
    <t>Schneider_2009, http://sedac.ciesin.columbia.edu/data/collection/gpw-v4</t>
  </si>
  <si>
    <t>electricity, solar</t>
  </si>
  <si>
    <t>Scenario 1</t>
  </si>
  <si>
    <t>Scenario 2</t>
  </si>
  <si>
    <t>Scenario 3</t>
  </si>
  <si>
    <t>total w/o desert</t>
  </si>
  <si>
    <t>Ramankutty_1999, Snyder 2004</t>
  </si>
  <si>
    <t>Snyder 2004</t>
  </si>
  <si>
    <t>Snyder 2004, Rodell_2015</t>
  </si>
  <si>
    <t>cropland increase factor</t>
  </si>
  <si>
    <t>Convertible solar power</t>
  </si>
  <si>
    <t>Built environment outside desert regions</t>
  </si>
  <si>
    <t>Conversion efficiency of solar PV modules</t>
  </si>
  <si>
    <t>factor, reflection losses</t>
  </si>
  <si>
    <t>JRC_2018b</t>
  </si>
  <si>
    <t>factor, temperature + low irradiation effects</t>
  </si>
  <si>
    <t>overall efficiency</t>
  </si>
  <si>
    <t>Solar conversion in desert region</t>
  </si>
  <si>
    <t>overall efficiency, PV</t>
  </si>
  <si>
    <t>JRC_2018b, desert regions</t>
  </si>
  <si>
    <t>Convertible wind power</t>
  </si>
  <si>
    <t>Wind energy conversion</t>
  </si>
  <si>
    <t>offshore</t>
  </si>
  <si>
    <t>Land, savanna,</t>
  </si>
  <si>
    <t>fraction of surface area useable for wind parks</t>
  </si>
  <si>
    <t>assumption: access to ports, fisheries,…</t>
  </si>
  <si>
    <t>assumption: visual obstraction, noise,…</t>
  </si>
  <si>
    <t>Forest not suitable, because of too high surface roughness</t>
  </si>
  <si>
    <t>Boundary layer onshore</t>
  </si>
  <si>
    <t>Boundary layer offshore</t>
  </si>
  <si>
    <t>total onshore</t>
  </si>
  <si>
    <t>lawn to wheat field</t>
  </si>
  <si>
    <t>smooth surface to lawn</t>
  </si>
  <si>
    <t>J/m³</t>
  </si>
  <si>
    <t>Convertible hydro and FO power</t>
  </si>
  <si>
    <t>Forward osmosis</t>
  </si>
  <si>
    <t>ocean surface/global surface</t>
  </si>
  <si>
    <t>wave / wind energy above ocean surface</t>
  </si>
  <si>
    <t>wave / wind energy total</t>
  </si>
  <si>
    <t>wave</t>
  </si>
  <si>
    <t>fraction of coastline suitable for tide energy</t>
  </si>
  <si>
    <t>assumption: high amplitude, suitable geography</t>
  </si>
  <si>
    <t>fraction of tide energy dissipated at coastline</t>
  </si>
  <si>
    <t>assumption: friction on ocean floor</t>
  </si>
  <si>
    <t>Convertible geothermal power</t>
  </si>
  <si>
    <t>upper process temperature</t>
  </si>
  <si>
    <t>K</t>
  </si>
  <si>
    <t>Zahoransky_2009</t>
  </si>
  <si>
    <t>lower process temperature</t>
  </si>
  <si>
    <t>ambient temperature</t>
  </si>
  <si>
    <t>Carnot efficiency</t>
  </si>
  <si>
    <t>teoretical to practical efficiency</t>
  </si>
  <si>
    <t>conversion efficiency, wave to device</t>
  </si>
  <si>
    <t>conversion efficiency, WEC</t>
  </si>
  <si>
    <t>Wu_2018, Astariz_2015</t>
  </si>
  <si>
    <t>wave energy, coastal</t>
  </si>
  <si>
    <t>Gunn_2012</t>
  </si>
  <si>
    <t>wave park fraction</t>
  </si>
  <si>
    <t>Assumption</t>
  </si>
  <si>
    <t>Appropriable land surfaces</t>
  </si>
  <si>
    <t>land, total appropriable</t>
  </si>
  <si>
    <t>Irradiation on appropriable land surfaces</t>
  </si>
  <si>
    <t>Cropland</t>
  </si>
  <si>
    <t>infrastructure</t>
  </si>
  <si>
    <t>wind, onshore</t>
  </si>
  <si>
    <t>wind, offshore</t>
  </si>
  <si>
    <t>forward osmosis</t>
  </si>
  <si>
    <t>hydro power</t>
  </si>
  <si>
    <t>bio energy, ocean NPP</t>
  </si>
  <si>
    <t>bio energy, forest NPP</t>
  </si>
  <si>
    <t>bio energy, agricultural NPP</t>
  </si>
  <si>
    <t>solar, built enviornment (W/o desert)</t>
  </si>
  <si>
    <t>solar, desert</t>
  </si>
  <si>
    <t>tide</t>
  </si>
  <si>
    <t>geothermal</t>
  </si>
  <si>
    <t>wind</t>
  </si>
  <si>
    <t>bioenergy</t>
  </si>
  <si>
    <t>solar</t>
  </si>
  <si>
    <t>IPCC_2012</t>
  </si>
  <si>
    <t>resource potential</t>
  </si>
  <si>
    <t>?</t>
  </si>
  <si>
    <t>tech pot max</t>
  </si>
  <si>
    <t>tech pot min</t>
  </si>
  <si>
    <t>oil</t>
  </si>
  <si>
    <t>coal</t>
  </si>
  <si>
    <t>natural gas</t>
  </si>
  <si>
    <t>min, where applicable</t>
  </si>
  <si>
    <t>Krewitt_2009</t>
  </si>
  <si>
    <t>OTEC</t>
  </si>
  <si>
    <t>ocean thermal energy conversion</t>
  </si>
  <si>
    <t>Ocean thermal energy conversion</t>
  </si>
  <si>
    <t>heat flux with temperature difference &gt;20K</t>
  </si>
  <si>
    <t>assumption: space between heat exchanger surfaces, space for fisheries, access to ports</t>
  </si>
  <si>
    <t>electricity, OTEC</t>
  </si>
  <si>
    <t>fraction of heat flux technically useable</t>
  </si>
  <si>
    <t>Solar radiation, incoming</t>
  </si>
  <si>
    <t>Evaporation, from ocean</t>
  </si>
  <si>
    <t>radiation, Land, forest, tropical</t>
  </si>
  <si>
    <t>radiation, Land, forest, temporal</t>
  </si>
  <si>
    <t>radition, Land, forest, boreal</t>
  </si>
  <si>
    <t>radiation, Land, savanna, potential</t>
  </si>
  <si>
    <t>radiation, Land, grassland and steppe, potential</t>
  </si>
  <si>
    <t>radiation, land, shrubland and tundra, potential</t>
  </si>
  <si>
    <t>radiation, land, desert, potential</t>
  </si>
  <si>
    <t>radiation, land, polar, potential</t>
  </si>
  <si>
    <t>radiation, land, rest, potential</t>
  </si>
  <si>
    <t>potential energy, rivers</t>
  </si>
  <si>
    <t>mixing free energy, rivers</t>
  </si>
  <si>
    <t>0,5 percentile</t>
  </si>
  <si>
    <t>Total energy demand (2016)</t>
  </si>
  <si>
    <t>BFE_2016a, Dubbel_2005 L28(PV); solar thermal collectors do have a similar yearly yield, as in summer heat is not needed, compensated in winter by a higher efficiency</t>
  </si>
  <si>
    <t>Dinerstein_2017</t>
  </si>
  <si>
    <t>Powering a sustainable and circular economy</t>
  </si>
  <si>
    <t>A probabilistic approach to estimate global ecological potentials for renewable energy resources</t>
  </si>
  <si>
    <t>Harald Desing, Didier Beloin-Saint-Pierre, Rolf Widmer, Roland Hischier</t>
  </si>
  <si>
    <t>Empa - Technology and society laboratory, Lerchenfeldstrasse 5, 9014 St.Gallen, Switzerland</t>
  </si>
  <si>
    <t>corresponding author</t>
  </si>
  <si>
    <t>harald.desing@empa.ch</t>
  </si>
  <si>
    <t>Supplementary Information to the article</t>
  </si>
  <si>
    <t>Input values and output for the Matlab calculations</t>
  </si>
  <si>
    <t>Instructions:</t>
  </si>
  <si>
    <t>Matlab is reading all input parameters to the calculation and Monte-Carlo-Simulation from this file. Do not change the location of the cells, as otherwise Matlab will read the wrong cells (don't add or delete lines or columns).</t>
  </si>
  <si>
    <t>Cells where the user can add input are marked green</t>
  </si>
  <si>
    <t>All white cells with numbers are calculation cells, e.g. the min or max values are calculated for matlab input</t>
  </si>
  <si>
    <t>Cells with other colors are marked for cosmetic reasons are have  color code depending on the value of the cell (e.g. traffic light code for a balance check)</t>
  </si>
  <si>
    <t>Output from the Matlab calculations is marked in blue</t>
  </si>
  <si>
    <t>For the Monte Carlo simulation, each parameter needs to be specified with 4 values:</t>
  </si>
  <si>
    <t>quantiles</t>
  </si>
  <si>
    <t>(+3 u)</t>
  </si>
  <si>
    <t>(-3 u)</t>
  </si>
  <si>
    <t>avg.</t>
  </si>
  <si>
    <t>share of the 0,01 quantile</t>
  </si>
  <si>
    <t>P_el / W</t>
  </si>
  <si>
    <t>Comparison to other studies</t>
  </si>
  <si>
    <t>Limits for electricity production form renewable energy resources</t>
  </si>
  <si>
    <t>renewable energy resource</t>
  </si>
  <si>
    <t>#</t>
  </si>
  <si>
    <t>RE potential with 99% confidence</t>
  </si>
  <si>
    <t>calculation of transfer coefficients (TC) on land for matrix A</t>
  </si>
  <si>
    <t>Input vector for energy flow modeling</t>
  </si>
  <si>
    <t>population projected in 2100</t>
  </si>
  <si>
    <t>sigma</t>
  </si>
  <si>
    <t>Electricity potential per capita</t>
  </si>
  <si>
    <t>W/cap</t>
  </si>
  <si>
    <t>Electricity potential w/o deserts per capita</t>
  </si>
  <si>
    <t>Comparison to world population</t>
  </si>
  <si>
    <t>mean</t>
  </si>
  <si>
    <t>+</t>
  </si>
  <si>
    <t>98% confidence</t>
  </si>
  <si>
    <t>withdrawal boundary (fraction of runoff)</t>
  </si>
  <si>
    <t>fraction for hydro power</t>
  </si>
  <si>
    <t>balance to line 17</t>
  </si>
  <si>
    <t>EWEA_2016</t>
  </si>
  <si>
    <t>99% confidence value</t>
  </si>
  <si>
    <t>P_ecol.pot,i/W</t>
  </si>
  <si>
    <t>total renewable</t>
  </si>
  <si>
    <t>total non renewable</t>
  </si>
  <si>
    <t>overall total</t>
  </si>
  <si>
    <t>tau</t>
  </si>
  <si>
    <t>IEA_2018</t>
  </si>
  <si>
    <t>CH electricity</t>
  </si>
  <si>
    <t>electricity, high voltage//[CH] electricity, high voltage, production mix</t>
  </si>
  <si>
    <t>electricity, high voltage//[DE] electricity, high voltage, production mix</t>
  </si>
  <si>
    <t>transport, passenger car, electric//[GLO] transport, passenger car, electric</t>
  </si>
  <si>
    <t>transport, passenger car, medium size, diesel, EURO 5//[GLO] market for transport, passenger car, medium size, diesel, EURO 5</t>
  </si>
  <si>
    <t>light commercial vehicle//[GLO] market for light commercial vehicle</t>
  </si>
  <si>
    <t>unit</t>
  </si>
  <si>
    <t>Uranium</t>
  </si>
  <si>
    <t>DE electricity</t>
  </si>
  <si>
    <t>electric car transport</t>
  </si>
  <si>
    <t>diesel car transport</t>
  </si>
  <si>
    <t>light comercial vehicle</t>
  </si>
  <si>
    <t>MJ/km</t>
  </si>
  <si>
    <t>MJ/unit</t>
  </si>
  <si>
    <t>share in total energy mix</t>
  </si>
  <si>
    <t>x_i-avg(x)</t>
  </si>
  <si>
    <t>y_i-avg(y)</t>
  </si>
  <si>
    <t>r_xy</t>
  </si>
  <si>
    <t>(xi-avg(x))*(yi-avg(y))</t>
  </si>
  <si>
    <t>(x_i-avg(x))^2</t>
  </si>
  <si>
    <t>Building with exclusive solar power</t>
  </si>
  <si>
    <t>Biofuel</t>
  </si>
  <si>
    <t>equal mix</t>
  </si>
  <si>
    <t>equal renewable mix</t>
  </si>
  <si>
    <t>MJ/W</t>
  </si>
  <si>
    <t>MJ/(W km)</t>
  </si>
  <si>
    <t>MJ/(W unit)</t>
  </si>
  <si>
    <t>Wind + hydro</t>
  </si>
  <si>
    <t>ecoinvent #</t>
  </si>
  <si>
    <t>deviation from average</t>
  </si>
  <si>
    <t>covariance</t>
  </si>
  <si>
    <t>variance</t>
  </si>
  <si>
    <t>Indicators</t>
  </si>
  <si>
    <t>REF (renewable energy fraction)</t>
  </si>
  <si>
    <t>Variable</t>
  </si>
  <si>
    <t>description</t>
  </si>
  <si>
    <t>nuclear</t>
  </si>
  <si>
    <t>P_el / MJ/kWh</t>
  </si>
  <si>
    <t>REI = REF * ABS(r_xy)</t>
  </si>
  <si>
    <t>electricity, high voltage//[NL] electricity, high voltage, production mix</t>
  </si>
  <si>
    <t>NL electricity</t>
  </si>
  <si>
    <t>Indicator test</t>
  </si>
  <si>
    <t>average tau</t>
  </si>
  <si>
    <t>cropland/ total</t>
  </si>
  <si>
    <t>pasture/ total</t>
  </si>
  <si>
    <t>built env. (2015)</t>
  </si>
  <si>
    <t>factor</t>
  </si>
  <si>
    <t>cropland (2010)</t>
  </si>
  <si>
    <t>Land use scenario scaled (relative land use as in 2000 (Ramankutty_2008), infrastructure fraction 2000 (Schneider_2009))</t>
  </si>
  <si>
    <t>scenario scaled</t>
  </si>
  <si>
    <t>O'Brien (2015) reports a lower value for 2010 then Schneider (2009) for 2000. Therefore for 2010 the value for 2015 from worldbank is taken</t>
  </si>
  <si>
    <t>Forest plantations are seen part of cropland (e.g. oil palm plantation)</t>
  </si>
  <si>
    <t>Scenario "crop + " (max. cropland)</t>
  </si>
  <si>
    <t>scenario crop+</t>
  </si>
  <si>
    <t>Scenario "crop/infra" (cropland as 2010 and built environment as 2015, pasture rescaled; desert: cropland and pasture as 2010, built environment for rest)</t>
  </si>
  <si>
    <t>scenario crop/infra</t>
  </si>
  <si>
    <t>Daioglou_2016</t>
  </si>
  <si>
    <t>per person/W</t>
  </si>
  <si>
    <t>O'Brien_2015 (13% of forest is protected today, 36% of forest is primary today), Dinerstein_2017</t>
  </si>
  <si>
    <t>waste</t>
  </si>
  <si>
    <t>Smith_2012</t>
  </si>
  <si>
    <t>IPCC_2019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</si>
</sst>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E+00"/>
    <numFmt numFmtId="168" formatCode="0.00000"/>
    <numFmt numFmtId="169" formatCode="0.000E+00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126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11" fontId="0" fillId="2" borderId="0" xfId="0" applyNumberFormat="1" applyFill="1"/>
    <xf numFmtId="165" fontId="0" fillId="2" borderId="0" xfId="0" applyNumberFormat="1" applyFill="1"/>
    <xf numFmtId="11" fontId="0" fillId="0" borderId="0" xfId="0" applyNumberFormat="1" applyFill="1"/>
    <xf numFmtId="11" fontId="0" fillId="3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11" fontId="0" fillId="4" borderId="0" xfId="0" applyNumberFormat="1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0" fontId="0" fillId="0" borderId="0" xfId="3" applyNumberFormat="1" applyFont="1"/>
    <xf numFmtId="10" fontId="0" fillId="3" borderId="0" xfId="3" applyNumberFormat="1" applyFont="1" applyFill="1"/>
    <xf numFmtId="10" fontId="0" fillId="4" borderId="0" xfId="3" applyNumberFormat="1" applyFont="1" applyFill="1"/>
    <xf numFmtId="1" fontId="0" fillId="0" borderId="0" xfId="0" applyNumberFormat="1" applyAlignment="1">
      <alignment textRotation="90"/>
    </xf>
    <xf numFmtId="0" fontId="0" fillId="0" borderId="0" xfId="0" applyAlignment="1">
      <alignment horizontal="left"/>
    </xf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2" xfId="0" applyBorder="1"/>
    <xf numFmtId="11" fontId="0" fillId="0" borderId="2" xfId="0" applyNumberFormat="1" applyBorder="1"/>
    <xf numFmtId="0" fontId="0" fillId="5" borderId="0" xfId="0" applyFill="1"/>
    <xf numFmtId="0" fontId="4" fillId="0" borderId="0" xfId="4"/>
    <xf numFmtId="0" fontId="0" fillId="0" borderId="0" xfId="0" applyAlignment="1">
      <alignment horizontal="left"/>
    </xf>
    <xf numFmtId="165" fontId="0" fillId="0" borderId="0" xfId="0" applyNumberFormat="1" applyFill="1" applyBorder="1"/>
    <xf numFmtId="167" fontId="0" fillId="0" borderId="0" xfId="0" applyNumberFormat="1"/>
    <xf numFmtId="167" fontId="0" fillId="2" borderId="0" xfId="0" applyNumberFormat="1" applyFill="1"/>
    <xf numFmtId="167" fontId="0" fillId="0" borderId="0" xfId="0" applyNumberFormat="1" applyFill="1"/>
    <xf numFmtId="1" fontId="0" fillId="0" borderId="0" xfId="0" applyNumberFormat="1" applyFill="1"/>
    <xf numFmtId="1" fontId="0" fillId="0" borderId="2" xfId="0" applyNumberFormat="1" applyBorder="1"/>
    <xf numFmtId="0" fontId="0" fillId="0" borderId="0" xfId="0" applyBorder="1"/>
    <xf numFmtId="166" fontId="0" fillId="2" borderId="0" xfId="0" applyNumberFormat="1" applyFill="1"/>
    <xf numFmtId="1" fontId="0" fillId="2" borderId="0" xfId="0" applyNumberFormat="1" applyFill="1"/>
    <xf numFmtId="1" fontId="0" fillId="5" borderId="0" xfId="0" applyNumberFormat="1" applyFill="1"/>
    <xf numFmtId="1" fontId="0" fillId="0" borderId="0" xfId="0" applyNumberFormat="1" applyFill="1" applyBorder="1"/>
    <xf numFmtId="166" fontId="0" fillId="0" borderId="2" xfId="0" applyNumberFormat="1" applyBorder="1"/>
    <xf numFmtId="168" fontId="0" fillId="0" borderId="0" xfId="0" applyNumberFormat="1"/>
    <xf numFmtId="1" fontId="5" fillId="2" borderId="0" xfId="0" applyNumberFormat="1" applyFont="1" applyFill="1"/>
    <xf numFmtId="0" fontId="0" fillId="6" borderId="0" xfId="0" applyFill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1" fontId="0" fillId="6" borderId="0" xfId="0" applyNumberFormat="1" applyFill="1"/>
    <xf numFmtId="2" fontId="0" fillId="0" borderId="0" xfId="0" applyNumberFormat="1"/>
    <xf numFmtId="2" fontId="0" fillId="2" borderId="0" xfId="0" applyNumberFormat="1" applyFill="1"/>
    <xf numFmtId="166" fontId="0" fillId="0" borderId="0" xfId="0" applyNumberFormat="1" applyFill="1"/>
    <xf numFmtId="2" fontId="0" fillId="5" borderId="0" xfId="0" applyNumberFormat="1" applyFill="1"/>
    <xf numFmtId="11" fontId="0" fillId="5" borderId="0" xfId="0" applyNumberFormat="1" applyFill="1"/>
    <xf numFmtId="1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166" fontId="6" fillId="5" borderId="0" xfId="0" applyNumberFormat="1" applyFont="1" applyFill="1"/>
    <xf numFmtId="11" fontId="6" fillId="5" borderId="0" xfId="0" applyNumberFormat="1" applyFont="1" applyFill="1"/>
    <xf numFmtId="169" fontId="0" fillId="0" borderId="0" xfId="0" applyNumberFormat="1"/>
    <xf numFmtId="165" fontId="6" fillId="0" borderId="0" xfId="0" applyNumberFormat="1" applyFont="1"/>
    <xf numFmtId="165" fontId="6" fillId="6" borderId="0" xfId="0" applyNumberFormat="1" applyFont="1" applyFill="1"/>
    <xf numFmtId="169" fontId="6" fillId="0" borderId="0" xfId="0" applyNumberFormat="1" applyFont="1"/>
    <xf numFmtId="0" fontId="0" fillId="0" borderId="0" xfId="0" applyAlignment="1">
      <alignment wrapText="1"/>
    </xf>
    <xf numFmtId="166" fontId="7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7" borderId="0" xfId="0" applyFill="1"/>
    <xf numFmtId="0" fontId="4" fillId="0" borderId="0" xfId="4" applyAlignment="1">
      <alignment wrapText="1"/>
    </xf>
    <xf numFmtId="11" fontId="0" fillId="7" borderId="0" xfId="0" applyNumberFormat="1" applyFill="1"/>
    <xf numFmtId="0" fontId="0" fillId="7" borderId="2" xfId="0" applyFill="1" applyBorder="1"/>
    <xf numFmtId="0" fontId="0" fillId="7" borderId="1" xfId="0" applyFill="1" applyBorder="1"/>
    <xf numFmtId="167" fontId="0" fillId="7" borderId="2" xfId="0" applyNumberFormat="1" applyFill="1" applyBorder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5" fillId="5" borderId="0" xfId="0" applyFont="1" applyFill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11" fontId="0" fillId="7" borderId="3" xfId="0" applyNumberFormat="1" applyFill="1" applyBorder="1"/>
    <xf numFmtId="11" fontId="0" fillId="7" borderId="4" xfId="0" applyNumberFormat="1" applyFill="1" applyBorder="1"/>
    <xf numFmtId="11" fontId="0" fillId="7" borderId="5" xfId="0" applyNumberFormat="1" applyFill="1" applyBorder="1"/>
    <xf numFmtId="11" fontId="0" fillId="7" borderId="6" xfId="0" applyNumberFormat="1" applyFill="1" applyBorder="1"/>
    <xf numFmtId="11" fontId="0" fillId="7" borderId="0" xfId="0" applyNumberFormat="1" applyFill="1" applyBorder="1"/>
    <xf numFmtId="11" fontId="0" fillId="7" borderId="7" xfId="0" applyNumberFormat="1" applyFill="1" applyBorder="1"/>
    <xf numFmtId="11" fontId="0" fillId="7" borderId="8" xfId="0" applyNumberFormat="1" applyFill="1" applyBorder="1"/>
    <xf numFmtId="11" fontId="0" fillId="7" borderId="9" xfId="0" applyNumberFormat="1" applyFill="1" applyBorder="1"/>
    <xf numFmtId="11" fontId="0" fillId="7" borderId="10" xfId="0" applyNumberFormat="1" applyFill="1" applyBorder="1"/>
    <xf numFmtId="165" fontId="0" fillId="5" borderId="0" xfId="0" applyNumberFormat="1" applyFill="1"/>
    <xf numFmtId="2" fontId="0" fillId="7" borderId="0" xfId="0" applyNumberFormat="1" applyFill="1"/>
    <xf numFmtId="11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0" fontId="11" fillId="0" borderId="0" xfId="5" applyAlignment="1">
      <alignment horizontal="center" vertical="top" wrapText="1"/>
    </xf>
    <xf numFmtId="0" fontId="11" fillId="0" borderId="0" xfId="5"/>
    <xf numFmtId="0" fontId="11" fillId="0" borderId="0" xfId="5" applyFill="1"/>
    <xf numFmtId="11" fontId="11" fillId="0" borderId="0" xfId="5" applyNumberFormat="1" applyFill="1"/>
    <xf numFmtId="0" fontId="12" fillId="0" borderId="0" xfId="5" applyFont="1"/>
    <xf numFmtId="11" fontId="12" fillId="0" borderId="0" xfId="5" applyNumberFormat="1" applyFont="1" applyFill="1"/>
    <xf numFmtId="0" fontId="11" fillId="5" borderId="0" xfId="5" applyFill="1"/>
    <xf numFmtId="0" fontId="11" fillId="5" borderId="0" xfId="5" applyFill="1" applyAlignment="1">
      <alignment horizontal="left" vertical="top" wrapText="1"/>
    </xf>
    <xf numFmtId="11" fontId="12" fillId="0" borderId="0" xfId="5" applyNumberFormat="1" applyFont="1"/>
    <xf numFmtId="1" fontId="6" fillId="5" borderId="0" xfId="0" applyNumberFormat="1" applyFont="1" applyFill="1"/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1" fontId="0" fillId="5" borderId="0" xfId="0" applyNumberFormat="1" applyFill="1" applyAlignment="1">
      <alignment horizontal="left"/>
    </xf>
    <xf numFmtId="11" fontId="0" fillId="5" borderId="0" xfId="0" applyNumberFormat="1" applyFill="1" applyAlignment="1">
      <alignment horizontal="left" wrapText="1"/>
    </xf>
  </cellXfs>
  <cellStyles count="6">
    <cellStyle name="Link" xfId="4" builtinId="8"/>
    <cellStyle name="Normal 2" xfId="2"/>
    <cellStyle name="Normal_Climate chg convs" xfId="1"/>
    <cellStyle name="Prozent" xfId="3" builtinId="5"/>
    <cellStyle name="Standard" xfId="0" builtinId="0"/>
    <cellStyle name="Standard 5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Land!$U$7</c:f>
              <c:strCache>
                <c:ptCount val="1"/>
                <c:pt idx="0">
                  <c:v>total surface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Land!$V$7:$Y$7</c:f>
              <c:numCache>
                <c:formatCode>General</c:formatCode>
                <c:ptCount val="4"/>
                <c:pt idx="0" formatCode="0.00E+00">
                  <c:v>511185932522525.5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50C-A892-8234102470FA}"/>
            </c:ext>
          </c:extLst>
        </c:ser>
        <c:ser>
          <c:idx val="1"/>
          <c:order val="1"/>
          <c:tx>
            <c:strRef>
              <c:f>Land!#REF!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A-450C-A892-8234102470FA}"/>
            </c:ext>
          </c:extLst>
        </c:ser>
        <c:ser>
          <c:idx val="2"/>
          <c:order val="2"/>
          <c:tx>
            <c:strRef>
              <c:f>Land!#REF!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A-450C-A892-8234102470FA}"/>
            </c:ext>
          </c:extLst>
        </c:ser>
        <c:ser>
          <c:idx val="3"/>
          <c:order val="3"/>
          <c:tx>
            <c:strRef>
              <c:f>Land!$U$8</c:f>
              <c:strCache>
                <c:ptCount val="1"/>
                <c:pt idx="0">
                  <c:v>tropical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Land!$V$8:$Y$8</c:f>
              <c:numCache>
                <c:formatCode>General</c:formatCode>
                <c:ptCount val="4"/>
                <c:pt idx="2" formatCode="0.00E+00">
                  <c:v>22590000000000</c:v>
                </c:pt>
                <c:pt idx="3" formatCode="0.00E+00">
                  <c:v>7341750000000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A-450C-A892-8234102470FA}"/>
            </c:ext>
          </c:extLst>
        </c:ser>
        <c:ser>
          <c:idx val="4"/>
          <c:order val="4"/>
          <c:tx>
            <c:strRef>
              <c:f>Land!$U$25</c:f>
              <c:strCache>
                <c:ptCount val="1"/>
                <c:pt idx="0">
                  <c:v>temporal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Land!$V$25:$Y$25</c:f>
              <c:numCache>
                <c:formatCode>General</c:formatCode>
                <c:ptCount val="4"/>
                <c:pt idx="2" formatCode="0.00E+00">
                  <c:v>17040000000000</c:v>
                </c:pt>
                <c:pt idx="3" formatCode="0.00E+00">
                  <c:v>11076000000000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A-450C-A892-8234102470FA}"/>
            </c:ext>
          </c:extLst>
        </c:ser>
        <c:ser>
          <c:idx val="5"/>
          <c:order val="5"/>
          <c:tx>
            <c:strRef>
              <c:f>Land!$U$10</c:f>
              <c:strCache>
                <c:ptCount val="1"/>
                <c:pt idx="0">
                  <c:v>boreal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Land!$V$10:$Y$10</c:f>
              <c:numCache>
                <c:formatCode>General</c:formatCode>
                <c:ptCount val="4"/>
                <c:pt idx="2" formatCode="0.00E+00">
                  <c:v>15650000000000</c:v>
                </c:pt>
                <c:pt idx="3" formatCode="0.00E+00">
                  <c:v>5086250000000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A-450C-A892-8234102470FA}"/>
            </c:ext>
          </c:extLst>
        </c:ser>
        <c:ser>
          <c:idx val="6"/>
          <c:order val="6"/>
          <c:tx>
            <c:strRef>
              <c:f>Land!$U$11</c:f>
              <c:strCache>
                <c:ptCount val="1"/>
                <c:pt idx="0">
                  <c:v>savanna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Land!$V$11:$Y$11</c:f>
              <c:numCache>
                <c:formatCode>General</c:formatCode>
                <c:ptCount val="4"/>
                <c:pt idx="2" formatCode="0.00E+00">
                  <c:v>19078920000000</c:v>
                </c:pt>
                <c:pt idx="3" formatCode="0.00E+00">
                  <c:v>9539460000000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A-450C-A892-8234102470FA}"/>
            </c:ext>
          </c:extLst>
        </c:ser>
        <c:ser>
          <c:idx val="7"/>
          <c:order val="7"/>
          <c:tx>
            <c:strRef>
              <c:f>Land!$U$12</c:f>
              <c:strCache>
                <c:ptCount val="1"/>
                <c:pt idx="0">
                  <c:v>grasland and steppe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Land!$V$12:$Y$12</c:f>
              <c:numCache>
                <c:formatCode>General</c:formatCode>
                <c:ptCount val="4"/>
                <c:pt idx="2" formatCode="0.00E+00">
                  <c:v>14120550000000</c:v>
                </c:pt>
                <c:pt idx="3" formatCode="0.00E+00">
                  <c:v>7060275000000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A-450C-A892-8234102470FA}"/>
            </c:ext>
          </c:extLst>
        </c:ser>
        <c:ser>
          <c:idx val="8"/>
          <c:order val="8"/>
          <c:tx>
            <c:strRef>
              <c:f>Land!$U$13</c:f>
              <c:strCache>
                <c:ptCount val="1"/>
                <c:pt idx="0">
                  <c:v>Shrubland and tundra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Land!$V$13:$Y$13</c:f>
              <c:numCache>
                <c:formatCode>General</c:formatCode>
                <c:ptCount val="4"/>
                <c:pt idx="2" formatCode="0.00E+00">
                  <c:v>24624630000000</c:v>
                </c:pt>
                <c:pt idx="3" formatCode="0.00E+00">
                  <c:v>12312315000000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A-450C-A892-8234102470FA}"/>
            </c:ext>
          </c:extLst>
        </c:ser>
        <c:ser>
          <c:idx val="9"/>
          <c:order val="9"/>
          <c:tx>
            <c:strRef>
              <c:f>Land!$U$14</c:f>
              <c:strCache>
                <c:ptCount val="1"/>
                <c:pt idx="0">
                  <c:v>rest of 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Land!$V$14:$Y$14</c:f>
              <c:numCache>
                <c:formatCode>General</c:formatCode>
                <c:ptCount val="4"/>
                <c:pt idx="2" formatCode="0.00E+00">
                  <c:v>1507270000000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A-450C-A892-8234102470FA}"/>
            </c:ext>
          </c:extLst>
        </c:ser>
        <c:ser>
          <c:idx val="10"/>
          <c:order val="10"/>
          <c:tx>
            <c:strRef>
              <c:f>Land!$U$15</c:f>
              <c:strCache>
                <c:ptCount val="1"/>
                <c:pt idx="0">
                  <c:v>desert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Land!$V$15:$Y$15</c:f>
              <c:numCache>
                <c:formatCode>General</c:formatCode>
                <c:ptCount val="4"/>
                <c:pt idx="2" formatCode="0.00E+00">
                  <c:v>15300000000000</c:v>
                </c:pt>
                <c:pt idx="3" formatCode="0.00E+00">
                  <c:v>7650000000000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A-450C-A892-8234102470FA}"/>
            </c:ext>
          </c:extLst>
        </c:ser>
        <c:ser>
          <c:idx val="11"/>
          <c:order val="11"/>
          <c:tx>
            <c:strRef>
              <c:f>Land!$U$16</c:f>
              <c:strCache>
                <c:ptCount val="1"/>
                <c:pt idx="0">
                  <c:v>polar 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Land!$V$2:$Y$2</c:f>
              <c:strCache>
                <c:ptCount val="4"/>
                <c:pt idx="0">
                  <c:v>total</c:v>
                </c:pt>
                <c:pt idx="1">
                  <c:v>land/water</c:v>
                </c:pt>
                <c:pt idx="2">
                  <c:v>unchanged</c:v>
                </c:pt>
                <c:pt idx="3">
                  <c:v>potential human appropriation</c:v>
                </c:pt>
              </c:strCache>
            </c:strRef>
          </c:cat>
          <c:val>
            <c:numRef>
              <c:f>Land!$V$16:$Y$16</c:f>
              <c:numCache>
                <c:formatCode>General</c:formatCode>
                <c:ptCount val="4"/>
                <c:pt idx="2" formatCode="0.00E+00">
                  <c:v>16000000000000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7A-450C-A892-82341024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688456"/>
        <c:axId val="472686488"/>
      </c:barChart>
      <c:catAx>
        <c:axId val="4726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6488"/>
        <c:crosses val="autoZero"/>
        <c:auto val="1"/>
        <c:lblAlgn val="ctr"/>
        <c:lblOffset val="100"/>
        <c:noMultiLvlLbl val="0"/>
      </c:catAx>
      <c:valAx>
        <c:axId val="4726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Appropriable</a:t>
            </a:r>
            <a:r>
              <a:rPr lang="en-US" baseline="0"/>
              <a:t> land (w/o desert)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Land!$A$51</c:f>
              <c:strCache>
                <c:ptCount val="1"/>
                <c:pt idx="0">
                  <c:v>forest, tropical, appropriable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Land!$E$51:$G$51</c:f>
              <c:numCache>
                <c:formatCode>0.0000</c:formatCode>
                <c:ptCount val="3"/>
                <c:pt idx="0">
                  <c:v>2.3108789364554121E-2</c:v>
                </c:pt>
                <c:pt idx="1">
                  <c:v>5.0316503778972128E-2</c:v>
                </c:pt>
                <c:pt idx="2">
                  <c:v>7.7786844918603229E-2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C24-A762-372470610848}"/>
            </c:ext>
          </c:extLst>
        </c:ser>
        <c:ser>
          <c:idx val="1"/>
          <c:order val="1"/>
          <c:tx>
            <c:strRef>
              <c:f>Land!$A$52</c:f>
              <c:strCache>
                <c:ptCount val="1"/>
                <c:pt idx="0">
                  <c:v>forest, temporal, appropriable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Land!$E$52:$G$52</c:f>
              <c:numCache>
                <c:formatCode>0.0000</c:formatCode>
                <c:ptCount val="3"/>
                <c:pt idx="0">
                  <c:v>5.8104437180463653E-2</c:v>
                </c:pt>
                <c:pt idx="1">
                  <c:v>7.5909094678502431E-2</c:v>
                </c:pt>
                <c:pt idx="2">
                  <c:v>9.3881387333368677E-2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C24-A762-372470610848}"/>
            </c:ext>
          </c:extLst>
        </c:ser>
        <c:ser>
          <c:idx val="2"/>
          <c:order val="2"/>
          <c:tx>
            <c:strRef>
              <c:f>Land!$A$53</c:f>
              <c:strCache>
                <c:ptCount val="1"/>
                <c:pt idx="0">
                  <c:v>forest, boreal, appropriable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Land!$E$53:$G$53</c:f>
              <c:numCache>
                <c:formatCode>0.0000</c:formatCode>
                <c:ptCount val="3"/>
                <c:pt idx="0">
                  <c:v>1.6009409187927044E-2</c:v>
                </c:pt>
                <c:pt idx="1">
                  <c:v>3.4858489780474268E-2</c:v>
                </c:pt>
                <c:pt idx="2">
                  <c:v>5.3889514075969036E-2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F-4C24-A762-372470610848}"/>
            </c:ext>
          </c:extLst>
        </c:ser>
        <c:ser>
          <c:idx val="3"/>
          <c:order val="3"/>
          <c:tx>
            <c:strRef>
              <c:f>Land!$A$54</c:f>
              <c:strCache>
                <c:ptCount val="1"/>
                <c:pt idx="0">
                  <c:v>Savanna, appropriable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Land!$E$54:$G$54</c:f>
              <c:numCache>
                <c:formatCode>0.0000</c:formatCode>
                <c:ptCount val="3"/>
                <c:pt idx="0">
                  <c:v>6.5056919519430267E-2</c:v>
                </c:pt>
                <c:pt idx="1">
                  <c:v>6.5378455428113658E-2</c:v>
                </c:pt>
                <c:pt idx="2">
                  <c:v>6.5696723827111003E-2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F-4C24-A762-372470610848}"/>
            </c:ext>
          </c:extLst>
        </c:ser>
        <c:ser>
          <c:idx val="4"/>
          <c:order val="4"/>
          <c:tx>
            <c:strRef>
              <c:f>Land!$A$55</c:f>
              <c:strCache>
                <c:ptCount val="1"/>
                <c:pt idx="0">
                  <c:v>Grassland, appropriable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Land!$E$55:$G$55</c:f>
              <c:numCache>
                <c:formatCode>0.0000</c:formatCode>
                <c:ptCount val="3"/>
                <c:pt idx="0">
                  <c:v>4.8149448968814325E-2</c:v>
                </c:pt>
                <c:pt idx="1">
                  <c:v>4.8387421761580333E-2</c:v>
                </c:pt>
                <c:pt idx="2">
                  <c:v>4.8622976229100612E-2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F-4C24-A762-372470610848}"/>
            </c:ext>
          </c:extLst>
        </c:ser>
        <c:ser>
          <c:idx val="5"/>
          <c:order val="5"/>
          <c:tx>
            <c:strRef>
              <c:f>Land!$A$56</c:f>
              <c:strCache>
                <c:ptCount val="1"/>
                <c:pt idx="0">
                  <c:v>Shrubland and Tundra, appropriable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Land!$E$56:$G$56</c:f>
              <c:numCache>
                <c:formatCode>0.0000</c:formatCode>
                <c:ptCount val="3"/>
                <c:pt idx="0">
                  <c:v>8.3967151814974217E-2</c:v>
                </c:pt>
                <c:pt idx="1">
                  <c:v>8.4382149245805865E-2</c:v>
                </c:pt>
                <c:pt idx="2">
                  <c:v>8.4792929393005076E-2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F-4C24-A762-372470610848}"/>
            </c:ext>
          </c:extLst>
        </c:ser>
        <c:ser>
          <c:idx val="6"/>
          <c:order val="6"/>
          <c:tx>
            <c:v>today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(Land!$B$75,Land!$C$75,Land!$D$75,Land!$F$74)</c:f>
              <c:numCache>
                <c:formatCode>General</c:formatCode>
                <c:ptCount val="4"/>
                <c:pt idx="3" formatCode="0.000">
                  <c:v>0.35812836244358476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1-4B92-8F64-BE7521E7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1400096"/>
        <c:axId val="451400424"/>
      </c:barChart>
      <c:catAx>
        <c:axId val="4514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0424"/>
        <c:crosses val="autoZero"/>
        <c:auto val="1"/>
        <c:lblAlgn val="ctr"/>
        <c:lblOffset val="100"/>
        <c:noMultiLvlLbl val="0"/>
      </c:catAx>
      <c:valAx>
        <c:axId val="451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Appropriable</a:t>
            </a:r>
            <a:r>
              <a:rPr lang="en-US" baseline="0"/>
              <a:t> land (w desert)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Land!$A$60</c:f>
              <c:strCache>
                <c:ptCount val="1"/>
                <c:pt idx="0">
                  <c:v>forest, tropical, appropriable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Land!$E$60:$G$60</c:f>
              <c:numCache>
                <c:formatCode>0.0000</c:formatCode>
                <c:ptCount val="3"/>
                <c:pt idx="0">
                  <c:v>2.3108789364554121E-2</c:v>
                </c:pt>
                <c:pt idx="1">
                  <c:v>5.0316503778972128E-2</c:v>
                </c:pt>
                <c:pt idx="2">
                  <c:v>7.7786844918603229E-2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A-450D-B8D4-2F12F7334F37}"/>
            </c:ext>
          </c:extLst>
        </c:ser>
        <c:ser>
          <c:idx val="1"/>
          <c:order val="1"/>
          <c:tx>
            <c:strRef>
              <c:f>Land!$A$61</c:f>
              <c:strCache>
                <c:ptCount val="1"/>
                <c:pt idx="0">
                  <c:v>forest, temporal, appropriable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Land!$E$61:$G$61</c:f>
              <c:numCache>
                <c:formatCode>0.0000</c:formatCode>
                <c:ptCount val="3"/>
                <c:pt idx="0">
                  <c:v>5.8104437180463653E-2</c:v>
                </c:pt>
                <c:pt idx="1">
                  <c:v>7.5909094678502431E-2</c:v>
                </c:pt>
                <c:pt idx="2">
                  <c:v>9.3881387333368677E-2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A-450D-B8D4-2F12F7334F37}"/>
            </c:ext>
          </c:extLst>
        </c:ser>
        <c:ser>
          <c:idx val="2"/>
          <c:order val="2"/>
          <c:tx>
            <c:strRef>
              <c:f>Land!$A$62</c:f>
              <c:strCache>
                <c:ptCount val="1"/>
                <c:pt idx="0">
                  <c:v>forest, boreal, appropriable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Land!$E$62:$G$62</c:f>
              <c:numCache>
                <c:formatCode>0.0000</c:formatCode>
                <c:ptCount val="3"/>
                <c:pt idx="0">
                  <c:v>1.6009409187927044E-2</c:v>
                </c:pt>
                <c:pt idx="1">
                  <c:v>3.4858489780474268E-2</c:v>
                </c:pt>
                <c:pt idx="2">
                  <c:v>5.3889514075969036E-2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A-450D-B8D4-2F12F7334F37}"/>
            </c:ext>
          </c:extLst>
        </c:ser>
        <c:ser>
          <c:idx val="3"/>
          <c:order val="3"/>
          <c:tx>
            <c:strRef>
              <c:f>Land!$A$63</c:f>
              <c:strCache>
                <c:ptCount val="1"/>
                <c:pt idx="0">
                  <c:v>Savanna, appropriable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Land!$E$63:$G$63</c:f>
              <c:numCache>
                <c:formatCode>0.0000</c:formatCode>
                <c:ptCount val="3"/>
                <c:pt idx="0">
                  <c:v>6.5056919519430267E-2</c:v>
                </c:pt>
                <c:pt idx="1">
                  <c:v>6.5378455428113658E-2</c:v>
                </c:pt>
                <c:pt idx="2">
                  <c:v>6.5696723827111003E-2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A-450D-B8D4-2F12F7334F37}"/>
            </c:ext>
          </c:extLst>
        </c:ser>
        <c:ser>
          <c:idx val="4"/>
          <c:order val="4"/>
          <c:tx>
            <c:strRef>
              <c:f>Land!$A$64</c:f>
              <c:strCache>
                <c:ptCount val="1"/>
                <c:pt idx="0">
                  <c:v>Grassland, appropriable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Land!$E$64:$G$64</c:f>
              <c:numCache>
                <c:formatCode>0.0000</c:formatCode>
                <c:ptCount val="3"/>
                <c:pt idx="0">
                  <c:v>4.8149448968814325E-2</c:v>
                </c:pt>
                <c:pt idx="1">
                  <c:v>4.8387421761580333E-2</c:v>
                </c:pt>
                <c:pt idx="2">
                  <c:v>4.8622976229100612E-2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A-450D-B8D4-2F12F7334F37}"/>
            </c:ext>
          </c:extLst>
        </c:ser>
        <c:ser>
          <c:idx val="5"/>
          <c:order val="5"/>
          <c:tx>
            <c:strRef>
              <c:f>Land!$A$65</c:f>
              <c:strCache>
                <c:ptCount val="1"/>
                <c:pt idx="0">
                  <c:v>Shrubland and Tundra, appropriable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Land!$E$65:$G$65</c:f>
              <c:numCache>
                <c:formatCode>0.0000</c:formatCode>
                <c:ptCount val="3"/>
                <c:pt idx="0">
                  <c:v>8.3967151814974217E-2</c:v>
                </c:pt>
                <c:pt idx="1">
                  <c:v>8.4382149245805865E-2</c:v>
                </c:pt>
                <c:pt idx="2">
                  <c:v>8.4792929393005076E-2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5A-450D-B8D4-2F12F7334F37}"/>
            </c:ext>
          </c:extLst>
        </c:ser>
        <c:ser>
          <c:idx val="6"/>
          <c:order val="6"/>
          <c:tx>
            <c:strRef>
              <c:f>Land!$A$66</c:f>
              <c:strCache>
                <c:ptCount val="1"/>
                <c:pt idx="0">
                  <c:v>Desert, appropriable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Land!$E$2:$G$2</c:f>
              <c:strCache>
                <c:ptCount val="3"/>
                <c:pt idx="0">
                  <c:v>min</c:v>
                </c:pt>
                <c:pt idx="1">
                  <c:v>mode</c:v>
                </c:pt>
                <c:pt idx="2">
                  <c:v>max</c:v>
                </c:pt>
              </c:strCache>
            </c:strRef>
          </c:cat>
          <c:val>
            <c:numRef>
              <c:f>Land!$E$66:$G$66</c:f>
              <c:numCache>
                <c:formatCode>0.0000</c:formatCode>
                <c:ptCount val="3"/>
                <c:pt idx="0">
                  <c:v>5.2171237609219129E-2</c:v>
                </c:pt>
                <c:pt idx="1">
                  <c:v>5.2429087602974329E-2</c:v>
                </c:pt>
                <c:pt idx="2">
                  <c:v>5.2684317275548002E-2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A-450D-B8D4-2F12F7334F37}"/>
            </c:ext>
          </c:extLst>
        </c:ser>
        <c:ser>
          <c:idx val="7"/>
          <c:order val="7"/>
          <c:tx>
            <c:v>today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(Land!$B$75,Land!$C$75,Land!$D$75,Land!$F$75)</c:f>
              <c:numCache>
                <c:formatCode>General</c:formatCode>
                <c:ptCount val="4"/>
                <c:pt idx="3" formatCode="0.000">
                  <c:v>0.35812836244358476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5A-450D-B8D4-2F12F733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1400096"/>
        <c:axId val="451400424"/>
      </c:barChart>
      <c:catAx>
        <c:axId val="4514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0424"/>
        <c:crosses val="autoZero"/>
        <c:auto val="1"/>
        <c:lblAlgn val="ctr"/>
        <c:lblOffset val="100"/>
        <c:noMultiLvlLbl val="0"/>
      </c:catAx>
      <c:valAx>
        <c:axId val="451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LandUse!$A$78</c:f>
              <c:strCache>
                <c:ptCount val="1"/>
                <c:pt idx="0">
                  <c:v>built envrionment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LandUse!$C$78:$K$78</c:f>
              <c:numCache>
                <c:formatCode>0.00E+00</c:formatCode>
                <c:ptCount val="9"/>
                <c:pt idx="0">
                  <c:v>3524000000000</c:v>
                </c:pt>
                <c:pt idx="1">
                  <c:v>3630000000000</c:v>
                </c:pt>
                <c:pt idx="3">
                  <c:v>3842085071207.2036</c:v>
                </c:pt>
                <c:pt idx="4">
                  <c:v>9626051898327.8906</c:v>
                </c:pt>
                <c:pt idx="5">
                  <c:v>9626051898327.8906</c:v>
                </c:pt>
                <c:pt idx="6">
                  <c:v>3627647058823.5293</c:v>
                </c:pt>
                <c:pt idx="7">
                  <c:v>3627647058823.5293</c:v>
                </c:pt>
                <c:pt idx="8">
                  <c:v>3627647058823.5293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C-4D21-B0FC-137A15A306F3}"/>
            </c:ext>
          </c:extLst>
        </c:ser>
        <c:ser>
          <c:idx val="1"/>
          <c:order val="1"/>
          <c:tx>
            <c:strRef>
              <c:f>LandUse!$A$79</c:f>
              <c:strCache>
                <c:ptCount val="1"/>
                <c:pt idx="0">
                  <c:v>cropland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LandUse!$C$79:$K$79</c:f>
              <c:numCache>
                <c:formatCode>0.00E+00</c:formatCode>
                <c:ptCount val="9"/>
                <c:pt idx="0">
                  <c:v>15000000000000</c:v>
                </c:pt>
                <c:pt idx="1">
                  <c:v>18100000000000</c:v>
                </c:pt>
                <c:pt idx="3">
                  <c:v>15524380639698.361</c:v>
                </c:pt>
                <c:pt idx="4">
                  <c:v>17128594038773.213</c:v>
                </c:pt>
                <c:pt idx="5">
                  <c:v>21719960705439.879</c:v>
                </c:pt>
                <c:pt idx="6">
                  <c:v>18800000000000</c:v>
                </c:pt>
                <c:pt idx="7">
                  <c:v>18800000000000</c:v>
                </c:pt>
                <c:pt idx="8" formatCode="General">
                  <c:v>21800000000000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C-4D21-B0FC-137A15A306F3}"/>
            </c:ext>
          </c:extLst>
        </c:ser>
        <c:ser>
          <c:idx val="2"/>
          <c:order val="2"/>
          <c:tx>
            <c:strRef>
              <c:f>LandUse!$A$80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LandUse!$C$80:$K$80</c:f>
              <c:numCache>
                <c:formatCode>0.00E+00</c:formatCode>
                <c:ptCount val="9"/>
                <c:pt idx="0">
                  <c:v>28089000000000</c:v>
                </c:pt>
                <c:pt idx="1">
                  <c:v>33600000000000</c:v>
                </c:pt>
                <c:pt idx="3">
                  <c:v>31453940482108.441</c:v>
                </c:pt>
                <c:pt idx="4">
                  <c:v>24065760255912.898</c:v>
                </c:pt>
                <c:pt idx="5">
                  <c:v>19474393589246.234</c:v>
                </c:pt>
                <c:pt idx="6">
                  <c:v>48000000000000</c:v>
                </c:pt>
                <c:pt idx="7">
                  <c:v>38800000000000</c:v>
                </c:pt>
                <c:pt idx="8">
                  <c:v>61900000000000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C-4D21-B0FC-137A15A306F3}"/>
            </c:ext>
          </c:extLst>
        </c:ser>
        <c:ser>
          <c:idx val="5"/>
          <c:order val="3"/>
          <c:tx>
            <c:strRef>
              <c:f>LandUse!$A$81</c:f>
              <c:strCache>
                <c:ptCount val="1"/>
                <c:pt idx="0">
                  <c:v>Land, forest, tropical, appropriable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LandUse!$C$81:$K$81</c:f>
              <c:numCache>
                <c:formatCode>General</c:formatCode>
                <c:ptCount val="9"/>
                <c:pt idx="2" formatCode="0.00E+00">
                  <c:v>3465771154192.458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C-4D21-B0FC-137A15A306F3}"/>
            </c:ext>
          </c:extLst>
        </c:ser>
        <c:ser>
          <c:idx val="6"/>
          <c:order val="4"/>
          <c:tx>
            <c:strRef>
              <c:f>LandUse!$A$82</c:f>
              <c:strCache>
                <c:ptCount val="1"/>
                <c:pt idx="0">
                  <c:v>Land, forest, temporal, appropriable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LandUse!$C$82:$K$82</c:f>
              <c:numCache>
                <c:formatCode>General</c:formatCode>
                <c:ptCount val="9"/>
                <c:pt idx="2" formatCode="0.00E+00">
                  <c:v>8570906249199.5781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C-4D21-B0FC-137A15A306F3}"/>
            </c:ext>
          </c:extLst>
        </c:ser>
        <c:ser>
          <c:idx val="7"/>
          <c:order val="5"/>
          <c:tx>
            <c:strRef>
              <c:f>LandUse!$A$83</c:f>
              <c:strCache>
                <c:ptCount val="1"/>
                <c:pt idx="0">
                  <c:v>Land, forest, boreal, appropriable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LandUse!$C$83:$K$83</c:f>
              <c:numCache>
                <c:formatCode>General</c:formatCode>
                <c:ptCount val="9"/>
                <c:pt idx="2" formatCode="0.00E+00">
                  <c:v>2401578945699.1055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C-4D21-B0FC-137A15A306F3}"/>
            </c:ext>
          </c:extLst>
        </c:ser>
        <c:ser>
          <c:idx val="8"/>
          <c:order val="6"/>
          <c:tx>
            <c:strRef>
              <c:f>LandUse!$A$84</c:f>
              <c:strCache>
                <c:ptCount val="1"/>
                <c:pt idx="0">
                  <c:v>Land, savanna, appropriable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LandUse!$C$84:$K$84</c:f>
              <c:numCache>
                <c:formatCode>General</c:formatCode>
                <c:ptCount val="9"/>
                <c:pt idx="2" formatCode="0.00E+00">
                  <c:v>9492567147575.8711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C-4D21-B0FC-137A15A306F3}"/>
            </c:ext>
          </c:extLst>
        </c:ser>
        <c:ser>
          <c:idx val="9"/>
          <c:order val="7"/>
          <c:tx>
            <c:strRef>
              <c:f>LandUse!$A$85</c:f>
              <c:strCache>
                <c:ptCount val="1"/>
                <c:pt idx="0">
                  <c:v>Land, grassland and steppe, appropriable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LandUse!$C$85:$K$85</c:f>
              <c:numCache>
                <c:formatCode>General</c:formatCode>
                <c:ptCount val="9"/>
                <c:pt idx="2" formatCode="0.00E+00">
                  <c:v>7025645488059.5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5C-4D21-B0FC-137A15A306F3}"/>
            </c:ext>
          </c:extLst>
        </c:ser>
        <c:ser>
          <c:idx val="10"/>
          <c:order val="8"/>
          <c:tx>
            <c:strRef>
              <c:f>LandUse!$A$86</c:f>
              <c:strCache>
                <c:ptCount val="1"/>
                <c:pt idx="0">
                  <c:v>land, shrubland and tundra, appropriable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LandUse!$C$86:$K$86</c:f>
              <c:numCache>
                <c:formatCode>General</c:formatCode>
                <c:ptCount val="9"/>
                <c:pt idx="2" formatCode="0.00E+00">
                  <c:v>12251657327475.357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5C-4D21-B0FC-137A15A306F3}"/>
            </c:ext>
          </c:extLst>
        </c:ser>
        <c:ser>
          <c:idx val="11"/>
          <c:order val="9"/>
          <c:tx>
            <c:strRef>
              <c:f>LandUse!$A$87</c:f>
              <c:strCache>
                <c:ptCount val="1"/>
                <c:pt idx="0">
                  <c:v>land, desert, appropriable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LandUse!$C$77:$K$77</c:f>
              <c:strCache>
                <c:ptCount val="9"/>
                <c:pt idx="0">
                  <c:v>2000</c:v>
                </c:pt>
                <c:pt idx="1">
                  <c:v>2010</c:v>
                </c:pt>
                <c:pt idx="2">
                  <c:v>appropriable</c:v>
                </c:pt>
                <c:pt idx="3">
                  <c:v>scenario scaled</c:v>
                </c:pt>
                <c:pt idx="4">
                  <c:v>scenario crop/infra</c:v>
                </c:pt>
                <c:pt idx="5">
                  <c:v>scenario crop+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</c:strCache>
            </c:strRef>
          </c:cat>
          <c:val>
            <c:numRef>
              <c:f>LandUse!$C$87:$K$87</c:f>
              <c:numCache>
                <c:formatCode>General</c:formatCode>
                <c:ptCount val="9"/>
                <c:pt idx="2" formatCode="0.00E+00">
                  <c:v>7612279880812.1367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5C-4D21-B0FC-137A15A3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692688"/>
        <c:axId val="464692032"/>
      </c:barChart>
      <c:catAx>
        <c:axId val="4646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2032"/>
        <c:crosses val="autoZero"/>
        <c:auto val="1"/>
        <c:lblAlgn val="ctr"/>
        <c:lblOffset val="100"/>
        <c:noMultiLvlLbl val="0"/>
      </c:catAx>
      <c:valAx>
        <c:axId val="4646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_xlchart.v1.28</cx:f>
      </cx:numDim>
    </cx:data>
    <cx:data id="1">
      <cx:numDim type="val">
        <cx:f dir="row">_xlchart.v1.29</cx:f>
      </cx:numDim>
    </cx:data>
    <cx:data id="2">
      <cx:numDim type="val">
        <cx:f dir="row">_xlchart.v1.15</cx:f>
      </cx:numDim>
    </cx:data>
    <cx:data id="3">
      <cx:numDim type="val">
        <cx:f dir="row">_xlchart.v1.16</cx:f>
      </cx:numDim>
    </cx:data>
    <cx:data id="4">
      <cx:numDim type="val">
        <cx:f dir="row">_xlchart.v1.17</cx:f>
      </cx:numDim>
    </cx:data>
    <cx:data id="5">
      <cx:numDim type="val">
        <cx:f dir="row">_xlchart.v1.18</cx:f>
      </cx:numDim>
    </cx:data>
    <cx:data id="6">
      <cx:numDim type="val">
        <cx:f dir="row">_xlchart.v1.19</cx:f>
      </cx:numDim>
    </cx:data>
    <cx:data id="7">
      <cx:numDim type="val">
        <cx:f dir="row">_xlchart.v1.20</cx:f>
      </cx:numDim>
    </cx:data>
    <cx:data id="8">
      <cx:numDim type="val">
        <cx:f dir="row">_xlchart.v1.21</cx:f>
      </cx:numDim>
    </cx:data>
    <cx:data id="9">
      <cx:numDim type="val">
        <cx:f dir="row">_xlchart.v1.22</cx:f>
      </cx:numDim>
    </cx:data>
    <cx:data id="10">
      <cx:numDim type="val">
        <cx:f dir="row">_xlchart.v1.23</cx:f>
      </cx:numDim>
    </cx:data>
    <cx:data id="11">
      <cx:numDim type="val">
        <cx:f dir="row">_xlchart.v1.24</cx:f>
      </cx:numDim>
    </cx:data>
    <cx:data id="12">
      <cx:numDim type="val">
        <cx:f dir="row">_xlchart.v1.25</cx:f>
      </cx:numDim>
    </cx:data>
    <cx:data id="13">
      <cx:numDim type="val">
        <cx:f dir="row">_xlchart.v1.26</cx:f>
      </cx:numDim>
    </cx:data>
    <cx:data id="14">
      <cx:numDim type="val">
        <cx:f dir="row">_xlchart.v1.27</cx:f>
      </cx:numDim>
    </cx:data>
  </cx:chartData>
  <cx:chart>
    <cx:plotArea>
      <cx:plotAreaRegion>
        <cx:series layoutId="boxWhisker" uniqueId="{00000003-BDFB-4AE8-B164-0DC89BC7FB45}" formatIdx="3">
          <cx:tx>
            <cx:txData>
              <cx:f>_xlchart.v1.13</cx:f>
              <cx:v>Land, forest, tropical</cx:v>
            </cx:txData>
          </cx:tx>
          <cx:dataId val="0"/>
          <cx:layoutPr>
            <cx:statistics quartileMethod="exclusive"/>
          </cx:layoutPr>
        </cx:series>
        <cx:series layoutId="boxWhisker" uniqueId="{00000004-BDFB-4AE8-B164-0DC89BC7FB45}" formatIdx="4">
          <cx:tx>
            <cx:txData>
              <cx:f>_xlchart.v1.14</cx:f>
              <cx:v>Land, forest, temporal</cx:v>
            </cx:txData>
          </cx:tx>
          <cx:dataId val="1"/>
          <cx:layoutPr>
            <cx:statistics quartileMethod="exclusive"/>
          </cx:layoutPr>
        </cx:series>
        <cx:series layoutId="boxWhisker" uniqueId="{00000005-BDFB-4AE8-B164-0DC89BC7FB45}" formatIdx="5">
          <cx:tx>
            <cx:txData>
              <cx:f>_xlchart.v1.0</cx:f>
              <cx:v>Land, savanna, potential</cx:v>
            </cx:txData>
          </cx:tx>
          <cx:dataId val="2"/>
          <cx:layoutPr>
            <cx:statistics quartileMethod="exclusive"/>
          </cx:layoutPr>
        </cx:series>
        <cx:series layoutId="boxWhisker" uniqueId="{00000006-BDFB-4AE8-B164-0DC89BC7FB45}" formatIdx="6">
          <cx:tx>
            <cx:txData>
              <cx:f>_xlchart.v1.1</cx:f>
              <cx:v>Land, grassland and steppe, potential</cx:v>
            </cx:txData>
          </cx:tx>
          <cx:dataId val="3"/>
          <cx:layoutPr>
            <cx:statistics quartileMethod="exclusive"/>
          </cx:layoutPr>
        </cx:series>
        <cx:series layoutId="boxWhisker" uniqueId="{00000007-BDFB-4AE8-B164-0DC89BC7FB45}" formatIdx="7">
          <cx:tx>
            <cx:txData>
              <cx:f>_xlchart.v1.2</cx:f>
              <cx:v>land, shrubland and tundra, potential</cx:v>
            </cx:txData>
          </cx:tx>
          <cx:dataId val="4"/>
          <cx:layoutPr>
            <cx:statistics quartileMethod="exclusive"/>
          </cx:layoutPr>
        </cx:series>
        <cx:series layoutId="boxWhisker" uniqueId="{00000008-BDFB-4AE8-B164-0DC89BC7FB45}" formatIdx="8">
          <cx:tx>
            <cx:txData>
              <cx:f>_xlchart.v1.3</cx:f>
              <cx:v>land, desert, potential</cx:v>
            </cx:txData>
          </cx:tx>
          <cx:dataId val="5"/>
          <cx:layoutPr>
            <cx:statistics quartileMethod="exclusive"/>
          </cx:layoutPr>
        </cx:series>
        <cx:series layoutId="boxWhisker" uniqueId="{00000009-BDFB-4AE8-B164-0DC89BC7FB45}" formatIdx="9">
          <cx:tx>
            <cx:txData>
              <cx:f>_xlchart.v1.4</cx:f>
              <cx:v>land, polar, potential</cx:v>
            </cx:txData>
          </cx:tx>
          <cx:dataId val="6"/>
          <cx:layoutPr>
            <cx:statistics quartileMethod="exclusive"/>
          </cx:layoutPr>
        </cx:series>
        <cx:series layoutId="boxWhisker" uniqueId="{0000000A-BDFB-4AE8-B164-0DC89BC7FB45}" formatIdx="10">
          <cx:tx>
            <cx:txData>
              <cx:f>_xlchart.v1.5</cx:f>
              <cx:v>land, rest, potential</cx:v>
            </cx:txData>
          </cx:tx>
          <cx:dataId val="7"/>
          <cx:layoutPr>
            <cx:statistics quartileMethod="exclusive"/>
          </cx:layoutPr>
        </cx:series>
        <cx:series layoutId="boxWhisker" uniqueId="{00000001-A55A-4FFD-A3C3-42BB6EF442D1}">
          <cx:tx>
            <cx:txData>
              <cx:f>_xlchart.v1.6</cx:f>
              <cx:v>Land, forest, tropical, appropriable</cx:v>
            </cx:txData>
          </cx:tx>
          <cx:dataId val="8"/>
          <cx:layoutPr>
            <cx:statistics quartileMethod="exclusive"/>
          </cx:layoutPr>
        </cx:series>
        <cx:series layoutId="boxWhisker" uniqueId="{00000002-A55A-4FFD-A3C3-42BB6EF442D1}">
          <cx:tx>
            <cx:txData>
              <cx:f>_xlchart.v1.7</cx:f>
              <cx:v>Land, forest, temporal, appropriable</cx:v>
            </cx:txData>
          </cx:tx>
          <cx:dataId val="9"/>
          <cx:layoutPr>
            <cx:statistics quartileMethod="exclusive"/>
          </cx:layoutPr>
        </cx:series>
        <cx:series layoutId="boxWhisker" uniqueId="{00000003-A55A-4FFD-A3C3-42BB6EF442D1}">
          <cx:tx>
            <cx:txData>
              <cx:f>_xlchart.v1.8</cx:f>
              <cx:v>Land, forest, boreal, appropriable</cx:v>
            </cx:txData>
          </cx:tx>
          <cx:dataId val="10"/>
          <cx:layoutPr>
            <cx:statistics quartileMethod="exclusive"/>
          </cx:layoutPr>
        </cx:series>
        <cx:series layoutId="boxWhisker" uniqueId="{00000004-A55A-4FFD-A3C3-42BB6EF442D1}">
          <cx:tx>
            <cx:txData>
              <cx:f>_xlchart.v1.9</cx:f>
              <cx:v>Land, savanna, appropriable</cx:v>
            </cx:txData>
          </cx:tx>
          <cx:dataId val="11"/>
          <cx:layoutPr>
            <cx:statistics quartileMethod="exclusive"/>
          </cx:layoutPr>
        </cx:series>
        <cx:series layoutId="boxWhisker" uniqueId="{00000005-A55A-4FFD-A3C3-42BB6EF442D1}">
          <cx:tx>
            <cx:txData>
              <cx:f>_xlchart.v1.10</cx:f>
              <cx:v>Land, grassland and steppe, appropriable</cx:v>
            </cx:txData>
          </cx:tx>
          <cx:dataId val="12"/>
          <cx:layoutPr>
            <cx:statistics quartileMethod="exclusive"/>
          </cx:layoutPr>
        </cx:series>
        <cx:series layoutId="boxWhisker" uniqueId="{00000006-A55A-4FFD-A3C3-42BB6EF442D1}">
          <cx:tx>
            <cx:txData>
              <cx:f>_xlchart.v1.11</cx:f>
              <cx:v>land, shrubland and tundra, appropriable</cx:v>
            </cx:txData>
          </cx:tx>
          <cx:dataId val="13"/>
          <cx:layoutPr>
            <cx:statistics quartileMethod="exclusive"/>
          </cx:layoutPr>
        </cx:series>
        <cx:series layoutId="boxWhisker" uniqueId="{00000007-A55A-4FFD-A3C3-42BB6EF442D1}">
          <cx:tx>
            <cx:txData>
              <cx:f>_xlchart.v1.12</cx:f>
              <cx:v>land, desert, appropriable</cx:v>
            </cx:txData>
          </cx:tx>
          <cx:dataId val="14"/>
          <cx:layoutPr>
            <cx:statistics quartileMethod="exclusive"/>
          </cx:layoutPr>
        </cx:series>
      </cx:plotAreaRegion>
      <cx:axis id="0">
        <cx:catScaling gapWidth="0.0399999991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_xlchart.v1.58</cx:f>
      </cx:numDim>
    </cx:data>
    <cx:data id="1">
      <cx:numDim type="val">
        <cx:f dir="row">_xlchart.v1.59</cx:f>
      </cx:numDim>
    </cx:data>
    <cx:data id="2">
      <cx:numDim type="val">
        <cx:f dir="row">_xlchart.v1.45</cx:f>
      </cx:numDim>
    </cx:data>
    <cx:data id="3">
      <cx:numDim type="val">
        <cx:f dir="row">_xlchart.v1.46</cx:f>
      </cx:numDim>
    </cx:data>
    <cx:data id="4">
      <cx:numDim type="val">
        <cx:f dir="row">_xlchart.v1.47</cx:f>
      </cx:numDim>
    </cx:data>
    <cx:data id="5">
      <cx:numDim type="val">
        <cx:f dir="row">_xlchart.v1.48</cx:f>
      </cx:numDim>
    </cx:data>
    <cx:data id="6">
      <cx:numDim type="val">
        <cx:f dir="row">_xlchart.v1.49</cx:f>
      </cx:numDim>
    </cx:data>
    <cx:data id="7">
      <cx:numDim type="val">
        <cx:f dir="row">_xlchart.v1.50</cx:f>
      </cx:numDim>
    </cx:data>
    <cx:data id="8">
      <cx:numDim type="val">
        <cx:f dir="row">_xlchart.v1.51</cx:f>
      </cx:numDim>
    </cx:data>
    <cx:data id="9">
      <cx:numDim type="val">
        <cx:f dir="row">_xlchart.v1.52</cx:f>
      </cx:numDim>
    </cx:data>
    <cx:data id="10">
      <cx:numDim type="val">
        <cx:f dir="row">_xlchart.v1.53</cx:f>
      </cx:numDim>
    </cx:data>
    <cx:data id="11">
      <cx:numDim type="val">
        <cx:f dir="row">_xlchart.v1.54</cx:f>
      </cx:numDim>
    </cx:data>
    <cx:data id="12">
      <cx:numDim type="val">
        <cx:f dir="row">_xlchart.v1.55</cx:f>
      </cx:numDim>
    </cx:data>
    <cx:data id="13">
      <cx:numDim type="val">
        <cx:f dir="row">_xlchart.v1.56</cx:f>
      </cx:numDim>
    </cx:data>
    <cx:data id="14">
      <cx:numDim type="val">
        <cx:f dir="row">_xlchart.v1.57</cx:f>
      </cx:numDim>
    </cx:data>
  </cx:chartData>
  <cx:chart>
    <cx:plotArea>
      <cx:plotAreaRegion>
        <cx:series layoutId="boxWhisker" uniqueId="{00000003-BDFB-4AE8-B164-0DC89BC7FB45}" formatIdx="3">
          <cx:tx>
            <cx:txData>
              <cx:f>_xlchart.v1.43</cx:f>
              <cx:v>Land, forest, tropical</cx:v>
            </cx:txData>
          </cx:tx>
          <cx:dataId val="0"/>
          <cx:layoutPr>
            <cx:statistics quartileMethod="exclusive"/>
          </cx:layoutPr>
        </cx:series>
        <cx:series layoutId="boxWhisker" uniqueId="{00000004-BDFB-4AE8-B164-0DC89BC7FB45}" formatIdx="4">
          <cx:tx>
            <cx:txData>
              <cx:f>_xlchart.v1.44</cx:f>
              <cx:v>Land, forest, temporal</cx:v>
            </cx:txData>
          </cx:tx>
          <cx:dataId val="1"/>
          <cx:layoutPr>
            <cx:statistics quartileMethod="exclusive"/>
          </cx:layoutPr>
        </cx:series>
        <cx:series layoutId="boxWhisker" uniqueId="{00000005-BDFB-4AE8-B164-0DC89BC7FB45}" formatIdx="5">
          <cx:tx>
            <cx:txData>
              <cx:f>_xlchart.v1.30</cx:f>
              <cx:v>Land, savanna, potential</cx:v>
            </cx:txData>
          </cx:tx>
          <cx:dataId val="2"/>
          <cx:layoutPr>
            <cx:statistics quartileMethod="exclusive"/>
          </cx:layoutPr>
        </cx:series>
        <cx:series layoutId="boxWhisker" uniqueId="{00000006-BDFB-4AE8-B164-0DC89BC7FB45}" formatIdx="6">
          <cx:tx>
            <cx:txData>
              <cx:f>_xlchart.v1.31</cx:f>
              <cx:v>Land, grassland and steppe, potential</cx:v>
            </cx:txData>
          </cx:tx>
          <cx:dataId val="3"/>
          <cx:layoutPr>
            <cx:statistics quartileMethod="exclusive"/>
          </cx:layoutPr>
        </cx:series>
        <cx:series layoutId="boxWhisker" uniqueId="{00000007-BDFB-4AE8-B164-0DC89BC7FB45}" formatIdx="7">
          <cx:tx>
            <cx:txData>
              <cx:f>_xlchart.v1.32</cx:f>
              <cx:v>land, shrubland and tundra, potential</cx:v>
            </cx:txData>
          </cx:tx>
          <cx:dataId val="4"/>
          <cx:layoutPr>
            <cx:statistics quartileMethod="exclusive"/>
          </cx:layoutPr>
        </cx:series>
        <cx:series layoutId="boxWhisker" uniqueId="{00000008-BDFB-4AE8-B164-0DC89BC7FB45}" formatIdx="8">
          <cx:tx>
            <cx:txData>
              <cx:f>_xlchart.v1.33</cx:f>
              <cx:v>land, desert, potential</cx:v>
            </cx:txData>
          </cx:tx>
          <cx:dataId val="5"/>
          <cx:layoutPr>
            <cx:statistics quartileMethod="exclusive"/>
          </cx:layoutPr>
        </cx:series>
        <cx:series layoutId="boxWhisker" uniqueId="{00000009-BDFB-4AE8-B164-0DC89BC7FB45}" formatIdx="9">
          <cx:tx>
            <cx:txData>
              <cx:f>_xlchart.v1.34</cx:f>
              <cx:v>land, polar, potential</cx:v>
            </cx:txData>
          </cx:tx>
          <cx:dataId val="6"/>
          <cx:layoutPr>
            <cx:statistics quartileMethod="exclusive"/>
          </cx:layoutPr>
        </cx:series>
        <cx:series layoutId="boxWhisker" uniqueId="{0000000A-BDFB-4AE8-B164-0DC89BC7FB45}" formatIdx="10">
          <cx:tx>
            <cx:txData>
              <cx:f>_xlchart.v1.35</cx:f>
              <cx:v>land, rest, potential</cx:v>
            </cx:txData>
          </cx:tx>
          <cx:dataId val="7"/>
          <cx:layoutPr>
            <cx:statistics quartileMethod="exclusive"/>
          </cx:layoutPr>
        </cx:series>
        <cx:series layoutId="boxWhisker" uniqueId="{00000001-A55A-4FFD-A3C3-42BB6EF442D1}">
          <cx:tx>
            <cx:txData>
              <cx:f>_xlchart.v1.36</cx:f>
              <cx:v>Land, forest, tropical, appropriable</cx:v>
            </cx:txData>
          </cx:tx>
          <cx:dataId val="8"/>
          <cx:layoutPr>
            <cx:statistics quartileMethod="exclusive"/>
          </cx:layoutPr>
        </cx:series>
        <cx:series layoutId="boxWhisker" uniqueId="{00000002-A55A-4FFD-A3C3-42BB6EF442D1}">
          <cx:tx>
            <cx:txData>
              <cx:f>_xlchart.v1.37</cx:f>
              <cx:v>Land, forest, temporal, appropriable</cx:v>
            </cx:txData>
          </cx:tx>
          <cx:dataId val="9"/>
          <cx:layoutPr>
            <cx:statistics quartileMethod="exclusive"/>
          </cx:layoutPr>
        </cx:series>
        <cx:series layoutId="boxWhisker" uniqueId="{00000003-A55A-4FFD-A3C3-42BB6EF442D1}">
          <cx:tx>
            <cx:txData>
              <cx:f>_xlchart.v1.38</cx:f>
              <cx:v>Land, forest, boreal, appropriable</cx:v>
            </cx:txData>
          </cx:tx>
          <cx:dataId val="10"/>
          <cx:layoutPr>
            <cx:statistics quartileMethod="exclusive"/>
          </cx:layoutPr>
        </cx:series>
        <cx:series layoutId="boxWhisker" uniqueId="{00000004-A55A-4FFD-A3C3-42BB6EF442D1}">
          <cx:tx>
            <cx:txData>
              <cx:f>_xlchart.v1.39</cx:f>
              <cx:v>Land, savanna, appropriable</cx:v>
            </cx:txData>
          </cx:tx>
          <cx:dataId val="11"/>
          <cx:layoutPr>
            <cx:statistics quartileMethod="exclusive"/>
          </cx:layoutPr>
        </cx:series>
        <cx:series layoutId="boxWhisker" uniqueId="{00000005-A55A-4FFD-A3C3-42BB6EF442D1}">
          <cx:tx>
            <cx:txData>
              <cx:f>_xlchart.v1.40</cx:f>
              <cx:v>Land, grassland and steppe, appropriable</cx:v>
            </cx:txData>
          </cx:tx>
          <cx:dataId val="12"/>
          <cx:layoutPr>
            <cx:statistics quartileMethod="exclusive"/>
          </cx:layoutPr>
        </cx:series>
        <cx:series layoutId="boxWhisker" uniqueId="{00000006-A55A-4FFD-A3C3-42BB6EF442D1}">
          <cx:tx>
            <cx:txData>
              <cx:f>_xlchart.v1.41</cx:f>
              <cx:v>land, shrubland and tundra, appropriable</cx:v>
            </cx:txData>
          </cx:tx>
          <cx:dataId val="13"/>
          <cx:layoutPr>
            <cx:statistics quartileMethod="exclusive"/>
          </cx:layoutPr>
        </cx:series>
        <cx:series layoutId="boxWhisker" uniqueId="{00000007-A55A-4FFD-A3C3-42BB6EF442D1}">
          <cx:tx>
            <cx:txData>
              <cx:f>_xlchart.v1.42</cx:f>
              <cx:v>land, desert, appropriable</cx:v>
            </cx:txData>
          </cx:tx>
          <cx:dataId val="14"/>
          <cx:layoutPr>
            <cx:statistics quartileMethod="exclusive"/>
          </cx:layoutPr>
        </cx:series>
      </cx:plotAreaRegion>
      <cx:axis id="0">
        <cx:catScaling gapWidth="0.0399999991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184138</xdr:rowOff>
    </xdr:from>
    <xdr:to>
      <xdr:col>1</xdr:col>
      <xdr:colOff>760850</xdr:colOff>
      <xdr:row>33</xdr:row>
      <xdr:rowOff>107981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03738"/>
          <a:ext cx="6660000" cy="2317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333375</xdr:colOff>
      <xdr:row>19</xdr:row>
      <xdr:rowOff>23811</xdr:rowOff>
    </xdr:from>
    <xdr:to>
      <xdr:col>27</xdr:col>
      <xdr:colOff>333375</xdr:colOff>
      <xdr:row>43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338775</xdr:colOff>
      <xdr:row>48</xdr:row>
      <xdr:rowOff>1375</xdr:rowOff>
    </xdr:from>
    <xdr:to>
      <xdr:col>14</xdr:col>
      <xdr:colOff>531632</xdr:colOff>
      <xdr:row>67</xdr:row>
      <xdr:rowOff>166932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70112</xdr:colOff>
      <xdr:row>67</xdr:row>
      <xdr:rowOff>165557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5</xdr:row>
      <xdr:rowOff>55562</xdr:rowOff>
    </xdr:from>
    <xdr:to>
      <xdr:col>23</xdr:col>
      <xdr:colOff>203200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5</xdr:row>
      <xdr:rowOff>100012</xdr:rowOff>
    </xdr:from>
    <xdr:to>
      <xdr:col>20</xdr:col>
      <xdr:colOff>76200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504831</xdr:colOff>
      <xdr:row>76</xdr:row>
      <xdr:rowOff>155575</xdr:rowOff>
    </xdr:from>
    <xdr:to>
      <xdr:col>17</xdr:col>
      <xdr:colOff>552456</xdr:colOff>
      <xdr:row>104</xdr:row>
      <xdr:rowOff>174625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ald.desing@empa.ch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ea.org/Sankey/" TargetMode="External"/><Relationship Id="rId1" Type="http://schemas.openxmlformats.org/officeDocument/2006/relationships/hyperlink" Target="https://www.nasa.gov/feature/goddard/nasa-balances-water-budget-with-new-estimates-of-liquid-asset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ata.worldbank.org/indicator/AG.LND.TOTL.K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0" workbookViewId="0">
      <selection activeCell="A15" sqref="A15"/>
    </sheetView>
  </sheetViews>
  <sheetFormatPr baseColWidth="10" defaultRowHeight="15" x14ac:dyDescent="0.25"/>
  <cols>
    <col min="1" max="1" width="84.42578125" style="73" customWidth="1"/>
  </cols>
  <sheetData>
    <row r="1" spans="1:2" x14ac:dyDescent="0.25">
      <c r="A1" s="73" t="s">
        <v>560</v>
      </c>
    </row>
    <row r="2" spans="1:2" ht="18.75" x14ac:dyDescent="0.3">
      <c r="A2" s="81" t="s">
        <v>554</v>
      </c>
    </row>
    <row r="3" spans="1:2" ht="37.5" x14ac:dyDescent="0.3">
      <c r="A3" s="81" t="s">
        <v>555</v>
      </c>
    </row>
    <row r="5" spans="1:2" x14ac:dyDescent="0.25">
      <c r="A5" s="73" t="s">
        <v>556</v>
      </c>
    </row>
    <row r="7" spans="1:2" x14ac:dyDescent="0.25">
      <c r="A7" s="73" t="s">
        <v>557</v>
      </c>
    </row>
    <row r="9" spans="1:2" x14ac:dyDescent="0.25">
      <c r="A9" s="73" t="s">
        <v>558</v>
      </c>
    </row>
    <row r="10" spans="1:2" x14ac:dyDescent="0.25">
      <c r="A10" s="76" t="s">
        <v>559</v>
      </c>
    </row>
    <row r="12" spans="1:2" ht="15.75" x14ac:dyDescent="0.25">
      <c r="A12" s="82" t="s">
        <v>561</v>
      </c>
    </row>
    <row r="14" spans="1:2" x14ac:dyDescent="0.25">
      <c r="A14" s="73" t="s">
        <v>562</v>
      </c>
    </row>
    <row r="15" spans="1:2" ht="45" x14ac:dyDescent="0.25">
      <c r="A15" s="73" t="s">
        <v>563</v>
      </c>
    </row>
    <row r="16" spans="1:2" x14ac:dyDescent="0.25">
      <c r="A16" s="73" t="s">
        <v>564</v>
      </c>
      <c r="B16" s="12"/>
    </row>
    <row r="17" spans="1:2" ht="30" x14ac:dyDescent="0.25">
      <c r="A17" s="73" t="s">
        <v>565</v>
      </c>
    </row>
    <row r="18" spans="1:2" ht="30" x14ac:dyDescent="0.25">
      <c r="A18" s="73" t="s">
        <v>566</v>
      </c>
    </row>
    <row r="19" spans="1:2" x14ac:dyDescent="0.25">
      <c r="A19" s="73" t="s">
        <v>567</v>
      </c>
      <c r="B19" s="75"/>
    </row>
    <row r="21" spans="1:2" x14ac:dyDescent="0.25">
      <c r="A21" s="73" t="s">
        <v>568</v>
      </c>
    </row>
  </sheetData>
  <hyperlinks>
    <hyperlink ref="A10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C75" sqref="C75:I75"/>
    </sheetView>
  </sheetViews>
  <sheetFormatPr baseColWidth="10" defaultRowHeight="15" x14ac:dyDescent="0.25"/>
  <cols>
    <col min="1" max="1" width="54.140625" bestFit="1" customWidth="1"/>
    <col min="3" max="3" width="8.42578125" customWidth="1"/>
    <col min="4" max="4" width="11.85546875" bestFit="1" customWidth="1"/>
    <col min="5" max="7" width="12" bestFit="1" customWidth="1"/>
    <col min="8" max="8" width="11.5703125" style="22" bestFit="1" customWidth="1"/>
    <col min="9" max="9" width="11.7109375" customWidth="1"/>
    <col min="11" max="11" width="11.85546875" bestFit="1" customWidth="1"/>
  </cols>
  <sheetData>
    <row r="1" spans="1:9" x14ac:dyDescent="0.25">
      <c r="A1" s="85" t="s">
        <v>462</v>
      </c>
      <c r="E1" t="s">
        <v>323</v>
      </c>
      <c r="F1" t="s">
        <v>331</v>
      </c>
      <c r="G1" t="s">
        <v>80</v>
      </c>
    </row>
    <row r="2" spans="1:9" x14ac:dyDescent="0.25">
      <c r="B2" t="s">
        <v>36</v>
      </c>
      <c r="C2" t="s">
        <v>220</v>
      </c>
      <c r="D2" t="s">
        <v>221</v>
      </c>
      <c r="E2" t="s">
        <v>253</v>
      </c>
      <c r="F2" t="s">
        <v>254</v>
      </c>
      <c r="G2" t="s">
        <v>255</v>
      </c>
      <c r="H2" s="22" t="s">
        <v>256</v>
      </c>
      <c r="I2" t="s">
        <v>4</v>
      </c>
    </row>
    <row r="3" spans="1:9" x14ac:dyDescent="0.25">
      <c r="A3" s="34" t="s">
        <v>463</v>
      </c>
      <c r="B3" s="34"/>
      <c r="C3" s="34"/>
      <c r="D3" s="34"/>
      <c r="E3" s="34"/>
      <c r="F3" s="34"/>
      <c r="G3" s="34"/>
      <c r="H3" s="46"/>
      <c r="I3" s="34"/>
    </row>
    <row r="4" spans="1:9" x14ac:dyDescent="0.25">
      <c r="A4" t="s">
        <v>330</v>
      </c>
      <c r="B4" t="s">
        <v>8</v>
      </c>
      <c r="C4">
        <f>-D4</f>
        <v>-0.05</v>
      </c>
      <c r="D4" s="12">
        <v>0.05</v>
      </c>
      <c r="E4" s="1">
        <f>F4*(1+C4)</f>
        <v>855000000000000</v>
      </c>
      <c r="F4" s="5">
        <v>900000000000000</v>
      </c>
      <c r="G4" s="1">
        <f>F4*(1+D4)</f>
        <v>945000000000000</v>
      </c>
      <c r="H4" s="45">
        <v>3</v>
      </c>
      <c r="I4" t="s">
        <v>329</v>
      </c>
    </row>
    <row r="5" spans="1:9" x14ac:dyDescent="0.25">
      <c r="E5" s="1"/>
      <c r="F5" s="1"/>
      <c r="G5" s="1"/>
    </row>
    <row r="6" spans="1:9" x14ac:dyDescent="0.25">
      <c r="A6" t="s">
        <v>325</v>
      </c>
      <c r="B6" t="s">
        <v>6</v>
      </c>
      <c r="C6">
        <f>-D6</f>
        <v>-0.01</v>
      </c>
      <c r="D6" s="12">
        <v>0.01</v>
      </c>
      <c r="E6" s="1">
        <f>F6*(1+C6)</f>
        <v>476147430</v>
      </c>
      <c r="F6" s="1">
        <v>480957000</v>
      </c>
      <c r="G6" s="1">
        <f>F6*(1+D6)</f>
        <v>485766570</v>
      </c>
      <c r="H6" s="45">
        <v>3</v>
      </c>
      <c r="I6" t="s">
        <v>284</v>
      </c>
    </row>
    <row r="7" spans="1:9" x14ac:dyDescent="0.25">
      <c r="A7" t="s">
        <v>326</v>
      </c>
      <c r="B7" t="s">
        <v>6</v>
      </c>
      <c r="C7">
        <f>-D7</f>
        <v>-0.02</v>
      </c>
      <c r="D7" s="12">
        <v>0.02</v>
      </c>
      <c r="E7" s="1">
        <f>F7*(1+C7)</f>
        <v>391197380</v>
      </c>
      <c r="F7" s="1">
        <f>F6-41193000-40583000</f>
        <v>399181000</v>
      </c>
      <c r="G7" s="1">
        <f>F7*(1+D7)</f>
        <v>407164620</v>
      </c>
      <c r="H7" s="45">
        <v>3</v>
      </c>
      <c r="I7" t="s">
        <v>284</v>
      </c>
    </row>
    <row r="8" spans="1:9" x14ac:dyDescent="0.25">
      <c r="A8" t="s">
        <v>381</v>
      </c>
      <c r="B8" t="s">
        <v>6</v>
      </c>
      <c r="E8" s="12">
        <v>10000</v>
      </c>
      <c r="F8" s="5">
        <v>43300</v>
      </c>
      <c r="G8" s="12">
        <v>100000</v>
      </c>
      <c r="H8" s="45">
        <v>2</v>
      </c>
      <c r="I8" t="s">
        <v>594</v>
      </c>
    </row>
    <row r="9" spans="1:9" x14ac:dyDescent="0.25">
      <c r="A9" t="s">
        <v>350</v>
      </c>
      <c r="B9" t="s">
        <v>7</v>
      </c>
      <c r="E9" s="1">
        <f>E7*E8</f>
        <v>3911973800000</v>
      </c>
      <c r="F9" s="1">
        <f>F7*F8</f>
        <v>17284537300000</v>
      </c>
      <c r="G9" s="1">
        <f>G7*G8</f>
        <v>40716462000000</v>
      </c>
    </row>
    <row r="10" spans="1:9" x14ac:dyDescent="0.25">
      <c r="E10" s="1"/>
      <c r="F10" s="1"/>
      <c r="G10" s="1"/>
    </row>
    <row r="11" spans="1:9" x14ac:dyDescent="0.25">
      <c r="A11" t="s">
        <v>466</v>
      </c>
    </row>
    <row r="12" spans="1:9" x14ac:dyDescent="0.25">
      <c r="A12" s="22" t="s">
        <v>133</v>
      </c>
      <c r="B12" t="s">
        <v>10</v>
      </c>
      <c r="E12" s="12">
        <v>0</v>
      </c>
      <c r="F12" s="12">
        <v>0</v>
      </c>
      <c r="G12" s="12">
        <v>0</v>
      </c>
      <c r="H12" s="45">
        <v>0</v>
      </c>
      <c r="I12" t="s">
        <v>469</v>
      </c>
    </row>
    <row r="13" spans="1:9" x14ac:dyDescent="0.25">
      <c r="A13" s="22" t="s">
        <v>134</v>
      </c>
      <c r="B13" t="s">
        <v>10</v>
      </c>
      <c r="E13" s="12">
        <v>0</v>
      </c>
      <c r="F13" s="12">
        <v>0</v>
      </c>
      <c r="G13" s="12">
        <v>0</v>
      </c>
      <c r="H13" s="45">
        <v>0</v>
      </c>
    </row>
    <row r="14" spans="1:9" x14ac:dyDescent="0.25">
      <c r="A14" s="22" t="s">
        <v>135</v>
      </c>
      <c r="B14" t="s">
        <v>10</v>
      </c>
      <c r="E14" s="12">
        <v>0</v>
      </c>
      <c r="F14" s="12">
        <v>0</v>
      </c>
      <c r="G14" s="12">
        <v>0</v>
      </c>
      <c r="H14" s="45">
        <v>0</v>
      </c>
    </row>
    <row r="15" spans="1:9" x14ac:dyDescent="0.25">
      <c r="A15" s="22" t="s">
        <v>465</v>
      </c>
      <c r="B15" t="s">
        <v>10</v>
      </c>
      <c r="E15" s="12">
        <v>0.2</v>
      </c>
      <c r="F15" s="12">
        <v>0.3</v>
      </c>
      <c r="G15" s="12">
        <v>0.4</v>
      </c>
      <c r="H15" s="45">
        <v>2</v>
      </c>
      <c r="I15" t="s">
        <v>468</v>
      </c>
    </row>
    <row r="16" spans="1:9" x14ac:dyDescent="0.25">
      <c r="A16" s="22" t="s">
        <v>176</v>
      </c>
      <c r="B16" t="s">
        <v>10</v>
      </c>
      <c r="E16" s="12">
        <v>0.2</v>
      </c>
      <c r="F16" s="12">
        <v>0.3</v>
      </c>
      <c r="G16" s="12">
        <v>0.4</v>
      </c>
      <c r="H16" s="45">
        <v>2</v>
      </c>
      <c r="I16" t="s">
        <v>468</v>
      </c>
    </row>
    <row r="17" spans="1:11" x14ac:dyDescent="0.25">
      <c r="A17" s="22" t="s">
        <v>177</v>
      </c>
      <c r="B17" t="s">
        <v>10</v>
      </c>
      <c r="E17" s="12">
        <v>0.2</v>
      </c>
      <c r="F17" s="12">
        <v>0.3</v>
      </c>
      <c r="G17" s="12">
        <v>0.4</v>
      </c>
      <c r="H17" s="45">
        <v>2</v>
      </c>
      <c r="I17" t="s">
        <v>468</v>
      </c>
    </row>
    <row r="18" spans="1:11" x14ac:dyDescent="0.25">
      <c r="A18" s="22" t="s">
        <v>178</v>
      </c>
      <c r="B18" t="s">
        <v>10</v>
      </c>
      <c r="E18" s="12">
        <v>0.2</v>
      </c>
      <c r="F18" s="12">
        <v>0.3</v>
      </c>
      <c r="G18" s="12">
        <v>0.4</v>
      </c>
      <c r="H18" s="45">
        <v>2</v>
      </c>
      <c r="I18" t="s">
        <v>468</v>
      </c>
    </row>
    <row r="19" spans="1:11" x14ac:dyDescent="0.25">
      <c r="A19" s="22" t="s">
        <v>179</v>
      </c>
      <c r="B19" t="s">
        <v>10</v>
      </c>
      <c r="E19" s="12">
        <v>0.2</v>
      </c>
      <c r="F19" s="12">
        <v>0.3</v>
      </c>
      <c r="G19" s="12">
        <v>0.4</v>
      </c>
      <c r="H19" s="45">
        <v>2</v>
      </c>
    </row>
    <row r="20" spans="1:11" x14ac:dyDescent="0.25">
      <c r="A20" s="22" t="s">
        <v>180</v>
      </c>
      <c r="B20" t="s">
        <v>10</v>
      </c>
      <c r="E20" s="12">
        <v>0.2</v>
      </c>
      <c r="F20" s="12">
        <v>0.3</v>
      </c>
      <c r="G20" s="12">
        <v>0.4</v>
      </c>
      <c r="H20" s="45">
        <v>2</v>
      </c>
    </row>
    <row r="21" spans="1:11" x14ac:dyDescent="0.25">
      <c r="A21" s="22" t="s">
        <v>464</v>
      </c>
      <c r="B21" t="s">
        <v>10</v>
      </c>
      <c r="E21" s="12">
        <v>0.3</v>
      </c>
      <c r="F21" s="12">
        <v>0.5</v>
      </c>
      <c r="G21" s="12">
        <v>0.8</v>
      </c>
      <c r="H21" s="45">
        <v>2</v>
      </c>
      <c r="I21" t="s">
        <v>467</v>
      </c>
    </row>
    <row r="22" spans="1:11" x14ac:dyDescent="0.25">
      <c r="A22" s="22"/>
    </row>
    <row r="23" spans="1:11" x14ac:dyDescent="0.25">
      <c r="A23" t="s">
        <v>470</v>
      </c>
    </row>
    <row r="24" spans="1:11" x14ac:dyDescent="0.25">
      <c r="A24" t="s">
        <v>336</v>
      </c>
      <c r="B24" t="s">
        <v>6</v>
      </c>
      <c r="E24" s="12">
        <v>80</v>
      </c>
      <c r="F24" s="12">
        <v>125</v>
      </c>
      <c r="G24" s="12">
        <v>150</v>
      </c>
      <c r="H24" s="45">
        <v>2</v>
      </c>
      <c r="I24" t="s">
        <v>337</v>
      </c>
    </row>
    <row r="25" spans="1:11" x14ac:dyDescent="0.25">
      <c r="A25" t="s">
        <v>338</v>
      </c>
      <c r="B25" t="s">
        <v>6</v>
      </c>
      <c r="E25" s="12">
        <v>80</v>
      </c>
      <c r="F25" s="12">
        <v>125</v>
      </c>
      <c r="G25" s="12">
        <v>230</v>
      </c>
      <c r="H25" s="45">
        <v>2</v>
      </c>
      <c r="I25" t="s">
        <v>339</v>
      </c>
    </row>
    <row r="26" spans="1:11" x14ac:dyDescent="0.25">
      <c r="A26" t="s">
        <v>340</v>
      </c>
      <c r="B26" t="s">
        <v>6</v>
      </c>
      <c r="E26" s="12">
        <v>900</v>
      </c>
      <c r="F26" s="12">
        <v>1000</v>
      </c>
      <c r="G26" s="12">
        <v>1100</v>
      </c>
      <c r="H26" s="45">
        <v>2</v>
      </c>
      <c r="I26" t="s">
        <v>341</v>
      </c>
    </row>
    <row r="27" spans="1:11" x14ac:dyDescent="0.25">
      <c r="A27" t="s">
        <v>344</v>
      </c>
      <c r="B27" t="s">
        <v>6</v>
      </c>
      <c r="E27" s="12">
        <v>0.01</v>
      </c>
      <c r="F27" s="12">
        <v>0.1</v>
      </c>
      <c r="G27" s="12">
        <v>0.2</v>
      </c>
      <c r="H27" s="45">
        <v>2</v>
      </c>
      <c r="I27" t="s">
        <v>341</v>
      </c>
      <c r="K27" t="s">
        <v>473</v>
      </c>
    </row>
    <row r="28" spans="1:11" x14ac:dyDescent="0.25">
      <c r="A28" t="s">
        <v>342</v>
      </c>
      <c r="B28" t="s">
        <v>6</v>
      </c>
      <c r="E28">
        <f>E24+E25/2</f>
        <v>120</v>
      </c>
      <c r="F28">
        <f>F24+F25/2</f>
        <v>187.5</v>
      </c>
      <c r="G28">
        <f>G24+G25/2</f>
        <v>265</v>
      </c>
    </row>
    <row r="29" spans="1:11" x14ac:dyDescent="0.25">
      <c r="A29" t="s">
        <v>343</v>
      </c>
      <c r="B29" t="s">
        <v>6</v>
      </c>
      <c r="E29">
        <f>E24-E25/2</f>
        <v>40</v>
      </c>
      <c r="F29">
        <f>F24-F25/2</f>
        <v>62.5</v>
      </c>
      <c r="G29">
        <f>G24-G25/2</f>
        <v>35</v>
      </c>
    </row>
    <row r="30" spans="1:11" x14ac:dyDescent="0.25">
      <c r="A30" t="s">
        <v>375</v>
      </c>
      <c r="B30" t="s">
        <v>10</v>
      </c>
      <c r="E30">
        <v>4.8445146875832033E-2</v>
      </c>
      <c r="F30">
        <v>9.0390609082986295E-2</v>
      </c>
      <c r="G30">
        <v>0.16164987339705919</v>
      </c>
      <c r="H30" s="45">
        <v>1</v>
      </c>
      <c r="I30" t="s">
        <v>346</v>
      </c>
    </row>
    <row r="31" spans="1:11" x14ac:dyDescent="0.25">
      <c r="E31" s="1"/>
      <c r="F31" s="1"/>
      <c r="G31" s="1"/>
    </row>
    <row r="32" spans="1:11" x14ac:dyDescent="0.25">
      <c r="A32" t="s">
        <v>471</v>
      </c>
    </row>
    <row r="33" spans="1:11" x14ac:dyDescent="0.25">
      <c r="A33" t="s">
        <v>336</v>
      </c>
      <c r="B33" t="s">
        <v>6</v>
      </c>
      <c r="E33" s="12">
        <v>100</v>
      </c>
      <c r="F33" s="12">
        <v>150</v>
      </c>
      <c r="G33" s="12">
        <v>170</v>
      </c>
      <c r="H33" s="45">
        <v>2</v>
      </c>
      <c r="I33" t="s">
        <v>337</v>
      </c>
    </row>
    <row r="34" spans="1:11" x14ac:dyDescent="0.25">
      <c r="A34" t="s">
        <v>338</v>
      </c>
      <c r="B34" t="s">
        <v>6</v>
      </c>
      <c r="E34" s="12">
        <v>100</v>
      </c>
      <c r="F34" s="12">
        <v>150</v>
      </c>
      <c r="G34" s="12">
        <v>250</v>
      </c>
      <c r="H34" s="45">
        <v>2</v>
      </c>
      <c r="I34" t="s">
        <v>339</v>
      </c>
    </row>
    <row r="35" spans="1:11" x14ac:dyDescent="0.25">
      <c r="A35" t="s">
        <v>340</v>
      </c>
      <c r="B35" t="s">
        <v>6</v>
      </c>
      <c r="E35" s="12">
        <v>900</v>
      </c>
      <c r="F35" s="12">
        <v>1000</v>
      </c>
      <c r="G35" s="12">
        <v>1100</v>
      </c>
      <c r="H35" s="45">
        <v>2</v>
      </c>
      <c r="I35" t="s">
        <v>341</v>
      </c>
    </row>
    <row r="36" spans="1:11" x14ac:dyDescent="0.25">
      <c r="A36" t="s">
        <v>344</v>
      </c>
      <c r="B36" t="s">
        <v>6</v>
      </c>
      <c r="E36" s="12">
        <v>1E-3</v>
      </c>
      <c r="F36" s="12">
        <v>0.01</v>
      </c>
      <c r="G36" s="12">
        <v>0.02</v>
      </c>
      <c r="H36" s="45">
        <v>2</v>
      </c>
      <c r="I36" t="s">
        <v>341</v>
      </c>
      <c r="K36" t="s">
        <v>474</v>
      </c>
    </row>
    <row r="37" spans="1:11" x14ac:dyDescent="0.25">
      <c r="A37" t="s">
        <v>342</v>
      </c>
      <c r="B37" t="s">
        <v>6</v>
      </c>
      <c r="E37">
        <f>E33+E34/2</f>
        <v>150</v>
      </c>
      <c r="F37">
        <f>F33+F34/2</f>
        <v>225</v>
      </c>
      <c r="G37">
        <f>G33+G34/2</f>
        <v>295</v>
      </c>
    </row>
    <row r="38" spans="1:11" x14ac:dyDescent="0.25">
      <c r="A38" t="s">
        <v>343</v>
      </c>
      <c r="B38" t="s">
        <v>6</v>
      </c>
      <c r="E38">
        <f>E33-E34/2</f>
        <v>50</v>
      </c>
      <c r="F38">
        <f>F33-F34/2</f>
        <v>75</v>
      </c>
      <c r="G38">
        <f>G33-G34/2</f>
        <v>45</v>
      </c>
    </row>
    <row r="39" spans="1:11" x14ac:dyDescent="0.25">
      <c r="A39" t="s">
        <v>375</v>
      </c>
      <c r="B39" t="s">
        <v>10</v>
      </c>
      <c r="E39">
        <v>4.8445146875832033E-2</v>
      </c>
      <c r="F39">
        <v>9.0390609082986295E-2</v>
      </c>
      <c r="G39">
        <v>0.16164987339705919</v>
      </c>
      <c r="H39" s="45">
        <v>1</v>
      </c>
      <c r="I39" t="s">
        <v>346</v>
      </c>
    </row>
    <row r="41" spans="1:11" x14ac:dyDescent="0.25">
      <c r="A41" s="22"/>
    </row>
    <row r="42" spans="1:11" x14ac:dyDescent="0.25">
      <c r="A42" t="s">
        <v>334</v>
      </c>
      <c r="B42" t="s">
        <v>10</v>
      </c>
      <c r="C42">
        <f>-D42</f>
        <v>-0.1</v>
      </c>
      <c r="D42" s="12">
        <v>0.1</v>
      </c>
      <c r="E42" s="1">
        <f>F42*(1+C42)</f>
        <v>0.45</v>
      </c>
      <c r="F42" s="5">
        <v>0.5</v>
      </c>
      <c r="G42" s="1">
        <f>F42*(1+D42)</f>
        <v>0.55000000000000004</v>
      </c>
      <c r="H42" s="45">
        <v>1</v>
      </c>
      <c r="I42" t="s">
        <v>335</v>
      </c>
    </row>
    <row r="43" spans="1:11" x14ac:dyDescent="0.25">
      <c r="A43" t="s">
        <v>351</v>
      </c>
      <c r="B43" t="s">
        <v>10</v>
      </c>
      <c r="E43" s="12">
        <v>0.4</v>
      </c>
      <c r="F43" s="12">
        <v>0.45</v>
      </c>
      <c r="G43" s="12">
        <v>0.5</v>
      </c>
      <c r="H43" s="45">
        <v>2</v>
      </c>
      <c r="I43" t="s">
        <v>352</v>
      </c>
    </row>
    <row r="44" spans="1:11" x14ac:dyDescent="0.25">
      <c r="A44" t="s">
        <v>353</v>
      </c>
      <c r="B44" t="s">
        <v>10</v>
      </c>
      <c r="E44" s="12">
        <v>0.85</v>
      </c>
      <c r="F44" s="12">
        <v>0.9</v>
      </c>
      <c r="G44" s="12">
        <v>0.95</v>
      </c>
      <c r="H44" s="45">
        <v>2</v>
      </c>
      <c r="I44" t="s">
        <v>354</v>
      </c>
    </row>
    <row r="45" spans="1:11" x14ac:dyDescent="0.25">
      <c r="A45" t="s">
        <v>355</v>
      </c>
      <c r="B45" t="s">
        <v>10</v>
      </c>
      <c r="E45">
        <f>E44*E43</f>
        <v>0.34</v>
      </c>
      <c r="F45">
        <f>F44*F43</f>
        <v>0.40500000000000003</v>
      </c>
      <c r="G45">
        <f>G44*G43</f>
        <v>0.47499999999999998</v>
      </c>
      <c r="H45" s="45">
        <v>2</v>
      </c>
    </row>
    <row r="46" spans="1:11" x14ac:dyDescent="0.25">
      <c r="E46" s="1"/>
      <c r="F46" s="1"/>
      <c r="G46" s="1"/>
    </row>
    <row r="47" spans="1:11" x14ac:dyDescent="0.25">
      <c r="A47" s="34" t="s">
        <v>370</v>
      </c>
      <c r="B47" s="34"/>
      <c r="C47" s="34"/>
      <c r="D47" s="34"/>
      <c r="E47" s="34"/>
      <c r="F47" s="34"/>
      <c r="G47" s="34"/>
      <c r="H47" s="46"/>
    </row>
    <row r="48" spans="1:11" x14ac:dyDescent="0.25">
      <c r="A48" t="s">
        <v>356</v>
      </c>
      <c r="B48" t="s">
        <v>8</v>
      </c>
      <c r="C48">
        <f>-D48</f>
        <v>-0.1</v>
      </c>
      <c r="D48" s="12">
        <v>0.1</v>
      </c>
      <c r="E48" s="1">
        <f>F48*(1+C48)</f>
        <v>56700000000000</v>
      </c>
      <c r="F48" s="5">
        <v>63000000000000</v>
      </c>
      <c r="G48" s="1">
        <f>F48*(1+D48)</f>
        <v>69300000000000.008</v>
      </c>
      <c r="H48" s="45">
        <v>3</v>
      </c>
      <c r="I48" t="s">
        <v>363</v>
      </c>
    </row>
    <row r="49" spans="1:23" x14ac:dyDescent="0.25">
      <c r="A49" t="s">
        <v>478</v>
      </c>
      <c r="B49" t="s">
        <v>10</v>
      </c>
      <c r="E49" s="1">
        <f>X!D7/X!D5</f>
        <v>0.7141410716361335</v>
      </c>
      <c r="F49">
        <f>X!F7/X!F5</f>
        <v>0.71456507220940502</v>
      </c>
      <c r="G49">
        <f>X!H7/X!H5</f>
        <v>0.71499131981302333</v>
      </c>
      <c r="H49"/>
    </row>
    <row r="50" spans="1:23" x14ac:dyDescent="0.25">
      <c r="A50" t="s">
        <v>479</v>
      </c>
      <c r="B50" t="s">
        <v>10</v>
      </c>
      <c r="E50" s="65">
        <f>E48/(E4*E49)</f>
        <v>9.2860909570361735E-2</v>
      </c>
      <c r="F50" s="65">
        <f>F48/(F4*F49)</f>
        <v>9.7961687077095669E-2</v>
      </c>
      <c r="G50" s="65">
        <f>G48/(G4*G49)</f>
        <v>0.10256534771990053</v>
      </c>
      <c r="H50"/>
    </row>
    <row r="51" spans="1:23" x14ac:dyDescent="0.25">
      <c r="A51" t="s">
        <v>480</v>
      </c>
      <c r="B51" t="s">
        <v>10</v>
      </c>
      <c r="E51" s="65">
        <f>E48/E4</f>
        <v>6.6315789473684217E-2</v>
      </c>
      <c r="F51" s="65">
        <f>F48/F4</f>
        <v>7.0000000000000007E-2</v>
      </c>
      <c r="G51" s="65">
        <f>G48/G4</f>
        <v>7.3333333333333348E-2</v>
      </c>
      <c r="H51" s="12">
        <v>3</v>
      </c>
    </row>
    <row r="52" spans="1:23" x14ac:dyDescent="0.25">
      <c r="A52" t="s">
        <v>497</v>
      </c>
      <c r="B52" t="s">
        <v>8</v>
      </c>
      <c r="C52" s="1">
        <f>-D52</f>
        <v>-3.5000000000000003E-2</v>
      </c>
      <c r="D52" s="5">
        <v>3.5000000000000003E-2</v>
      </c>
      <c r="E52" s="1">
        <f>F52*(1+C52)</f>
        <v>2036150000000</v>
      </c>
      <c r="F52" s="5">
        <v>2110000000000</v>
      </c>
      <c r="G52" s="1">
        <f>F52*(1+D52)</f>
        <v>2183849999999.9998</v>
      </c>
      <c r="H52" s="12">
        <v>3</v>
      </c>
      <c r="I52" t="s">
        <v>498</v>
      </c>
    </row>
    <row r="53" spans="1:23" x14ac:dyDescent="0.25">
      <c r="A53" t="s">
        <v>499</v>
      </c>
      <c r="B53" t="s">
        <v>10</v>
      </c>
      <c r="C53" s="1"/>
      <c r="D53" s="1"/>
      <c r="E53" s="5">
        <v>0.3</v>
      </c>
      <c r="F53" s="5">
        <v>0.4</v>
      </c>
      <c r="G53" s="5">
        <v>0.5</v>
      </c>
      <c r="H53" s="5">
        <v>2</v>
      </c>
      <c r="I53" t="s">
        <v>500</v>
      </c>
    </row>
    <row r="54" spans="1:23" x14ac:dyDescent="0.25">
      <c r="A54" t="s">
        <v>494</v>
      </c>
      <c r="B54" t="s">
        <v>10</v>
      </c>
      <c r="E54" s="12">
        <v>4.5999999999999999E-2</v>
      </c>
      <c r="F54" s="12">
        <v>0.3</v>
      </c>
      <c r="G54" s="12">
        <v>0.42</v>
      </c>
      <c r="H54" s="45">
        <v>2</v>
      </c>
    </row>
    <row r="55" spans="1:23" x14ac:dyDescent="0.25">
      <c r="A55" t="s">
        <v>495</v>
      </c>
      <c r="B55" t="s">
        <v>10</v>
      </c>
      <c r="E55" s="12">
        <v>0.2</v>
      </c>
      <c r="F55" s="12">
        <v>0.3</v>
      </c>
      <c r="G55" s="12">
        <v>0.5</v>
      </c>
      <c r="H55" s="45">
        <v>2</v>
      </c>
      <c r="I55" t="s">
        <v>496</v>
      </c>
    </row>
    <row r="56" spans="1:23" x14ac:dyDescent="0.25">
      <c r="A56" t="s">
        <v>359</v>
      </c>
      <c r="B56" t="s">
        <v>10</v>
      </c>
      <c r="E56">
        <f>E54*E55</f>
        <v>9.1999999999999998E-3</v>
      </c>
      <c r="F56">
        <f>F54*F55</f>
        <v>0.09</v>
      </c>
      <c r="G56">
        <f>G54*G55</f>
        <v>0.21</v>
      </c>
      <c r="H56" s="45">
        <v>2</v>
      </c>
    </row>
    <row r="57" spans="1:23" x14ac:dyDescent="0.25">
      <c r="H57"/>
    </row>
    <row r="58" spans="1:23" x14ac:dyDescent="0.25">
      <c r="H58"/>
    </row>
    <row r="59" spans="1:23" x14ac:dyDescent="0.25">
      <c r="C59" s="121" t="s">
        <v>444</v>
      </c>
      <c r="D59" s="121"/>
      <c r="E59" s="121"/>
      <c r="F59" s="121"/>
      <c r="G59" s="121"/>
      <c r="H59" s="121"/>
      <c r="I59" s="121"/>
      <c r="J59" s="121" t="s">
        <v>445</v>
      </c>
      <c r="K59" s="121"/>
      <c r="L59" s="121"/>
      <c r="M59" s="121"/>
      <c r="N59" s="121"/>
      <c r="O59" s="121"/>
      <c r="P59" s="121"/>
      <c r="Q59" s="121" t="s">
        <v>446</v>
      </c>
      <c r="R59" s="121"/>
      <c r="S59" s="121"/>
      <c r="T59" s="121"/>
      <c r="U59" s="121"/>
      <c r="V59" s="121"/>
      <c r="W59" s="121"/>
    </row>
    <row r="60" spans="1:23" ht="15.75" thickBot="1" x14ac:dyDescent="0.3">
      <c r="A60" t="s">
        <v>376</v>
      </c>
      <c r="C60" s="2">
        <v>1.3500000000000001E-3</v>
      </c>
      <c r="D60" s="2">
        <v>0.01</v>
      </c>
      <c r="E60" s="2">
        <v>0.25</v>
      </c>
      <c r="F60" s="2">
        <v>0.5</v>
      </c>
      <c r="G60" s="2">
        <v>0.75</v>
      </c>
      <c r="H60" s="2">
        <v>0.99</v>
      </c>
      <c r="I60" s="2">
        <v>0.99865000000000004</v>
      </c>
      <c r="J60" s="2">
        <v>1.3500000000000001E-3</v>
      </c>
      <c r="K60" s="2">
        <v>0.01</v>
      </c>
      <c r="L60" s="2">
        <v>0.25</v>
      </c>
      <c r="M60" s="2">
        <v>0.5</v>
      </c>
      <c r="N60" s="2">
        <v>0.75</v>
      </c>
      <c r="O60" s="2">
        <v>0.99</v>
      </c>
      <c r="P60" s="2">
        <v>0.99865000000000004</v>
      </c>
      <c r="Q60" s="2">
        <v>1.3500000000000001E-3</v>
      </c>
      <c r="R60" s="2">
        <v>0.01</v>
      </c>
      <c r="S60" s="2">
        <v>0.25</v>
      </c>
      <c r="T60" s="2">
        <v>0.5</v>
      </c>
      <c r="U60" s="2">
        <v>0.75</v>
      </c>
      <c r="V60" s="2">
        <v>0.99</v>
      </c>
      <c r="W60" s="2">
        <v>0.99865000000000004</v>
      </c>
    </row>
    <row r="61" spans="1:23" x14ac:dyDescent="0.25">
      <c r="A61" s="22" t="s">
        <v>133</v>
      </c>
      <c r="B61">
        <v>1</v>
      </c>
      <c r="C61" s="95">
        <v>0</v>
      </c>
      <c r="D61" s="96">
        <v>0</v>
      </c>
      <c r="E61" s="96">
        <v>0</v>
      </c>
      <c r="F61" s="96">
        <v>0</v>
      </c>
      <c r="G61" s="96">
        <v>0</v>
      </c>
      <c r="H61" s="96">
        <v>0</v>
      </c>
      <c r="I61" s="97">
        <v>0</v>
      </c>
      <c r="J61" s="95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7">
        <v>0</v>
      </c>
      <c r="Q61" s="95">
        <v>0</v>
      </c>
      <c r="R61" s="96">
        <v>0</v>
      </c>
      <c r="S61" s="96">
        <v>0</v>
      </c>
      <c r="T61" s="96">
        <v>0</v>
      </c>
      <c r="U61" s="96">
        <v>0</v>
      </c>
      <c r="V61" s="96">
        <v>0</v>
      </c>
      <c r="W61" s="97">
        <v>0</v>
      </c>
    </row>
    <row r="62" spans="1:23" x14ac:dyDescent="0.25">
      <c r="A62" s="22" t="s">
        <v>134</v>
      </c>
      <c r="B62">
        <v>2</v>
      </c>
      <c r="C62" s="98">
        <v>0</v>
      </c>
      <c r="D62" s="99">
        <v>0</v>
      </c>
      <c r="E62" s="99">
        <v>0</v>
      </c>
      <c r="F62" s="99">
        <v>0</v>
      </c>
      <c r="G62" s="99">
        <v>0</v>
      </c>
      <c r="H62" s="99">
        <v>0</v>
      </c>
      <c r="I62" s="100">
        <v>0</v>
      </c>
      <c r="J62" s="98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00">
        <v>0</v>
      </c>
      <c r="Q62" s="98">
        <v>0</v>
      </c>
      <c r="R62" s="99">
        <v>0</v>
      </c>
      <c r="S62" s="99">
        <v>0</v>
      </c>
      <c r="T62" s="99">
        <v>0</v>
      </c>
      <c r="U62" s="99">
        <v>0</v>
      </c>
      <c r="V62" s="99">
        <v>0</v>
      </c>
      <c r="W62" s="100">
        <v>0</v>
      </c>
    </row>
    <row r="63" spans="1:23" x14ac:dyDescent="0.25">
      <c r="A63" s="22" t="s">
        <v>135</v>
      </c>
      <c r="B63">
        <v>3</v>
      </c>
      <c r="C63" s="98">
        <v>0</v>
      </c>
      <c r="D63" s="99">
        <v>0</v>
      </c>
      <c r="E63" s="99">
        <v>0</v>
      </c>
      <c r="F63" s="99">
        <v>0</v>
      </c>
      <c r="G63" s="99">
        <v>0</v>
      </c>
      <c r="H63" s="99">
        <v>0</v>
      </c>
      <c r="I63" s="100">
        <v>0</v>
      </c>
      <c r="J63" s="98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00">
        <v>0</v>
      </c>
      <c r="Q63" s="98">
        <v>0</v>
      </c>
      <c r="R63" s="99">
        <v>0</v>
      </c>
      <c r="S63" s="99">
        <v>0</v>
      </c>
      <c r="T63" s="99">
        <v>0</v>
      </c>
      <c r="U63" s="99">
        <v>0</v>
      </c>
      <c r="V63" s="99">
        <v>0</v>
      </c>
      <c r="W63" s="100">
        <v>0</v>
      </c>
    </row>
    <row r="64" spans="1:23" x14ac:dyDescent="0.25">
      <c r="A64" s="22" t="s">
        <v>465</v>
      </c>
      <c r="B64">
        <v>4</v>
      </c>
      <c r="C64" s="98">
        <v>35802871756.224457</v>
      </c>
      <c r="D64" s="99">
        <v>42129165508.9767</v>
      </c>
      <c r="E64" s="99">
        <v>65608276165.960121</v>
      </c>
      <c r="F64" s="99">
        <v>79457308196.563309</v>
      </c>
      <c r="G64" s="99">
        <v>95888474870.622696</v>
      </c>
      <c r="H64" s="99">
        <v>142626787507.15112</v>
      </c>
      <c r="I64" s="100">
        <v>162472951315.74945</v>
      </c>
      <c r="J64" s="98">
        <v>35477115260.712265</v>
      </c>
      <c r="K64" s="99">
        <v>41745848511.153152</v>
      </c>
      <c r="L64" s="99">
        <v>65011331812.838402</v>
      </c>
      <c r="M64" s="99">
        <v>78734356852.403488</v>
      </c>
      <c r="N64" s="99">
        <v>95016022690.067322</v>
      </c>
      <c r="O64" s="99">
        <v>141329081480.08044</v>
      </c>
      <c r="P64" s="100">
        <v>160994672712.94604</v>
      </c>
      <c r="Q64" s="98">
        <v>35477115260.712265</v>
      </c>
      <c r="R64" s="99">
        <v>41745848511.153152</v>
      </c>
      <c r="S64" s="99">
        <v>65011331812.838402</v>
      </c>
      <c r="T64" s="99">
        <v>78734356852.403473</v>
      </c>
      <c r="U64" s="99">
        <v>95016022690.067291</v>
      </c>
      <c r="V64" s="99">
        <v>141329081480.08044</v>
      </c>
      <c r="W64" s="100">
        <v>160994672712.94604</v>
      </c>
    </row>
    <row r="65" spans="1:23" x14ac:dyDescent="0.25">
      <c r="A65" s="22" t="s">
        <v>176</v>
      </c>
      <c r="B65">
        <v>5</v>
      </c>
      <c r="C65" s="98">
        <v>26579431207.083328</v>
      </c>
      <c r="D65" s="99">
        <v>31121031566.099472</v>
      </c>
      <c r="E65" s="99">
        <v>48584990348.312531</v>
      </c>
      <c r="F65" s="99">
        <v>58743147419.459167</v>
      </c>
      <c r="G65" s="99">
        <v>70807195353.40477</v>
      </c>
      <c r="H65" s="99">
        <v>105858042073.15686</v>
      </c>
      <c r="I65" s="100">
        <v>120710632176.15944</v>
      </c>
      <c r="J65" s="98">
        <v>26337595233.095528</v>
      </c>
      <c r="K65" s="99">
        <v>30837873325.366051</v>
      </c>
      <c r="L65" s="99">
        <v>48142934294.872955</v>
      </c>
      <c r="M65" s="99">
        <v>58208666220.045547</v>
      </c>
      <c r="N65" s="99">
        <v>70162948043.512329</v>
      </c>
      <c r="O65" s="99">
        <v>104894880652.96889</v>
      </c>
      <c r="P65" s="100">
        <v>119612332777.81772</v>
      </c>
      <c r="Q65" s="98">
        <v>26337595233.095535</v>
      </c>
      <c r="R65" s="99">
        <v>30837873325.366055</v>
      </c>
      <c r="S65" s="99">
        <v>48142934294.872955</v>
      </c>
      <c r="T65" s="99">
        <v>58208666220.045555</v>
      </c>
      <c r="U65" s="99">
        <v>70162948043.512329</v>
      </c>
      <c r="V65" s="99">
        <v>104894880652.9689</v>
      </c>
      <c r="W65" s="100">
        <v>119612332777.81773</v>
      </c>
    </row>
    <row r="66" spans="1:23" x14ac:dyDescent="0.25">
      <c r="A66" s="22" t="s">
        <v>177</v>
      </c>
      <c r="B66">
        <v>6</v>
      </c>
      <c r="C66" s="98">
        <v>46412149376.693405</v>
      </c>
      <c r="D66" s="99">
        <v>54353737917.35154</v>
      </c>
      <c r="E66" s="99">
        <v>84597745773.408997</v>
      </c>
      <c r="F66" s="99">
        <v>102368520670.71512</v>
      </c>
      <c r="G66" s="99">
        <v>123589234708.92905</v>
      </c>
      <c r="H66" s="99">
        <v>184936386714.52753</v>
      </c>
      <c r="I66" s="100">
        <v>211295025517.04218</v>
      </c>
      <c r="J66" s="98">
        <v>45989863163.646507</v>
      </c>
      <c r="K66" s="99">
        <v>53859194258.884644</v>
      </c>
      <c r="L66" s="99">
        <v>83828023574.055359</v>
      </c>
      <c r="M66" s="99">
        <v>101437109057.381</v>
      </c>
      <c r="N66" s="99">
        <v>122464744018.46329</v>
      </c>
      <c r="O66" s="99">
        <v>183253721993.13297</v>
      </c>
      <c r="P66" s="100">
        <v>209372533726.43253</v>
      </c>
      <c r="Q66" s="98">
        <v>45989863163.646507</v>
      </c>
      <c r="R66" s="99">
        <v>53859194258.884644</v>
      </c>
      <c r="S66" s="99">
        <v>83828023574.055359</v>
      </c>
      <c r="T66" s="99">
        <v>101437109057.381</v>
      </c>
      <c r="U66" s="99">
        <v>122464744018.46326</v>
      </c>
      <c r="V66" s="99">
        <v>183253721993.133</v>
      </c>
      <c r="W66" s="100">
        <v>209372533726.43253</v>
      </c>
    </row>
    <row r="67" spans="1:23" x14ac:dyDescent="0.25">
      <c r="A67" s="22" t="s">
        <v>178</v>
      </c>
      <c r="B67">
        <v>7</v>
      </c>
      <c r="C67" s="98">
        <v>28618398167.867546</v>
      </c>
      <c r="D67" s="99">
        <v>33844812189.150585</v>
      </c>
      <c r="E67" s="99">
        <v>52646955043.07843</v>
      </c>
      <c r="F67" s="99">
        <v>63749784236.856842</v>
      </c>
      <c r="G67" s="99">
        <v>76815449836.530396</v>
      </c>
      <c r="H67" s="99">
        <v>114699512757.78996</v>
      </c>
      <c r="I67" s="100">
        <v>130276801559.08591</v>
      </c>
      <c r="J67" s="98">
        <v>6573154425.6551991</v>
      </c>
      <c r="K67" s="99">
        <v>7773571942.135046</v>
      </c>
      <c r="L67" s="99">
        <v>12092101154.95668</v>
      </c>
      <c r="M67" s="99">
        <v>14642230286.024544</v>
      </c>
      <c r="N67" s="99">
        <v>17643189220.094215</v>
      </c>
      <c r="O67" s="99">
        <v>26344507665.38274</v>
      </c>
      <c r="P67" s="100">
        <v>29922343301.861946</v>
      </c>
      <c r="Q67" s="98">
        <v>6573154425.6551991</v>
      </c>
      <c r="R67" s="99">
        <v>7773571942.135046</v>
      </c>
      <c r="S67" s="99">
        <v>12092101154.95668</v>
      </c>
      <c r="T67" s="99">
        <v>14642230286.024544</v>
      </c>
      <c r="U67" s="99">
        <v>17643189220.094215</v>
      </c>
      <c r="V67" s="99">
        <v>26344507665.38274</v>
      </c>
      <c r="W67" s="100">
        <v>29922343301.861946</v>
      </c>
    </row>
    <row r="68" spans="1:23" x14ac:dyDescent="0.25">
      <c r="A68" s="22" t="s">
        <v>179</v>
      </c>
      <c r="B68">
        <v>8</v>
      </c>
      <c r="C68" s="98">
        <v>0</v>
      </c>
      <c r="D68" s="99">
        <v>0</v>
      </c>
      <c r="E68" s="99">
        <v>0</v>
      </c>
      <c r="F68" s="99">
        <v>0</v>
      </c>
      <c r="G68" s="99">
        <v>0</v>
      </c>
      <c r="H68" s="99">
        <v>0</v>
      </c>
      <c r="I68" s="100">
        <v>0</v>
      </c>
      <c r="J68" s="98">
        <v>0</v>
      </c>
      <c r="K68" s="99">
        <v>0</v>
      </c>
      <c r="L68" s="99">
        <v>0</v>
      </c>
      <c r="M68" s="99">
        <v>0</v>
      </c>
      <c r="N68" s="99">
        <v>0</v>
      </c>
      <c r="O68" s="99">
        <v>0</v>
      </c>
      <c r="P68" s="100">
        <v>0</v>
      </c>
      <c r="Q68" s="98">
        <v>0</v>
      </c>
      <c r="R68" s="99">
        <v>0</v>
      </c>
      <c r="S68" s="99">
        <v>0</v>
      </c>
      <c r="T68" s="99">
        <v>0</v>
      </c>
      <c r="U68" s="99">
        <v>0</v>
      </c>
      <c r="V68" s="99">
        <v>0</v>
      </c>
      <c r="W68" s="100">
        <v>0</v>
      </c>
    </row>
    <row r="69" spans="1:23" x14ac:dyDescent="0.25">
      <c r="A69" s="22" t="s">
        <v>180</v>
      </c>
      <c r="B69">
        <v>9</v>
      </c>
      <c r="C69" s="98">
        <v>0</v>
      </c>
      <c r="D69" s="99">
        <v>0</v>
      </c>
      <c r="E69" s="99">
        <v>0</v>
      </c>
      <c r="F69" s="99">
        <v>0</v>
      </c>
      <c r="G69" s="99">
        <v>0</v>
      </c>
      <c r="H69" s="99">
        <v>0</v>
      </c>
      <c r="I69" s="100">
        <v>0</v>
      </c>
      <c r="J69" s="98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00">
        <v>0</v>
      </c>
      <c r="Q69" s="98">
        <v>0</v>
      </c>
      <c r="R69" s="99">
        <v>0</v>
      </c>
      <c r="S69" s="99">
        <v>0</v>
      </c>
      <c r="T69" s="99">
        <v>0</v>
      </c>
      <c r="U69" s="99">
        <v>0</v>
      </c>
      <c r="V69" s="99">
        <v>0</v>
      </c>
      <c r="W69" s="100">
        <v>0</v>
      </c>
    </row>
    <row r="70" spans="1:23" ht="15.75" thickBot="1" x14ac:dyDescent="0.3">
      <c r="A70" s="22" t="s">
        <v>464</v>
      </c>
      <c r="B70">
        <v>10</v>
      </c>
      <c r="C70" s="101">
        <v>79740055764.905167</v>
      </c>
      <c r="D70" s="102">
        <v>114037076352.67268</v>
      </c>
      <c r="E70" s="102">
        <v>302471326526.46277</v>
      </c>
      <c r="F70" s="102">
        <v>428136400692.4646</v>
      </c>
      <c r="G70" s="102">
        <v>587695085409.02734</v>
      </c>
      <c r="H70" s="102">
        <v>1120076648756.0947</v>
      </c>
      <c r="I70" s="103">
        <v>1364709908463.5444</v>
      </c>
      <c r="J70" s="101">
        <v>79740055764.905167</v>
      </c>
      <c r="K70" s="102">
        <v>114037076352.67268</v>
      </c>
      <c r="L70" s="102">
        <v>302471326526.46277</v>
      </c>
      <c r="M70" s="102">
        <v>428136400692.4646</v>
      </c>
      <c r="N70" s="102">
        <v>587695085409.02734</v>
      </c>
      <c r="O70" s="102">
        <v>1120076648756.0947</v>
      </c>
      <c r="P70" s="103">
        <v>1364709908463.5444</v>
      </c>
      <c r="Q70" s="101">
        <v>79740055764.905167</v>
      </c>
      <c r="R70" s="102">
        <v>114037076352.67268</v>
      </c>
      <c r="S70" s="102">
        <v>302471326526.46277</v>
      </c>
      <c r="T70" s="102">
        <v>428136400692.4646</v>
      </c>
      <c r="U70" s="102">
        <v>587695085409.02734</v>
      </c>
      <c r="V70" s="102">
        <v>1120076648756.0947</v>
      </c>
      <c r="W70" s="103">
        <v>1364709908463.5444</v>
      </c>
    </row>
    <row r="71" spans="1:23" x14ac:dyDescent="0.25">
      <c r="A71" s="2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22" t="s">
        <v>472</v>
      </c>
      <c r="C72" s="1">
        <f>SUM(C61:C69)</f>
        <v>137412850507.86874</v>
      </c>
      <c r="D72" s="54">
        <f t="shared" ref="D72:W72" si="0">SUM(D61:D69)</f>
        <v>161448747181.57828</v>
      </c>
      <c r="E72" s="1">
        <f t="shared" si="0"/>
        <v>251437967330.76007</v>
      </c>
      <c r="F72" s="1">
        <f t="shared" si="0"/>
        <v>304318760523.59442</v>
      </c>
      <c r="G72" s="1">
        <f t="shared" si="0"/>
        <v>367100354769.48694</v>
      </c>
      <c r="H72" s="1">
        <f t="shared" si="0"/>
        <v>548120729052.62549</v>
      </c>
      <c r="I72" s="1">
        <f t="shared" si="0"/>
        <v>624755410568.03699</v>
      </c>
      <c r="J72" s="1">
        <f t="shared" si="0"/>
        <v>114377728083.1095</v>
      </c>
      <c r="K72" s="54">
        <f t="shared" si="0"/>
        <v>134216488037.53888</v>
      </c>
      <c r="L72" s="1">
        <f t="shared" si="0"/>
        <v>209074390836.72339</v>
      </c>
      <c r="M72" s="1">
        <f t="shared" si="0"/>
        <v>253022362415.85455</v>
      </c>
      <c r="N72" s="1">
        <f t="shared" si="0"/>
        <v>305286903972.13721</v>
      </c>
      <c r="O72" s="1">
        <f t="shared" si="0"/>
        <v>455822191791.565</v>
      </c>
      <c r="P72" s="1">
        <f t="shared" si="0"/>
        <v>519901882519.05823</v>
      </c>
      <c r="Q72" s="1">
        <f t="shared" si="0"/>
        <v>114377728083.10951</v>
      </c>
      <c r="R72" s="54">
        <f t="shared" si="0"/>
        <v>134216488037.53889</v>
      </c>
      <c r="S72" s="1">
        <f t="shared" si="0"/>
        <v>209074390836.72339</v>
      </c>
      <c r="T72" s="1">
        <f t="shared" si="0"/>
        <v>253022362415.85455</v>
      </c>
      <c r="U72" s="1">
        <f t="shared" si="0"/>
        <v>305286903972.13708</v>
      </c>
      <c r="V72" s="1">
        <f t="shared" si="0"/>
        <v>455822191791.56512</v>
      </c>
      <c r="W72" s="1">
        <f t="shared" si="0"/>
        <v>519901882519.05823</v>
      </c>
    </row>
    <row r="73" spans="1:23" x14ac:dyDescent="0.25">
      <c r="A73" s="22" t="s">
        <v>0</v>
      </c>
      <c r="C73" s="1">
        <f>SUM(C61:C70)</f>
        <v>217152906272.77393</v>
      </c>
      <c r="D73" s="54">
        <f t="shared" ref="D73:W73" si="1">SUM(D61:D70)</f>
        <v>275485823534.25098</v>
      </c>
      <c r="E73" s="1">
        <f t="shared" si="1"/>
        <v>553909293857.2229</v>
      </c>
      <c r="F73" s="1">
        <f t="shared" si="1"/>
        <v>732455161216.05908</v>
      </c>
      <c r="G73" s="1">
        <f t="shared" si="1"/>
        <v>954795440178.51428</v>
      </c>
      <c r="H73" s="1">
        <f t="shared" si="1"/>
        <v>1668197377808.7202</v>
      </c>
      <c r="I73" s="1">
        <f t="shared" si="1"/>
        <v>1989465319031.5815</v>
      </c>
      <c r="J73" s="1">
        <f t="shared" si="1"/>
        <v>194117783848.01465</v>
      </c>
      <c r="K73" s="54">
        <f t="shared" si="1"/>
        <v>248253564390.21155</v>
      </c>
      <c r="L73" s="1">
        <f t="shared" si="1"/>
        <v>511545717363.18616</v>
      </c>
      <c r="M73" s="1">
        <f t="shared" si="1"/>
        <v>681158763108.31909</v>
      </c>
      <c r="N73" s="1">
        <f t="shared" si="1"/>
        <v>892981989381.16455</v>
      </c>
      <c r="O73" s="1">
        <f t="shared" si="1"/>
        <v>1575898840547.6597</v>
      </c>
      <c r="P73" s="1">
        <f t="shared" si="1"/>
        <v>1884611790982.6025</v>
      </c>
      <c r="Q73" s="1">
        <f t="shared" si="1"/>
        <v>194117783848.01468</v>
      </c>
      <c r="R73" s="54">
        <f t="shared" si="1"/>
        <v>248253564390.21158</v>
      </c>
      <c r="S73" s="1">
        <f t="shared" si="1"/>
        <v>511545717363.18616</v>
      </c>
      <c r="T73" s="1">
        <f t="shared" si="1"/>
        <v>681158763108.31909</v>
      </c>
      <c r="U73" s="1">
        <f t="shared" si="1"/>
        <v>892981989381.16443</v>
      </c>
      <c r="V73" s="1">
        <f t="shared" si="1"/>
        <v>1575898840547.6599</v>
      </c>
      <c r="W73" s="1">
        <f t="shared" si="1"/>
        <v>1884611790982.6025</v>
      </c>
    </row>
    <row r="75" spans="1:23" x14ac:dyDescent="0.25">
      <c r="A75" s="22" t="s">
        <v>481</v>
      </c>
      <c r="C75" s="75">
        <v>13709078353.300072</v>
      </c>
      <c r="D75" s="75">
        <v>19514979411.201027</v>
      </c>
      <c r="E75" s="75">
        <v>52091205728.866913</v>
      </c>
      <c r="F75" s="75">
        <v>70125959093.341553</v>
      </c>
      <c r="G75" s="75">
        <v>89179480556.690765</v>
      </c>
      <c r="H75" s="75">
        <v>141790251376.81085</v>
      </c>
      <c r="I75" s="75">
        <v>163068875418.25925</v>
      </c>
    </row>
  </sheetData>
  <mergeCells count="3">
    <mergeCell ref="C59:I59"/>
    <mergeCell ref="J59:P59"/>
    <mergeCell ref="Q59:W59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C43" sqref="C43:I45"/>
    </sheetView>
  </sheetViews>
  <sheetFormatPr baseColWidth="10" defaultRowHeight="15" x14ac:dyDescent="0.25"/>
  <cols>
    <col min="1" max="1" width="54.140625" bestFit="1" customWidth="1"/>
    <col min="3" max="3" width="8.42578125" customWidth="1"/>
    <col min="4" max="4" width="8.28515625" bestFit="1" customWidth="1"/>
    <col min="5" max="7" width="12" bestFit="1" customWidth="1"/>
    <col min="8" max="8" width="11.5703125" style="22" bestFit="1" customWidth="1"/>
    <col min="9" max="9" width="11.7109375" customWidth="1"/>
  </cols>
  <sheetData>
    <row r="1" spans="1:10" x14ac:dyDescent="0.25">
      <c r="A1" s="71" t="s">
        <v>476</v>
      </c>
      <c r="E1" t="s">
        <v>323</v>
      </c>
      <c r="F1" t="s">
        <v>331</v>
      </c>
      <c r="G1" t="s">
        <v>80</v>
      </c>
    </row>
    <row r="2" spans="1:10" x14ac:dyDescent="0.25">
      <c r="B2" t="s">
        <v>36</v>
      </c>
      <c r="C2" t="s">
        <v>220</v>
      </c>
      <c r="D2" t="s">
        <v>221</v>
      </c>
      <c r="E2" t="s">
        <v>253</v>
      </c>
      <c r="F2" t="s">
        <v>254</v>
      </c>
      <c r="G2" t="s">
        <v>255</v>
      </c>
      <c r="H2" s="22" t="s">
        <v>256</v>
      </c>
      <c r="I2" t="s">
        <v>4</v>
      </c>
    </row>
    <row r="3" spans="1:10" x14ac:dyDescent="0.25">
      <c r="A3" s="34" t="s">
        <v>273</v>
      </c>
      <c r="B3" s="34"/>
      <c r="C3" s="34"/>
      <c r="D3" s="34"/>
      <c r="E3" s="34"/>
      <c r="F3" s="34"/>
      <c r="G3" s="34"/>
      <c r="H3" s="46"/>
    </row>
    <row r="4" spans="1:10" x14ac:dyDescent="0.25">
      <c r="A4" t="s">
        <v>274</v>
      </c>
      <c r="B4" t="s">
        <v>8</v>
      </c>
      <c r="E4">
        <f>X_irr!D7</f>
        <v>5.6127867566949616E+16</v>
      </c>
      <c r="F4">
        <f>X_irr!F7</f>
        <v>5.9844997304293952E+16</v>
      </c>
      <c r="G4">
        <f>X_irr!H7</f>
        <v>6.356434364385148E+16</v>
      </c>
    </row>
    <row r="5" spans="1:10" x14ac:dyDescent="0.25">
      <c r="A5" t="s">
        <v>275</v>
      </c>
      <c r="B5" t="s">
        <v>276</v>
      </c>
      <c r="E5" s="12">
        <v>427300</v>
      </c>
      <c r="F5" s="12">
        <v>449500</v>
      </c>
      <c r="G5" s="12">
        <v>471700</v>
      </c>
      <c r="H5" s="45"/>
      <c r="I5" s="35" t="s">
        <v>277</v>
      </c>
      <c r="J5" t="s">
        <v>284</v>
      </c>
    </row>
    <row r="6" spans="1:10" x14ac:dyDescent="0.25">
      <c r="B6" t="s">
        <v>278</v>
      </c>
      <c r="E6" s="1">
        <f>E5*10^9/(3600*24*365)</f>
        <v>13549594.114662608</v>
      </c>
      <c r="F6" s="1">
        <f>F5*10^9/(3600*24*365)</f>
        <v>14253551.496702181</v>
      </c>
      <c r="G6" s="1">
        <f>G5*10^9/(3600*24*365)</f>
        <v>14957508.878741756</v>
      </c>
    </row>
    <row r="7" spans="1:10" x14ac:dyDescent="0.25">
      <c r="A7" t="s">
        <v>279</v>
      </c>
      <c r="B7" t="s">
        <v>280</v>
      </c>
      <c r="E7" s="12">
        <v>2530</v>
      </c>
      <c r="F7" s="12">
        <v>2530</v>
      </c>
      <c r="G7" s="12">
        <v>2530</v>
      </c>
      <c r="H7" s="45"/>
      <c r="I7" t="s">
        <v>266</v>
      </c>
    </row>
    <row r="8" spans="1:10" x14ac:dyDescent="0.25">
      <c r="A8" t="s">
        <v>281</v>
      </c>
      <c r="B8" t="s">
        <v>226</v>
      </c>
      <c r="E8" s="12">
        <v>1000</v>
      </c>
      <c r="F8" s="12">
        <v>1000</v>
      </c>
      <c r="G8" s="12">
        <v>1000</v>
      </c>
      <c r="H8" s="45"/>
      <c r="I8" t="s">
        <v>266</v>
      </c>
    </row>
    <row r="9" spans="1:10" x14ac:dyDescent="0.25">
      <c r="A9" t="s">
        <v>282</v>
      </c>
      <c r="B9" t="s">
        <v>8</v>
      </c>
      <c r="E9" s="1">
        <f>E6*E8*E7*1000</f>
        <v>3.4280473110096396E+16</v>
      </c>
      <c r="F9" s="1">
        <f>F6*F8*F7*1000</f>
        <v>3.6061485286656512E+16</v>
      </c>
      <c r="G9" s="1">
        <f>G6*G8*G7*1000</f>
        <v>3.784249746321664E+16</v>
      </c>
    </row>
    <row r="10" spans="1:10" x14ac:dyDescent="0.25">
      <c r="A10" t="s">
        <v>283</v>
      </c>
      <c r="B10" t="s">
        <v>276</v>
      </c>
      <c r="E10" s="12">
        <v>41500</v>
      </c>
      <c r="F10" s="12">
        <v>45900</v>
      </c>
      <c r="G10" s="12">
        <v>50300</v>
      </c>
      <c r="H10" s="45"/>
      <c r="I10" t="s">
        <v>284</v>
      </c>
    </row>
    <row r="11" spans="1:10" x14ac:dyDescent="0.25">
      <c r="B11" t="s">
        <v>278</v>
      </c>
      <c r="E11" s="1">
        <v>1036500</v>
      </c>
      <c r="F11" s="1">
        <f>F10*10^9/(3600*24*365)</f>
        <v>1455479.4520547944</v>
      </c>
      <c r="G11" s="1">
        <v>1873500</v>
      </c>
      <c r="H11" s="45">
        <v>3</v>
      </c>
    </row>
    <row r="12" spans="1:10" x14ac:dyDescent="0.25">
      <c r="A12" t="s">
        <v>285</v>
      </c>
      <c r="B12" t="s">
        <v>8</v>
      </c>
      <c r="E12" s="5">
        <v>4900000000000</v>
      </c>
      <c r="F12" s="5">
        <v>5000000000000</v>
      </c>
      <c r="G12" s="5">
        <v>5610000000000</v>
      </c>
      <c r="H12" s="45">
        <v>3</v>
      </c>
      <c r="I12" t="s">
        <v>286</v>
      </c>
    </row>
    <row r="13" spans="1:10" x14ac:dyDescent="0.25">
      <c r="A13" t="s">
        <v>371</v>
      </c>
      <c r="B13" t="s">
        <v>10</v>
      </c>
      <c r="E13" s="1">
        <f>E12/E4</f>
        <v>8.730066208475236E-5</v>
      </c>
      <c r="F13" s="1">
        <f>F12/F4</f>
        <v>8.3549172449227325E-5</v>
      </c>
      <c r="G13" s="1">
        <f>G12/G4</f>
        <v>8.8257027106778755E-5</v>
      </c>
      <c r="H13" s="12">
        <v>3</v>
      </c>
    </row>
    <row r="14" spans="1:10" x14ac:dyDescent="0.25">
      <c r="A14" t="s">
        <v>287</v>
      </c>
      <c r="B14" t="s">
        <v>6</v>
      </c>
      <c r="E14">
        <f>E12/(E8*9.81*E11)</f>
        <v>481.90093198656774</v>
      </c>
      <c r="F14">
        <f>F12/(F8*9.81*F11)</f>
        <v>350.18288661030164</v>
      </c>
      <c r="G14">
        <f>G12/(G8*9.81*G11)</f>
        <v>305.23909443558927</v>
      </c>
      <c r="H14" s="22" t="s">
        <v>327</v>
      </c>
      <c r="I14" t="s">
        <v>328</v>
      </c>
    </row>
    <row r="15" spans="1:10" x14ac:dyDescent="0.25">
      <c r="A15" t="s">
        <v>288</v>
      </c>
      <c r="B15" t="s">
        <v>8</v>
      </c>
      <c r="E15" s="1">
        <f>E11*E8*E7*1000</f>
        <v>2622345000000000</v>
      </c>
      <c r="F15" s="1">
        <f>F11*F8*F7*1000</f>
        <v>3682363013698629.5</v>
      </c>
      <c r="G15" s="1">
        <f>G11*G8*G7*1000</f>
        <v>4739955000000000</v>
      </c>
    </row>
    <row r="16" spans="1:10" x14ac:dyDescent="0.25">
      <c r="A16" t="s">
        <v>591</v>
      </c>
      <c r="B16" t="s">
        <v>10</v>
      </c>
      <c r="E16" s="6">
        <v>0.10631820588107883</v>
      </c>
      <c r="F16" s="6">
        <v>0.42569307189542493</v>
      </c>
      <c r="G16" s="6">
        <v>0.73634844963743695</v>
      </c>
      <c r="H16" s="45">
        <v>5</v>
      </c>
      <c r="I16" t="s">
        <v>9</v>
      </c>
    </row>
    <row r="17" spans="1:9" x14ac:dyDescent="0.25">
      <c r="A17" t="s">
        <v>592</v>
      </c>
      <c r="B17" t="s">
        <v>10</v>
      </c>
      <c r="D17" s="2"/>
      <c r="E17" s="6">
        <v>0.9</v>
      </c>
      <c r="F17" s="6">
        <v>0.92500000000000004</v>
      </c>
      <c r="G17" s="6">
        <v>0.95</v>
      </c>
      <c r="H17" s="45">
        <v>2</v>
      </c>
      <c r="I17" t="s">
        <v>58</v>
      </c>
    </row>
    <row r="18" spans="1:9" x14ac:dyDescent="0.25">
      <c r="A18" t="s">
        <v>289</v>
      </c>
      <c r="B18" t="s">
        <v>10</v>
      </c>
      <c r="D18" s="2"/>
      <c r="E18" s="6">
        <v>0.9</v>
      </c>
      <c r="F18" s="6">
        <v>0.95</v>
      </c>
      <c r="G18" s="6">
        <v>0.98</v>
      </c>
      <c r="H18" s="45">
        <v>2</v>
      </c>
      <c r="I18" t="s">
        <v>293</v>
      </c>
    </row>
    <row r="19" spans="1:9" x14ac:dyDescent="0.25">
      <c r="A19" t="s">
        <v>290</v>
      </c>
      <c r="B19" t="s">
        <v>10</v>
      </c>
      <c r="D19" s="2"/>
      <c r="E19" s="6">
        <v>0.85</v>
      </c>
      <c r="F19" s="6">
        <v>0.92</v>
      </c>
      <c r="G19" s="6">
        <v>0.96</v>
      </c>
      <c r="H19" s="45">
        <v>2</v>
      </c>
      <c r="I19" t="s">
        <v>294</v>
      </c>
    </row>
    <row r="20" spans="1:9" x14ac:dyDescent="0.25">
      <c r="A20" t="s">
        <v>291</v>
      </c>
      <c r="B20" t="s">
        <v>10</v>
      </c>
      <c r="D20" s="2"/>
      <c r="E20" s="6">
        <v>0.95</v>
      </c>
      <c r="F20" s="6">
        <v>0.98</v>
      </c>
      <c r="G20" s="6">
        <v>0.98</v>
      </c>
      <c r="H20" s="45">
        <v>2</v>
      </c>
      <c r="I20" t="s">
        <v>295</v>
      </c>
    </row>
    <row r="21" spans="1:9" x14ac:dyDescent="0.25">
      <c r="A21" t="s">
        <v>292</v>
      </c>
      <c r="B21" t="s">
        <v>10</v>
      </c>
      <c r="D21" s="2"/>
      <c r="E21" s="29">
        <f>E20*E19*E18</f>
        <v>0.72675000000000001</v>
      </c>
      <c r="F21" s="29">
        <f>F20*F19*F18</f>
        <v>0.85652000000000006</v>
      </c>
      <c r="G21" s="29">
        <f>G20*G19*G18</f>
        <v>0.92198399999999991</v>
      </c>
      <c r="H21" s="50">
        <v>2</v>
      </c>
    </row>
    <row r="22" spans="1:9" x14ac:dyDescent="0.25">
      <c r="A22" t="s">
        <v>372</v>
      </c>
      <c r="B22" t="s">
        <v>8</v>
      </c>
      <c r="D22" s="2"/>
      <c r="E22" s="1">
        <f>E17*E16*E21*E12</f>
        <v>340746394507.16656</v>
      </c>
      <c r="F22" s="1">
        <f t="shared" ref="F22:G22" si="0">F17*F16*F21*F12</f>
        <v>1686342663471.896</v>
      </c>
      <c r="G22" s="1">
        <f t="shared" si="0"/>
        <v>3618205485574.9897</v>
      </c>
    </row>
    <row r="23" spans="1:9" x14ac:dyDescent="0.25">
      <c r="A23" t="s">
        <v>297</v>
      </c>
      <c r="B23" t="s">
        <v>8</v>
      </c>
      <c r="E23" s="1">
        <v>444000000000</v>
      </c>
      <c r="I23" s="35" t="s">
        <v>296</v>
      </c>
    </row>
    <row r="24" spans="1:9" x14ac:dyDescent="0.25">
      <c r="A24" s="34" t="s">
        <v>477</v>
      </c>
      <c r="B24" s="34"/>
      <c r="C24" s="34"/>
      <c r="D24" s="34"/>
      <c r="E24" s="34"/>
      <c r="F24" s="34"/>
      <c r="G24" s="34"/>
      <c r="H24" s="46"/>
    </row>
    <row r="25" spans="1:9" x14ac:dyDescent="0.25">
      <c r="A25" t="s">
        <v>299</v>
      </c>
      <c r="B25" t="s">
        <v>475</v>
      </c>
      <c r="E25" s="12">
        <f>0.81*3600*1000</f>
        <v>2916000</v>
      </c>
      <c r="F25" s="12">
        <f>0.81*3600*1000</f>
        <v>2916000</v>
      </c>
      <c r="G25" s="12">
        <f>0.81*3600*1000</f>
        <v>2916000</v>
      </c>
      <c r="H25" s="45">
        <v>5</v>
      </c>
      <c r="I25" t="s">
        <v>300</v>
      </c>
    </row>
    <row r="26" spans="1:9" x14ac:dyDescent="0.25">
      <c r="A26" t="s">
        <v>302</v>
      </c>
      <c r="B26" t="s">
        <v>8</v>
      </c>
      <c r="E26" s="1">
        <f>E25*E11</f>
        <v>3022434000000</v>
      </c>
      <c r="F26" s="1">
        <f>F25*F11</f>
        <v>4244178082191.7803</v>
      </c>
      <c r="G26" s="1">
        <f>G25*G11</f>
        <v>5463126000000</v>
      </c>
    </row>
    <row r="27" spans="1:9" x14ac:dyDescent="0.25">
      <c r="A27" t="s">
        <v>373</v>
      </c>
      <c r="B27" t="s">
        <v>10</v>
      </c>
      <c r="E27" s="1">
        <f>E26/E4</f>
        <v>5.3849079450503352E-5</v>
      </c>
      <c r="F27" s="1">
        <f>F26/F4</f>
        <v>7.0919513298854393E-5</v>
      </c>
      <c r="G27" s="1">
        <f>G26/G4</f>
        <v>8.594639206234363E-5</v>
      </c>
      <c r="H27" s="45">
        <v>3</v>
      </c>
    </row>
    <row r="28" spans="1:9" x14ac:dyDescent="0.25">
      <c r="A28" t="s">
        <v>298</v>
      </c>
      <c r="B28" t="s">
        <v>10</v>
      </c>
      <c r="E28" s="12">
        <v>0.05</v>
      </c>
      <c r="F28" s="12">
        <v>0.1</v>
      </c>
      <c r="G28" s="12">
        <v>0.15</v>
      </c>
      <c r="H28" s="45">
        <v>2</v>
      </c>
      <c r="I28" t="s">
        <v>593</v>
      </c>
    </row>
    <row r="29" spans="1:9" x14ac:dyDescent="0.25">
      <c r="A29" t="s">
        <v>301</v>
      </c>
      <c r="B29" t="s">
        <v>10</v>
      </c>
      <c r="E29" s="12">
        <v>0.4</v>
      </c>
      <c r="F29" s="12">
        <v>0.45</v>
      </c>
      <c r="G29" s="12">
        <v>0.48</v>
      </c>
      <c r="H29" s="45">
        <v>2</v>
      </c>
      <c r="I29" t="s">
        <v>300</v>
      </c>
    </row>
    <row r="30" spans="1:9" x14ac:dyDescent="0.25">
      <c r="A30" t="s">
        <v>303</v>
      </c>
      <c r="B30" t="s">
        <v>8</v>
      </c>
      <c r="E30" s="1">
        <f>E26*E28*E29</f>
        <v>60448680000</v>
      </c>
      <c r="F30" s="1">
        <f>F26*F28*F29</f>
        <v>190988013698.63013</v>
      </c>
      <c r="G30" s="1">
        <f>G26*G28*G29</f>
        <v>393345072000</v>
      </c>
    </row>
    <row r="31" spans="1:9" x14ac:dyDescent="0.25">
      <c r="E31" s="1"/>
      <c r="F31" s="1"/>
      <c r="G31" s="1"/>
    </row>
    <row r="32" spans="1:9" x14ac:dyDescent="0.25">
      <c r="A32" s="34" t="s">
        <v>360</v>
      </c>
      <c r="B32" s="34"/>
      <c r="C32" s="34"/>
      <c r="D32" s="34"/>
      <c r="E32" s="34"/>
      <c r="F32" s="34"/>
      <c r="G32" s="34"/>
      <c r="H32" s="46"/>
    </row>
    <row r="33" spans="1:9" x14ac:dyDescent="0.25">
      <c r="A33" t="s">
        <v>361</v>
      </c>
      <c r="B33" t="s">
        <v>8</v>
      </c>
      <c r="C33">
        <f>-D33</f>
        <v>-0.05</v>
      </c>
      <c r="D33" s="12">
        <v>0.05</v>
      </c>
      <c r="E33" s="1">
        <f>F33*(1+C33)</f>
        <v>2850000000000</v>
      </c>
      <c r="F33" s="5">
        <v>3000000000000</v>
      </c>
      <c r="G33" s="1">
        <f>F33*(1+D33)</f>
        <v>3150000000000</v>
      </c>
      <c r="H33" s="45">
        <v>3</v>
      </c>
      <c r="I33" t="s">
        <v>364</v>
      </c>
    </row>
    <row r="34" spans="1:9" x14ac:dyDescent="0.25">
      <c r="A34" t="s">
        <v>482</v>
      </c>
      <c r="B34" t="s">
        <v>10</v>
      </c>
      <c r="E34">
        <v>0.01</v>
      </c>
      <c r="F34">
        <v>0.02</v>
      </c>
      <c r="G34">
        <v>0.05</v>
      </c>
      <c r="H34" s="45">
        <v>2</v>
      </c>
      <c r="I34" t="s">
        <v>483</v>
      </c>
    </row>
    <row r="35" spans="1:9" x14ac:dyDescent="0.25">
      <c r="A35" t="s">
        <v>484</v>
      </c>
      <c r="B35" t="s">
        <v>10</v>
      </c>
      <c r="E35">
        <v>0.2</v>
      </c>
      <c r="F35">
        <v>0.25</v>
      </c>
      <c r="G35">
        <v>0.3</v>
      </c>
      <c r="H35" s="45">
        <v>3</v>
      </c>
      <c r="I35" t="s">
        <v>485</v>
      </c>
    </row>
    <row r="36" spans="1:9" x14ac:dyDescent="0.25">
      <c r="A36" t="s">
        <v>358</v>
      </c>
      <c r="B36" t="s">
        <v>10</v>
      </c>
      <c r="E36" s="12">
        <v>0.8</v>
      </c>
      <c r="F36" s="12">
        <v>0.85</v>
      </c>
      <c r="G36" s="12">
        <v>0.9</v>
      </c>
      <c r="H36" s="45">
        <v>2</v>
      </c>
    </row>
    <row r="37" spans="1:9" x14ac:dyDescent="0.25">
      <c r="A37" t="s">
        <v>357</v>
      </c>
      <c r="B37" t="s">
        <v>10</v>
      </c>
      <c r="E37" s="12">
        <v>0.85</v>
      </c>
      <c r="F37" s="12">
        <v>0.9</v>
      </c>
      <c r="G37" s="12">
        <v>0.95</v>
      </c>
      <c r="H37" s="45">
        <v>2</v>
      </c>
    </row>
    <row r="38" spans="1:9" x14ac:dyDescent="0.25">
      <c r="A38" t="s">
        <v>359</v>
      </c>
      <c r="B38" t="s">
        <v>10</v>
      </c>
      <c r="E38">
        <f>E36*E37</f>
        <v>0.68</v>
      </c>
      <c r="F38">
        <f>F36*F37</f>
        <v>0.76500000000000001</v>
      </c>
      <c r="G38">
        <f>G36*G37</f>
        <v>0.85499999999999998</v>
      </c>
      <c r="H38" s="45">
        <v>2</v>
      </c>
    </row>
    <row r="39" spans="1:9" x14ac:dyDescent="0.25">
      <c r="A39" t="s">
        <v>377</v>
      </c>
      <c r="B39" t="s">
        <v>8</v>
      </c>
      <c r="E39" s="1">
        <f>E38*E35*E34*E33</f>
        <v>3876000000.0000005</v>
      </c>
      <c r="F39" s="1">
        <f>F38*F35*F34*F33</f>
        <v>11475000000</v>
      </c>
      <c r="G39" s="1">
        <f>G38*G35*G34*G33</f>
        <v>40398750000.000008</v>
      </c>
    </row>
    <row r="41" spans="1:9" x14ac:dyDescent="0.25">
      <c r="C41" s="121"/>
      <c r="D41" s="121"/>
      <c r="E41" s="121"/>
      <c r="F41" s="121"/>
      <c r="G41" s="121"/>
      <c r="H41" s="121"/>
      <c r="I41" s="121"/>
    </row>
    <row r="42" spans="1:9" x14ac:dyDescent="0.25">
      <c r="C42" s="2">
        <v>1.3500000000000001E-3</v>
      </c>
      <c r="D42" s="2">
        <v>0.01</v>
      </c>
      <c r="E42" s="2">
        <v>0.25</v>
      </c>
      <c r="F42" s="2">
        <v>0.5</v>
      </c>
      <c r="G42" s="2">
        <v>0.75</v>
      </c>
      <c r="H42" s="2">
        <v>0.99</v>
      </c>
      <c r="I42" s="2">
        <v>0.99865000000000004</v>
      </c>
    </row>
    <row r="43" spans="1:9" x14ac:dyDescent="0.25">
      <c r="A43" t="s">
        <v>372</v>
      </c>
      <c r="B43">
        <v>1</v>
      </c>
      <c r="C43" s="77">
        <v>400225688458.42175</v>
      </c>
      <c r="D43" s="77">
        <v>435817041010.09436</v>
      </c>
      <c r="E43" s="77">
        <v>1028074461587.3994</v>
      </c>
      <c r="F43" s="77">
        <v>1639968442282.3037</v>
      </c>
      <c r="G43" s="77">
        <v>2250128940056.7827</v>
      </c>
      <c r="H43" s="77">
        <v>2956423216781.5547</v>
      </c>
      <c r="I43" s="77">
        <v>3104496360056.4663</v>
      </c>
    </row>
    <row r="44" spans="1:9" x14ac:dyDescent="0.25">
      <c r="A44" s="22" t="s">
        <v>303</v>
      </c>
      <c r="B44">
        <v>2</v>
      </c>
      <c r="C44" s="77">
        <v>11533028055.685467</v>
      </c>
      <c r="D44" s="77">
        <v>14182452690.184437</v>
      </c>
      <c r="E44" s="77">
        <v>36226490644.914566</v>
      </c>
      <c r="F44" s="77">
        <v>57945173328.611893</v>
      </c>
      <c r="G44" s="77">
        <v>80423411918.567169</v>
      </c>
      <c r="H44" s="77">
        <v>124387552907.52039</v>
      </c>
      <c r="I44" s="77">
        <v>140122024452.48663</v>
      </c>
    </row>
    <row r="45" spans="1:9" x14ac:dyDescent="0.25">
      <c r="A45" t="s">
        <v>377</v>
      </c>
      <c r="B45">
        <v>3</v>
      </c>
      <c r="C45" s="77">
        <v>5836561915.0384426</v>
      </c>
      <c r="D45" s="77">
        <v>6708824044.405447</v>
      </c>
      <c r="E45" s="77">
        <v>11341529205.06966</v>
      </c>
      <c r="F45" s="77">
        <v>14596330135.718353</v>
      </c>
      <c r="G45" s="77">
        <v>18760647192.961945</v>
      </c>
      <c r="H45" s="77">
        <v>27669817935.80595</v>
      </c>
      <c r="I45" s="77">
        <v>30309379273.291782</v>
      </c>
    </row>
    <row r="46" spans="1:9" x14ac:dyDescent="0.25">
      <c r="A46" s="22"/>
      <c r="H46"/>
    </row>
    <row r="47" spans="1:9" x14ac:dyDescent="0.25">
      <c r="A47" s="22"/>
      <c r="H47"/>
    </row>
    <row r="48" spans="1:9" x14ac:dyDescent="0.25">
      <c r="A48" s="22"/>
      <c r="H48"/>
    </row>
    <row r="49" spans="1:8" x14ac:dyDescent="0.25">
      <c r="A49" s="22"/>
      <c r="H49"/>
    </row>
    <row r="50" spans="1:8" x14ac:dyDescent="0.25">
      <c r="A50" s="22"/>
      <c r="H50"/>
    </row>
    <row r="51" spans="1:8" x14ac:dyDescent="0.25">
      <c r="A51" s="22"/>
      <c r="H51"/>
    </row>
    <row r="52" spans="1:8" x14ac:dyDescent="0.25">
      <c r="A52" s="22"/>
      <c r="H52"/>
    </row>
    <row r="53" spans="1:8" x14ac:dyDescent="0.25">
      <c r="A53" s="22"/>
      <c r="H53"/>
    </row>
    <row r="54" spans="1:8" x14ac:dyDescent="0.25">
      <c r="A54" s="22"/>
      <c r="H54"/>
    </row>
    <row r="55" spans="1:8" x14ac:dyDescent="0.25">
      <c r="A55" s="22"/>
      <c r="H55"/>
    </row>
  </sheetData>
  <mergeCells count="1">
    <mergeCell ref="C41:I41"/>
  </mergeCells>
  <hyperlinks>
    <hyperlink ref="I5" r:id="rId1"/>
    <hyperlink ref="I23" r:id="rId2" location="?c=World&amp;s=Balance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5" sqref="C25:I25"/>
    </sheetView>
  </sheetViews>
  <sheetFormatPr baseColWidth="10" defaultRowHeight="15" x14ac:dyDescent="0.25"/>
  <cols>
    <col min="1" max="1" width="54.140625" bestFit="1" customWidth="1"/>
    <col min="3" max="3" width="8.42578125" customWidth="1"/>
    <col min="4" max="4" width="8.5703125" bestFit="1" customWidth="1"/>
    <col min="5" max="7" width="12.140625" bestFit="1" customWidth="1"/>
    <col min="8" max="8" width="11.7109375" style="22" bestFit="1" customWidth="1"/>
    <col min="9" max="9" width="11.7109375" customWidth="1"/>
  </cols>
  <sheetData>
    <row r="1" spans="1:10" x14ac:dyDescent="0.25">
      <c r="A1" s="72" t="s">
        <v>486</v>
      </c>
      <c r="E1" t="s">
        <v>323</v>
      </c>
      <c r="F1" t="s">
        <v>331</v>
      </c>
      <c r="G1" t="s">
        <v>80</v>
      </c>
    </row>
    <row r="2" spans="1:10" x14ac:dyDescent="0.25">
      <c r="B2" t="s">
        <v>36</v>
      </c>
      <c r="C2" t="s">
        <v>220</v>
      </c>
      <c r="D2" t="s">
        <v>221</v>
      </c>
      <c r="E2" t="s">
        <v>253</v>
      </c>
      <c r="F2" t="s">
        <v>254</v>
      </c>
      <c r="G2" t="s">
        <v>255</v>
      </c>
      <c r="H2" s="22" t="s">
        <v>256</v>
      </c>
      <c r="I2" t="s">
        <v>4</v>
      </c>
    </row>
    <row r="3" spans="1:10" x14ac:dyDescent="0.25">
      <c r="A3" s="34" t="s">
        <v>365</v>
      </c>
      <c r="B3" s="34"/>
      <c r="C3" s="34"/>
      <c r="D3" s="34"/>
      <c r="E3" s="34"/>
      <c r="F3" s="34"/>
      <c r="G3" s="34"/>
      <c r="H3" s="46"/>
    </row>
    <row r="4" spans="1:10" x14ac:dyDescent="0.25">
      <c r="A4" t="s">
        <v>366</v>
      </c>
      <c r="B4" t="s">
        <v>8</v>
      </c>
      <c r="C4">
        <f>-D4</f>
        <v>-0.05</v>
      </c>
      <c r="D4" s="12">
        <v>0.05</v>
      </c>
      <c r="E4" s="1">
        <f>F4*(1+C4)</f>
        <v>29450000000000</v>
      </c>
      <c r="F4" s="5">
        <v>31000000000000</v>
      </c>
      <c r="G4" s="1">
        <f>F4*(1+D4)</f>
        <v>32550000000000</v>
      </c>
      <c r="H4" s="45">
        <v>3</v>
      </c>
      <c r="I4" t="s">
        <v>362</v>
      </c>
    </row>
    <row r="5" spans="1:10" x14ac:dyDescent="0.25">
      <c r="A5" t="s">
        <v>368</v>
      </c>
      <c r="B5" t="s">
        <v>10</v>
      </c>
      <c r="E5" s="1">
        <f>X!D6/X!D5</f>
        <v>0.28480306634497199</v>
      </c>
      <c r="F5" s="1">
        <f>X!F6/X!F5</f>
        <v>0.28543483686694676</v>
      </c>
      <c r="G5" s="1">
        <f>X!H6/X!H5</f>
        <v>0.28607430592785821</v>
      </c>
      <c r="H5" s="45">
        <v>3</v>
      </c>
      <c r="I5" t="s">
        <v>379</v>
      </c>
      <c r="J5" t="s">
        <v>284</v>
      </c>
    </row>
    <row r="6" spans="1:10" x14ac:dyDescent="0.25">
      <c r="A6" t="s">
        <v>367</v>
      </c>
      <c r="B6" t="s">
        <v>10</v>
      </c>
      <c r="E6" s="12">
        <v>0.1</v>
      </c>
      <c r="F6" s="12">
        <v>0.15</v>
      </c>
      <c r="G6" s="12">
        <v>0.3</v>
      </c>
      <c r="H6" s="45">
        <v>2</v>
      </c>
      <c r="I6" t="s">
        <v>369</v>
      </c>
    </row>
    <row r="7" spans="1:10" x14ac:dyDescent="0.25">
      <c r="A7" t="s">
        <v>487</v>
      </c>
      <c r="B7" t="s">
        <v>488</v>
      </c>
      <c r="E7" s="5">
        <f>293.15+150</f>
        <v>443.15</v>
      </c>
      <c r="F7" s="5">
        <f>293.15+200</f>
        <v>493.15</v>
      </c>
      <c r="G7" s="5">
        <f>293.15+250</f>
        <v>543.15</v>
      </c>
      <c r="H7" s="45">
        <v>3</v>
      </c>
      <c r="I7" t="s">
        <v>489</v>
      </c>
    </row>
    <row r="8" spans="1:10" x14ac:dyDescent="0.25">
      <c r="A8" t="s">
        <v>490</v>
      </c>
      <c r="B8" t="s">
        <v>488</v>
      </c>
      <c r="E8" s="5">
        <f>293.15+10</f>
        <v>303.14999999999998</v>
      </c>
      <c r="F8" s="5">
        <f>293.15+15</f>
        <v>308.14999999999998</v>
      </c>
      <c r="G8" s="5">
        <f>293.15+25</f>
        <v>318.14999999999998</v>
      </c>
      <c r="H8" s="45">
        <v>3</v>
      </c>
      <c r="I8" t="s">
        <v>491</v>
      </c>
    </row>
    <row r="9" spans="1:10" x14ac:dyDescent="0.25">
      <c r="A9" t="s">
        <v>492</v>
      </c>
      <c r="B9" t="s">
        <v>10</v>
      </c>
      <c r="E9" s="1">
        <f>1-E8/E7</f>
        <v>0.31592011734175784</v>
      </c>
      <c r="F9" s="1">
        <f>1-F8/F7</f>
        <v>0.37513940991584716</v>
      </c>
      <c r="G9" s="1">
        <f>1-G8/G7</f>
        <v>0.41425020712510363</v>
      </c>
      <c r="H9" s="45"/>
    </row>
    <row r="10" spans="1:10" x14ac:dyDescent="0.25">
      <c r="A10" t="s">
        <v>493</v>
      </c>
      <c r="B10" t="s">
        <v>10</v>
      </c>
      <c r="E10" s="5">
        <v>0.8</v>
      </c>
      <c r="F10" s="5">
        <v>0.85</v>
      </c>
      <c r="G10" s="5">
        <v>0.9</v>
      </c>
      <c r="H10" s="45">
        <v>2</v>
      </c>
      <c r="I10" t="s">
        <v>58</v>
      </c>
    </row>
    <row r="11" spans="1:10" x14ac:dyDescent="0.25">
      <c r="A11" t="s">
        <v>378</v>
      </c>
      <c r="B11" t="s">
        <v>8</v>
      </c>
      <c r="E11" s="1">
        <f>E6*E10*E9*E5*E4</f>
        <v>211981142735.47458</v>
      </c>
      <c r="F11" s="1">
        <f>F6*F10*F9*F5*F4</f>
        <v>423225226913.86462</v>
      </c>
      <c r="G11" s="1">
        <f>G6*G10*G9*G5*G4</f>
        <v>1041492973341.749</v>
      </c>
    </row>
    <row r="12" spans="1:10" x14ac:dyDescent="0.25">
      <c r="E12" s="1"/>
      <c r="F12" s="1"/>
      <c r="G12" s="1"/>
    </row>
    <row r="13" spans="1:10" x14ac:dyDescent="0.25">
      <c r="A13" s="34" t="s">
        <v>532</v>
      </c>
      <c r="B13" s="34"/>
      <c r="C13" s="34"/>
      <c r="D13" s="34"/>
      <c r="E13" s="59"/>
      <c r="F13" s="59"/>
      <c r="G13" s="59"/>
      <c r="H13" s="46"/>
      <c r="I13" s="34"/>
    </row>
    <row r="14" spans="1:10" x14ac:dyDescent="0.25">
      <c r="A14" t="s">
        <v>533</v>
      </c>
      <c r="B14" t="s">
        <v>8</v>
      </c>
      <c r="E14" s="5">
        <v>3420000000000</v>
      </c>
      <c r="F14" s="1">
        <f>(E14+G14)/2</f>
        <v>6845000000000</v>
      </c>
      <c r="G14" s="5">
        <v>10270000000000</v>
      </c>
      <c r="H14" s="45">
        <v>3</v>
      </c>
      <c r="I14" t="s">
        <v>520</v>
      </c>
    </row>
    <row r="15" spans="1:10" x14ac:dyDescent="0.25">
      <c r="A15" t="s">
        <v>536</v>
      </c>
      <c r="B15" t="s">
        <v>10</v>
      </c>
      <c r="E15" s="5">
        <v>0.01</v>
      </c>
      <c r="F15" s="1">
        <f>(E15+G15)/2</f>
        <v>3.0000000000000002E-2</v>
      </c>
      <c r="G15" s="5">
        <v>0.05</v>
      </c>
      <c r="H15" s="45">
        <v>2</v>
      </c>
      <c r="I15" t="s">
        <v>534</v>
      </c>
    </row>
    <row r="16" spans="1:10" x14ac:dyDescent="0.25">
      <c r="A16" t="s">
        <v>487</v>
      </c>
      <c r="B16" t="s">
        <v>488</v>
      </c>
      <c r="E16" s="5">
        <f>293.15+25</f>
        <v>318.14999999999998</v>
      </c>
      <c r="F16" s="1">
        <f>(E16+G16)/2</f>
        <v>320.64999999999998</v>
      </c>
      <c r="G16" s="5">
        <f>293.15+30</f>
        <v>323.14999999999998</v>
      </c>
      <c r="H16" s="45">
        <v>3</v>
      </c>
      <c r="I16" t="s">
        <v>520</v>
      </c>
    </row>
    <row r="17" spans="1:9" x14ac:dyDescent="0.25">
      <c r="A17" t="s">
        <v>490</v>
      </c>
      <c r="B17" t="s">
        <v>488</v>
      </c>
      <c r="E17" s="5">
        <f>293.15+4</f>
        <v>297.14999999999998</v>
      </c>
      <c r="F17" s="1">
        <f>(E17+G17)/2</f>
        <v>298.64999999999998</v>
      </c>
      <c r="G17" s="5">
        <f>293.15+7</f>
        <v>300.14999999999998</v>
      </c>
      <c r="H17" s="45">
        <v>3</v>
      </c>
      <c r="I17" t="s">
        <v>520</v>
      </c>
    </row>
    <row r="18" spans="1:9" x14ac:dyDescent="0.25">
      <c r="A18" t="s">
        <v>492</v>
      </c>
      <c r="B18" t="s">
        <v>10</v>
      </c>
      <c r="E18" s="1">
        <f>1-E17/E16</f>
        <v>6.6006600660066028E-2</v>
      </c>
      <c r="F18" s="1">
        <f>1-F17/F16</f>
        <v>6.8610634648370472E-2</v>
      </c>
      <c r="G18" s="1">
        <f>1-G17/G16</f>
        <v>7.1174377224199281E-2</v>
      </c>
      <c r="H18" s="45"/>
    </row>
    <row r="19" spans="1:9" x14ac:dyDescent="0.25">
      <c r="A19" t="s">
        <v>493</v>
      </c>
      <c r="B19" t="s">
        <v>10</v>
      </c>
      <c r="E19" s="5">
        <v>0.8</v>
      </c>
      <c r="F19" s="5">
        <v>0.85</v>
      </c>
      <c r="G19" s="5">
        <v>0.9</v>
      </c>
      <c r="H19" s="45">
        <v>2</v>
      </c>
      <c r="I19" t="s">
        <v>58</v>
      </c>
    </row>
    <row r="20" spans="1:9" x14ac:dyDescent="0.25">
      <c r="A20" t="s">
        <v>535</v>
      </c>
      <c r="B20" t="s">
        <v>8</v>
      </c>
      <c r="E20" s="1">
        <f>E19*E18*E15*E14</f>
        <v>1805940594.0594065</v>
      </c>
      <c r="F20" s="1">
        <f>F19*F18*F15*F14</f>
        <v>11975814751.286446</v>
      </c>
      <c r="G20" s="1">
        <f>G19*G18*G15*G14</f>
        <v>32893238434.163704</v>
      </c>
    </row>
    <row r="21" spans="1:9" x14ac:dyDescent="0.25">
      <c r="E21" s="1"/>
      <c r="F21" s="1"/>
      <c r="G21" s="1"/>
    </row>
    <row r="22" spans="1:9" x14ac:dyDescent="0.25">
      <c r="C22" s="121"/>
      <c r="D22" s="121"/>
      <c r="E22" s="121"/>
      <c r="F22" s="121"/>
      <c r="G22" s="121"/>
      <c r="H22" s="121"/>
      <c r="I22" s="121"/>
    </row>
    <row r="23" spans="1:9" x14ac:dyDescent="0.25">
      <c r="C23" s="2">
        <v>1.3500000000000001E-3</v>
      </c>
      <c r="D23" s="2">
        <v>0.01</v>
      </c>
      <c r="E23" s="2">
        <v>0.25</v>
      </c>
      <c r="F23" s="2">
        <v>0.5</v>
      </c>
      <c r="G23" s="2">
        <v>0.75</v>
      </c>
      <c r="H23" s="2">
        <v>0.99</v>
      </c>
      <c r="I23" s="2">
        <v>0.99865000000000004</v>
      </c>
    </row>
    <row r="24" spans="1:9" x14ac:dyDescent="0.25">
      <c r="A24" t="s">
        <v>378</v>
      </c>
      <c r="B24">
        <v>1</v>
      </c>
      <c r="C24" s="77">
        <v>272314891984.09363</v>
      </c>
      <c r="D24" s="77">
        <v>300857055849.0683</v>
      </c>
      <c r="E24" s="77">
        <v>420219093488.41724</v>
      </c>
      <c r="F24" s="77">
        <v>498981055147.87201</v>
      </c>
      <c r="G24" s="77">
        <v>601640204601.25171</v>
      </c>
      <c r="H24" s="77">
        <v>819584208410.91821</v>
      </c>
      <c r="I24" s="77">
        <v>880900543067.87427</v>
      </c>
    </row>
    <row r="25" spans="1:9" x14ac:dyDescent="0.25">
      <c r="A25" s="22" t="s">
        <v>535</v>
      </c>
      <c r="B25">
        <v>2</v>
      </c>
      <c r="C25" s="77">
        <v>3530171688.1297493</v>
      </c>
      <c r="D25" s="77">
        <v>4542487292.4064465</v>
      </c>
      <c r="E25" s="77">
        <v>9086626293.0857391</v>
      </c>
      <c r="F25" s="77">
        <v>11661889049.678774</v>
      </c>
      <c r="G25" s="77">
        <v>14487488359.598942</v>
      </c>
      <c r="H25" s="77">
        <v>21959863683.63327</v>
      </c>
      <c r="I25" s="77">
        <v>24841561228.311657</v>
      </c>
    </row>
    <row r="26" spans="1:9" x14ac:dyDescent="0.25">
      <c r="A26" s="22"/>
      <c r="H26"/>
    </row>
    <row r="27" spans="1:9" x14ac:dyDescent="0.25">
      <c r="A27" s="22"/>
      <c r="H27"/>
    </row>
    <row r="28" spans="1:9" x14ac:dyDescent="0.25">
      <c r="A28" s="22"/>
      <c r="H28"/>
    </row>
    <row r="29" spans="1:9" x14ac:dyDescent="0.25">
      <c r="A29" s="22"/>
      <c r="H29"/>
    </row>
    <row r="30" spans="1:9" x14ac:dyDescent="0.25">
      <c r="A30" s="22"/>
      <c r="H30"/>
    </row>
    <row r="31" spans="1:9" x14ac:dyDescent="0.25">
      <c r="A31" s="22"/>
      <c r="H31"/>
    </row>
    <row r="32" spans="1:9" x14ac:dyDescent="0.25">
      <c r="A32" s="22"/>
      <c r="H32"/>
    </row>
    <row r="33" spans="1:8" x14ac:dyDescent="0.25">
      <c r="A33" s="22"/>
      <c r="H33"/>
    </row>
    <row r="34" spans="1:8" x14ac:dyDescent="0.25">
      <c r="A34" s="22"/>
      <c r="H34"/>
    </row>
  </sheetData>
  <mergeCells count="1">
    <mergeCell ref="C22:I22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C113" sqref="C113:I113"/>
    </sheetView>
  </sheetViews>
  <sheetFormatPr baseColWidth="10" defaultColWidth="11.42578125" defaultRowHeight="15" x14ac:dyDescent="0.25"/>
  <cols>
    <col min="1" max="1" width="37.85546875" style="1" bestFit="1" customWidth="1"/>
    <col min="2" max="2" width="11.42578125" style="1"/>
    <col min="3" max="5" width="12" style="1" bestFit="1" customWidth="1"/>
    <col min="6" max="16384" width="11.42578125" style="1"/>
  </cols>
  <sheetData>
    <row r="1" spans="1:15" x14ac:dyDescent="0.25">
      <c r="A1" s="1" t="s">
        <v>258</v>
      </c>
    </row>
    <row r="2" spans="1:15" x14ac:dyDescent="0.25">
      <c r="C2" s="1" t="s">
        <v>0</v>
      </c>
      <c r="E2" s="120" t="s">
        <v>444</v>
      </c>
      <c r="F2" s="120"/>
      <c r="G2" s="120"/>
      <c r="I2" s="120" t="s">
        <v>445</v>
      </c>
      <c r="J2" s="120"/>
      <c r="K2" s="120"/>
      <c r="M2" s="120" t="s">
        <v>446</v>
      </c>
      <c r="N2" s="120"/>
      <c r="O2" s="120"/>
    </row>
    <row r="3" spans="1:15" x14ac:dyDescent="0.25">
      <c r="A3" s="1" t="s">
        <v>37</v>
      </c>
      <c r="B3" s="1" t="s">
        <v>36</v>
      </c>
      <c r="C3" s="1" t="s">
        <v>550</v>
      </c>
      <c r="D3" s="1" t="s">
        <v>3</v>
      </c>
      <c r="E3" s="1" t="s">
        <v>504</v>
      </c>
      <c r="F3" s="1" t="s">
        <v>385</v>
      </c>
      <c r="G3" s="1" t="s">
        <v>505</v>
      </c>
      <c r="I3" s="1" t="s">
        <v>504</v>
      </c>
      <c r="J3" s="1" t="s">
        <v>385</v>
      </c>
      <c r="K3" s="1" t="s">
        <v>505</v>
      </c>
      <c r="M3" s="1" t="s">
        <v>504</v>
      </c>
      <c r="N3" s="1" t="s">
        <v>385</v>
      </c>
      <c r="O3" s="1" t="s">
        <v>505</v>
      </c>
    </row>
    <row r="4" spans="1:15" x14ac:dyDescent="0.25">
      <c r="A4" s="1" t="s">
        <v>537</v>
      </c>
      <c r="B4" s="1" t="s">
        <v>8</v>
      </c>
      <c r="C4" s="1">
        <f>Solar!F69</f>
        <v>1.7390440234778765E+17</v>
      </c>
      <c r="D4" s="2">
        <f>C4/$C$4</f>
        <v>1</v>
      </c>
    </row>
    <row r="5" spans="1:15" x14ac:dyDescent="0.25">
      <c r="A5" s="2" t="s">
        <v>246</v>
      </c>
      <c r="B5" s="1" t="s">
        <v>8</v>
      </c>
      <c r="C5" s="1">
        <f>Solar!F70</f>
        <v>5.217193285805984E+16</v>
      </c>
      <c r="D5" s="2">
        <f t="shared" ref="D5:D24" si="0">C5/$C$4</f>
        <v>0.30000352005880981</v>
      </c>
    </row>
    <row r="6" spans="1:15" x14ac:dyDescent="0.25">
      <c r="A6" s="2" t="s">
        <v>247</v>
      </c>
      <c r="B6" s="1" t="s">
        <v>8</v>
      </c>
      <c r="C6" s="1">
        <f>Solar!F71</f>
        <v>3.7853634524746208E+16</v>
      </c>
      <c r="D6" s="2">
        <f t="shared" si="0"/>
        <v>0.21766921373872725</v>
      </c>
    </row>
    <row r="7" spans="1:15" x14ac:dyDescent="0.25">
      <c r="A7" s="2" t="s">
        <v>248</v>
      </c>
      <c r="B7" s="1" t="s">
        <v>8</v>
      </c>
      <c r="C7" s="1">
        <f>Solar!F72</f>
        <v>8.3885302204514704E+16</v>
      </c>
      <c r="D7" s="2">
        <f t="shared" si="0"/>
        <v>0.48236445467754352</v>
      </c>
    </row>
    <row r="8" spans="1:15" x14ac:dyDescent="0.25">
      <c r="A8" s="22" t="s">
        <v>131</v>
      </c>
      <c r="B8" s="1" t="s">
        <v>8</v>
      </c>
      <c r="C8" s="1">
        <f>X_irr!F6</f>
        <v>2.3906297555057164E+16</v>
      </c>
      <c r="D8" s="2">
        <f t="shared" si="0"/>
        <v>0.13746804124744053</v>
      </c>
    </row>
    <row r="9" spans="1:15" x14ac:dyDescent="0.25">
      <c r="A9" s="22" t="s">
        <v>132</v>
      </c>
      <c r="B9" s="1" t="s">
        <v>8</v>
      </c>
      <c r="C9" s="1">
        <f>X_irr!F7</f>
        <v>5.9844997304293952E+16</v>
      </c>
      <c r="D9" s="2">
        <f t="shared" si="0"/>
        <v>0.34412583290796306</v>
      </c>
    </row>
    <row r="10" spans="1:15" x14ac:dyDescent="0.25">
      <c r="A10" s="22"/>
      <c r="D10" s="2"/>
    </row>
    <row r="11" spans="1:15" x14ac:dyDescent="0.25">
      <c r="A11" s="22" t="s">
        <v>538</v>
      </c>
      <c r="B11" s="1" t="s">
        <v>8</v>
      </c>
      <c r="C11" s="1">
        <f>HydroE!E9</f>
        <v>3.4280473110096396E+16</v>
      </c>
      <c r="D11" s="2">
        <f t="shared" si="0"/>
        <v>0.19712251471092504</v>
      </c>
    </row>
    <row r="12" spans="1:15" x14ac:dyDescent="0.25">
      <c r="A12" s="22" t="s">
        <v>548</v>
      </c>
      <c r="B12" s="1" t="s">
        <v>8</v>
      </c>
      <c r="C12" s="1">
        <f>HydroE!E12</f>
        <v>4900000000000</v>
      </c>
      <c r="D12" s="2">
        <f t="shared" si="0"/>
        <v>2.8176399986704168E-5</v>
      </c>
    </row>
    <row r="13" spans="1:15" x14ac:dyDescent="0.25">
      <c r="A13" s="22" t="s">
        <v>549</v>
      </c>
      <c r="B13" s="1" t="s">
        <v>8</v>
      </c>
      <c r="C13" s="1">
        <f>HydroE!E26</f>
        <v>3022434000000</v>
      </c>
      <c r="D13" s="2">
        <f t="shared" si="0"/>
        <v>1.7379859044370249E-5</v>
      </c>
    </row>
    <row r="14" spans="1:15" x14ac:dyDescent="0.25">
      <c r="A14" s="22" t="s">
        <v>374</v>
      </c>
      <c r="B14" s="1" t="s">
        <v>8</v>
      </c>
      <c r="C14" s="1">
        <f>WindE!E4</f>
        <v>855000000000000</v>
      </c>
      <c r="D14" s="2">
        <f t="shared" si="0"/>
        <v>4.9164942833942989E-3</v>
      </c>
    </row>
    <row r="15" spans="1:15" x14ac:dyDescent="0.25">
      <c r="A15" s="22"/>
      <c r="D15" s="2"/>
    </row>
    <row r="16" spans="1:15" x14ac:dyDescent="0.25">
      <c r="A16" s="22" t="s">
        <v>539</v>
      </c>
      <c r="B16" s="1" t="s">
        <v>8</v>
      </c>
      <c r="C16" s="1">
        <f>X_irr!F8</f>
        <v>4508013728437356</v>
      </c>
      <c r="D16" s="2">
        <f t="shared" si="0"/>
        <v>2.5922366930205006E-2</v>
      </c>
    </row>
    <row r="17" spans="1:15" x14ac:dyDescent="0.25">
      <c r="A17" s="22" t="s">
        <v>540</v>
      </c>
      <c r="B17" s="1" t="s">
        <v>8</v>
      </c>
      <c r="C17" s="1">
        <f>X_irr!F9</f>
        <v>2648931282405660</v>
      </c>
      <c r="D17" s="2">
        <f t="shared" si="0"/>
        <v>1.5232111704154101E-2</v>
      </c>
    </row>
    <row r="18" spans="1:15" x14ac:dyDescent="0.25">
      <c r="A18" s="22" t="s">
        <v>541</v>
      </c>
      <c r="B18" s="1" t="s">
        <v>8</v>
      </c>
      <c r="C18" s="1">
        <f>X_irr!F10</f>
        <v>1808826263712467.5</v>
      </c>
      <c r="D18" s="2">
        <f t="shared" si="0"/>
        <v>1.0401267818942473E-2</v>
      </c>
    </row>
    <row r="19" spans="1:15" x14ac:dyDescent="0.25">
      <c r="A19" s="22" t="s">
        <v>542</v>
      </c>
      <c r="B19" s="1" t="s">
        <v>8</v>
      </c>
      <c r="C19" s="1">
        <f>X_irr!F11</f>
        <v>3757311104964664</v>
      </c>
      <c r="D19" s="2">
        <f t="shared" si="0"/>
        <v>2.1605612360810159E-2</v>
      </c>
    </row>
    <row r="20" spans="1:15" x14ac:dyDescent="0.25">
      <c r="A20" s="22" t="s">
        <v>543</v>
      </c>
      <c r="B20" s="1" t="s">
        <v>8</v>
      </c>
      <c r="C20" s="1">
        <f>X_irr!F12</f>
        <v>2570854559494830</v>
      </c>
      <c r="D20" s="2">
        <f t="shared" si="0"/>
        <v>1.4783148239993566E-2</v>
      </c>
    </row>
    <row r="21" spans="1:15" x14ac:dyDescent="0.25">
      <c r="A21" s="22" t="s">
        <v>544</v>
      </c>
      <c r="B21" s="1" t="s">
        <v>8</v>
      </c>
      <c r="C21" s="1">
        <f>X_irr!F13</f>
        <v>4389935166094595</v>
      </c>
      <c r="D21" s="2">
        <f t="shared" si="0"/>
        <v>2.5243381460322428E-2</v>
      </c>
    </row>
    <row r="22" spans="1:15" x14ac:dyDescent="0.25">
      <c r="A22" s="22" t="s">
        <v>545</v>
      </c>
      <c r="B22" s="1" t="s">
        <v>8</v>
      </c>
      <c r="C22" s="1">
        <f>X_irr!F14</f>
        <v>2820885938650860</v>
      </c>
      <c r="D22" s="2">
        <f t="shared" si="0"/>
        <v>1.6220900106999198E-2</v>
      </c>
    </row>
    <row r="23" spans="1:15" x14ac:dyDescent="0.25">
      <c r="A23" s="22" t="s">
        <v>546</v>
      </c>
      <c r="B23" s="1" t="s">
        <v>8</v>
      </c>
      <c r="C23" s="1">
        <f>X_irr!F15</f>
        <v>1057491125737402.8</v>
      </c>
      <c r="D23" s="2">
        <f t="shared" si="0"/>
        <v>6.0808761104422715E-3</v>
      </c>
    </row>
    <row r="24" spans="1:15" x14ac:dyDescent="0.25">
      <c r="A24" s="22" t="s">
        <v>547</v>
      </c>
      <c r="B24" s="1" t="s">
        <v>8</v>
      </c>
      <c r="C24" s="1">
        <f>X_irr!F16</f>
        <v>258706379224536.5</v>
      </c>
      <c r="D24" s="2">
        <f t="shared" si="0"/>
        <v>1.4876355959474517E-3</v>
      </c>
    </row>
    <row r="25" spans="1:15" x14ac:dyDescent="0.25">
      <c r="A25" s="22"/>
      <c r="D25" s="2"/>
    </row>
    <row r="28" spans="1:15" s="59" customFormat="1" x14ac:dyDescent="0.25">
      <c r="A28" s="59" t="s">
        <v>501</v>
      </c>
    </row>
    <row r="29" spans="1:15" x14ac:dyDescent="0.25">
      <c r="A29" s="1" t="s">
        <v>142</v>
      </c>
      <c r="B29" s="1" t="s">
        <v>7</v>
      </c>
      <c r="C29" s="1">
        <f>X!D17</f>
        <v>3465771154192.458</v>
      </c>
      <c r="E29" s="1">
        <f>LandUse!P4</f>
        <v>1723925095361.5911</v>
      </c>
      <c r="F29" s="1">
        <f>LandUse!Q4</f>
        <v>1479829506637.8259</v>
      </c>
      <c r="G29" s="1">
        <f>LandUse!R4</f>
        <v>262016552193.04105</v>
      </c>
      <c r="I29" s="1">
        <f>LandUse!P34</f>
        <v>3119194038773.2124</v>
      </c>
      <c r="J29" s="1">
        <f>LandUse!Q34</f>
        <v>55410838066.324463</v>
      </c>
      <c r="K29" s="1">
        <f>LandUse!R34</f>
        <v>291166277352.92126</v>
      </c>
      <c r="M29" s="1">
        <f>LandUse!P51</f>
        <v>3119194038773.2124</v>
      </c>
      <c r="N29" s="1">
        <f>LandUse!Q51</f>
        <v>55410838066.324463</v>
      </c>
      <c r="O29" s="1">
        <f>LandUse!R51</f>
        <v>291166277352.92126</v>
      </c>
    </row>
    <row r="30" spans="1:15" x14ac:dyDescent="0.25">
      <c r="A30" s="1" t="s">
        <v>143</v>
      </c>
      <c r="B30" s="1" t="s">
        <v>7</v>
      </c>
      <c r="C30" s="1">
        <f>X!D18</f>
        <v>8570906249199.5781</v>
      </c>
      <c r="E30" s="1">
        <f>LandUse!P5</f>
        <v>4997188533331.2676</v>
      </c>
      <c r="F30" s="1">
        <f>LandUse!Q5</f>
        <v>2925746685851.3765</v>
      </c>
      <c r="G30" s="1">
        <f>LandUse!R5</f>
        <v>647971030016.93335</v>
      </c>
      <c r="I30" s="1">
        <f>LandUse!P35</f>
        <v>3656200000000.0005</v>
      </c>
      <c r="J30" s="1">
        <f>LandUse!Q35</f>
        <v>4194647493126.9165</v>
      </c>
      <c r="K30" s="1">
        <f>LandUse!R35</f>
        <v>720058756072.66052</v>
      </c>
      <c r="M30" s="1">
        <f>LandUse!P52</f>
        <v>5484300000000</v>
      </c>
      <c r="N30" s="1">
        <f>LandUse!Q52</f>
        <v>2366547493126.9175</v>
      </c>
      <c r="O30" s="1">
        <f>LandUse!R52</f>
        <v>720058756072.66052</v>
      </c>
    </row>
    <row r="31" spans="1:15" x14ac:dyDescent="0.25">
      <c r="A31" s="1" t="s">
        <v>144</v>
      </c>
      <c r="B31" s="1" t="s">
        <v>7</v>
      </c>
      <c r="C31" s="1">
        <f>X!D19</f>
        <v>2401578945699.1055</v>
      </c>
      <c r="E31" s="1">
        <f>LandUse!P6</f>
        <v>1297293668773.2764</v>
      </c>
      <c r="F31" s="1">
        <f>LandUse!Q6</f>
        <v>922722961592.26001</v>
      </c>
      <c r="G31" s="1">
        <f>LandUse!R6</f>
        <v>181562315333.56894</v>
      </c>
      <c r="I31" s="1">
        <f>LandUse!P36</f>
        <v>856733333333.33325</v>
      </c>
      <c r="J31" s="1">
        <f>LandUse!Q36</f>
        <v>1343084223549.7546</v>
      </c>
      <c r="K31" s="1">
        <f>LandUse!R36</f>
        <v>201761388816.01743</v>
      </c>
      <c r="M31" s="1">
        <f>LandUse!P53</f>
        <v>1285100000000</v>
      </c>
      <c r="N31" s="1">
        <f>LandUse!Q53</f>
        <v>914717556883.08801</v>
      </c>
      <c r="O31" s="1">
        <f>LandUse!R53</f>
        <v>201761388816.01743</v>
      </c>
    </row>
    <row r="32" spans="1:15" x14ac:dyDescent="0.25">
      <c r="A32" s="1" t="s">
        <v>145</v>
      </c>
      <c r="B32" s="1" t="s">
        <v>7</v>
      </c>
      <c r="C32" s="1">
        <f>X!D20</f>
        <v>9492567147575.8711</v>
      </c>
      <c r="E32" s="1">
        <f>LandUse!P7</f>
        <v>2786566836634.8389</v>
      </c>
      <c r="F32" s="1">
        <f>LandUse!Q7</f>
        <v>5988350586013.2793</v>
      </c>
      <c r="G32" s="1">
        <f>LandUse!R7</f>
        <v>717649724927.75342</v>
      </c>
      <c r="I32" s="1">
        <f>LandUse!P37</f>
        <v>3644133333333.3335</v>
      </c>
      <c r="J32" s="1">
        <f>LandUse!Q37</f>
        <v>5050944506404.4072</v>
      </c>
      <c r="K32" s="1">
        <f>LandUse!R37</f>
        <v>797489307838.13123</v>
      </c>
      <c r="M32" s="1">
        <f>LandUse!P54</f>
        <v>4555166666666.667</v>
      </c>
      <c r="N32" s="1">
        <f>LandUse!Q54</f>
        <v>4139911173071.0728</v>
      </c>
      <c r="O32" s="1">
        <f>LandUse!R54</f>
        <v>797489307838.13123</v>
      </c>
    </row>
    <row r="33" spans="1:15" x14ac:dyDescent="0.25">
      <c r="A33" s="1" t="s">
        <v>146</v>
      </c>
      <c r="B33" s="1" t="s">
        <v>7</v>
      </c>
      <c r="C33" s="1">
        <f>X!D21</f>
        <v>7025645488059.5</v>
      </c>
      <c r="E33" s="1">
        <f>LandUse!P8</f>
        <v>1781273744325.2542</v>
      </c>
      <c r="F33" s="1">
        <f>LandUse!Q8</f>
        <v>4713224323488.3555</v>
      </c>
      <c r="G33" s="1">
        <f>LandUse!R8</f>
        <v>531147420245.8902</v>
      </c>
      <c r="I33" s="1">
        <f>LandUse!P38</f>
        <v>3306266666666.667</v>
      </c>
      <c r="J33" s="1">
        <f>LandUse!Q38</f>
        <v>3129140472768.7227</v>
      </c>
      <c r="K33" s="1">
        <f>LandUse!R38</f>
        <v>590238348624.10999</v>
      </c>
      <c r="M33" s="1">
        <f>LandUse!P55</f>
        <v>4132833333333.334</v>
      </c>
      <c r="N33" s="1">
        <f>LandUse!Q55</f>
        <v>2302573806102.0562</v>
      </c>
      <c r="O33" s="1">
        <f>LandUse!R55</f>
        <v>590238348624.10999</v>
      </c>
    </row>
    <row r="34" spans="1:15" x14ac:dyDescent="0.25">
      <c r="A34" s="1" t="s">
        <v>147</v>
      </c>
      <c r="B34" s="1" t="s">
        <v>7</v>
      </c>
      <c r="C34" s="1">
        <f>X!D22</f>
        <v>12251657327475.357</v>
      </c>
      <c r="E34" s="1">
        <f>LandUse!P9</f>
        <v>2260516699436.5664</v>
      </c>
      <c r="F34" s="1">
        <f>LandUse!Q9</f>
        <v>9064900299760.7754</v>
      </c>
      <c r="G34" s="1">
        <f>LandUse!R9</f>
        <v>926240328278.01611</v>
      </c>
      <c r="I34" s="1">
        <f>LandUse!P39</f>
        <v>2389200000000</v>
      </c>
      <c r="J34" s="1">
        <f>LandUse!Q39</f>
        <v>8833171406179.1973</v>
      </c>
      <c r="K34" s="1">
        <f>LandUse!R39</f>
        <v>1029285921296.16</v>
      </c>
      <c r="M34" s="1">
        <f>LandUse!P56</f>
        <v>2986500000000</v>
      </c>
      <c r="N34" s="1">
        <f>LandUse!Q56</f>
        <v>8235871406179.1973</v>
      </c>
      <c r="O34" s="1">
        <f>LandUse!R56</f>
        <v>1029285921296.16</v>
      </c>
    </row>
    <row r="35" spans="1:15" x14ac:dyDescent="0.25">
      <c r="A35" s="1" t="s">
        <v>148</v>
      </c>
      <c r="B35" s="1" t="s">
        <v>7</v>
      </c>
      <c r="C35" s="1">
        <f>X!D23</f>
        <v>7612279880812.1367</v>
      </c>
      <c r="E35" s="1">
        <f>LandUse!P10</f>
        <v>677616061835.5686</v>
      </c>
      <c r="F35" s="1">
        <f>LandUse!Q10</f>
        <v>6359166118764.5674</v>
      </c>
      <c r="G35" s="1">
        <f>LandUse!R10</f>
        <v>575497700212.00037</v>
      </c>
      <c r="I35" s="1">
        <f>LandUse!P40</f>
        <v>156866666666.66669</v>
      </c>
      <c r="J35" s="1">
        <f>LandUse!Q40</f>
        <v>1459361315817.5798</v>
      </c>
      <c r="K35" s="1">
        <f>LandUse!R40</f>
        <v>5996051898327.8906</v>
      </c>
      <c r="M35" s="1">
        <f>LandUse!P57</f>
        <v>156866666666.66669</v>
      </c>
      <c r="N35" s="1">
        <f>LandUse!Q57</f>
        <v>1459361315817.5798</v>
      </c>
      <c r="O35" s="1">
        <f>LandUse!R57</f>
        <v>5996051898327.8906</v>
      </c>
    </row>
    <row r="36" spans="1:15" x14ac:dyDescent="0.25">
      <c r="A36" s="1" t="s">
        <v>149</v>
      </c>
      <c r="B36" s="1" t="s">
        <v>7</v>
      </c>
      <c r="C36" s="1">
        <f>X!D24</f>
        <v>0</v>
      </c>
      <c r="E36" s="1">
        <f>LandUse!P11</f>
        <v>0</v>
      </c>
      <c r="F36" s="1">
        <f>LandUse!Q11</f>
        <v>0</v>
      </c>
      <c r="G36" s="1">
        <f>LandUse!R11</f>
        <v>0</v>
      </c>
      <c r="I36" s="1">
        <f>LandUse!P41</f>
        <v>0</v>
      </c>
      <c r="J36" s="1">
        <f>LandUse!Q41</f>
        <v>0</v>
      </c>
      <c r="K36" s="1">
        <f>LandUse!R41</f>
        <v>0</v>
      </c>
      <c r="M36" s="1">
        <f>LandUse!P58</f>
        <v>0</v>
      </c>
      <c r="N36" s="1">
        <f>LandUse!Q58</f>
        <v>0</v>
      </c>
      <c r="O36" s="1">
        <f>LandUse!R58</f>
        <v>0</v>
      </c>
    </row>
    <row r="37" spans="1:15" x14ac:dyDescent="0.25">
      <c r="A37" s="1" t="s">
        <v>150</v>
      </c>
      <c r="B37" s="1" t="s">
        <v>7</v>
      </c>
      <c r="C37" s="1">
        <f>X!D25</f>
        <v>0</v>
      </c>
      <c r="E37" s="1">
        <f>LandUse!P12</f>
        <v>0</v>
      </c>
      <c r="F37" s="1">
        <f>LandUse!Q12</f>
        <v>0</v>
      </c>
      <c r="G37" s="1">
        <f>LandUse!R12</f>
        <v>0</v>
      </c>
      <c r="I37" s="1">
        <f>LandUse!P42</f>
        <v>0</v>
      </c>
      <c r="J37" s="1">
        <f>LandUse!Q42</f>
        <v>0</v>
      </c>
      <c r="K37" s="1">
        <f>LandUse!R42</f>
        <v>0</v>
      </c>
      <c r="M37" s="1">
        <f>LandUse!P59</f>
        <v>0</v>
      </c>
      <c r="N37" s="1">
        <f>LandUse!Q59</f>
        <v>0</v>
      </c>
      <c r="O37" s="1">
        <f>LandUse!R59</f>
        <v>0</v>
      </c>
    </row>
    <row r="38" spans="1:15" x14ac:dyDescent="0.25">
      <c r="A38" s="1" t="s">
        <v>502</v>
      </c>
      <c r="B38" s="1" t="s">
        <v>7</v>
      </c>
      <c r="C38" s="1">
        <f>SUM(C29:C37)</f>
        <v>50820406193014</v>
      </c>
      <c r="E38" s="1">
        <f>SUM(E29:E37)</f>
        <v>15524380639698.361</v>
      </c>
      <c r="F38" s="1">
        <f>SUM(F29:F37)</f>
        <v>31453940482108.441</v>
      </c>
      <c r="G38" s="1">
        <f>SUM(G29:G37)</f>
        <v>3842085071207.2036</v>
      </c>
      <c r="I38" s="1">
        <f>SUM(I29:I37)</f>
        <v>17128594038773.213</v>
      </c>
      <c r="J38" s="1">
        <f>SUM(J29:J37)</f>
        <v>24065760255912.898</v>
      </c>
      <c r="K38" s="1">
        <f>SUM(K29:K37)</f>
        <v>9626051898327.8906</v>
      </c>
      <c r="M38" s="1">
        <f>SUM(M29:M37)</f>
        <v>21719960705439.879</v>
      </c>
      <c r="N38" s="1">
        <f>SUM(N29:N37)</f>
        <v>19474393589246.234</v>
      </c>
      <c r="O38" s="1">
        <f>SUM(O29:O37)</f>
        <v>9626051898327.8906</v>
      </c>
    </row>
    <row r="42" spans="1:15" s="59" customFormat="1" x14ac:dyDescent="0.25">
      <c r="A42" s="59" t="s">
        <v>503</v>
      </c>
    </row>
    <row r="43" spans="1:15" x14ac:dyDescent="0.25">
      <c r="A43" s="1" t="s">
        <v>142</v>
      </c>
      <c r="B43" s="1" t="s">
        <v>8</v>
      </c>
      <c r="C43" s="1">
        <f>X_irr!D17</f>
        <v>688581095338275.25</v>
      </c>
      <c r="D43" s="2">
        <f t="shared" ref="D43:D51" si="1">C43/$C$4</f>
        <v>3.9595380337824736E-3</v>
      </c>
      <c r="E43" s="1">
        <f>LandUse!V4</f>
        <v>342510274808325.13</v>
      </c>
      <c r="F43" s="1">
        <f>LandUse!W4</f>
        <v>294013244746969.38</v>
      </c>
      <c r="G43" s="1">
        <f>LandUse!X4</f>
        <v>52057575782980.758</v>
      </c>
      <c r="I43" s="1">
        <f>LandUse!V34</f>
        <v>619722985804447.75</v>
      </c>
      <c r="J43" s="1">
        <f>LandUse!W34</f>
        <v>11009052205644.48</v>
      </c>
      <c r="K43" s="1">
        <f>LandUse!X34</f>
        <v>57849057328183.031</v>
      </c>
      <c r="M43" s="1">
        <f>LandUse!V51</f>
        <v>619722985804447.75</v>
      </c>
      <c r="N43" s="1">
        <f>LandUse!W51</f>
        <v>11009052205644.48</v>
      </c>
      <c r="O43" s="1">
        <f>LandUse!X51</f>
        <v>57849057328183.031</v>
      </c>
    </row>
    <row r="44" spans="1:15" x14ac:dyDescent="0.25">
      <c r="A44" s="1" t="s">
        <v>143</v>
      </c>
      <c r="B44" s="1" t="s">
        <v>8</v>
      </c>
      <c r="C44" s="1">
        <f>X_irr!D18</f>
        <v>1309807804513675</v>
      </c>
      <c r="D44" s="2">
        <f t="shared" si="1"/>
        <v>7.5317691032008418E-3</v>
      </c>
      <c r="E44" s="1">
        <f>LandUse!V5</f>
        <v>763671466152695.25</v>
      </c>
      <c r="F44" s="1">
        <f>LandUse!W5</f>
        <v>447113261041215.06</v>
      </c>
      <c r="G44" s="1">
        <f>LandUse!X5</f>
        <v>99023077319764.688</v>
      </c>
      <c r="I44" s="1">
        <f>LandUse!V35</f>
        <v>558741299417448.13</v>
      </c>
      <c r="J44" s="1">
        <f>LandUse!W35</f>
        <v>641026965403390</v>
      </c>
      <c r="K44" s="1">
        <f>LandUse!X35</f>
        <v>110039539692836.73</v>
      </c>
      <c r="M44" s="1">
        <f>LandUse!V52</f>
        <v>838111949126172.25</v>
      </c>
      <c r="N44" s="1">
        <f>LandUse!W52</f>
        <v>361656315694666.06</v>
      </c>
      <c r="O44" s="1">
        <f>LandUse!X52</f>
        <v>110039539692836.73</v>
      </c>
    </row>
    <row r="45" spans="1:15" x14ac:dyDescent="0.25">
      <c r="A45" s="1" t="s">
        <v>144</v>
      </c>
      <c r="B45" s="1" t="s">
        <v>8</v>
      </c>
      <c r="C45" s="1">
        <f>X_irr!D19</f>
        <v>276230395506667.13</v>
      </c>
      <c r="D45" s="2">
        <f t="shared" si="1"/>
        <v>1.5884036963839474E-3</v>
      </c>
      <c r="E45" s="1">
        <f>LandUse!V6</f>
        <v>149215141919567.53</v>
      </c>
      <c r="F45" s="1">
        <f>LandUse!W6</f>
        <v>106131896717438.88</v>
      </c>
      <c r="G45" s="1">
        <f>LandUse!X6</f>
        <v>20883356869660.719</v>
      </c>
      <c r="I45" s="1">
        <f>LandUse!V36</f>
        <v>98541748100444.344</v>
      </c>
      <c r="J45" s="1">
        <f>LandUse!W36</f>
        <v>154481986500724.63</v>
      </c>
      <c r="K45" s="1">
        <f>LandUse!X36</f>
        <v>23206660905498.168</v>
      </c>
      <c r="M45" s="1">
        <f>LandUse!V53</f>
        <v>147812622150666.53</v>
      </c>
      <c r="N45" s="1">
        <f>LandUse!W53</f>
        <v>105211112450502.44</v>
      </c>
      <c r="O45" s="1">
        <f>LandUse!X53</f>
        <v>23206660905498.168</v>
      </c>
    </row>
    <row r="46" spans="1:15" x14ac:dyDescent="0.25">
      <c r="A46" s="1" t="s">
        <v>145</v>
      </c>
      <c r="B46" s="1" t="s">
        <v>8</v>
      </c>
      <c r="C46" s="1">
        <f>X_irr!D20</f>
        <v>1761935829919898.8</v>
      </c>
      <c r="D46" s="2">
        <f t="shared" si="1"/>
        <v>1.0131634427495638E-2</v>
      </c>
      <c r="E46" s="1">
        <f>LandUse!V7</f>
        <v>517220671247743.75</v>
      </c>
      <c r="F46" s="1">
        <f>LandUse!W7</f>
        <v>1111510647813859.8</v>
      </c>
      <c r="G46" s="1">
        <f>LandUse!X7</f>
        <v>133204510858295.41</v>
      </c>
      <c r="I46" s="1">
        <f>LandUse!V37</f>
        <v>676395435416551.5</v>
      </c>
      <c r="J46" s="1">
        <f>LandUse!W37</f>
        <v>937516686731435.25</v>
      </c>
      <c r="K46" s="1">
        <f>LandUse!X37</f>
        <v>148023707771912.06</v>
      </c>
      <c r="M46" s="1">
        <f>LandUse!V54</f>
        <v>845494294270689.38</v>
      </c>
      <c r="N46" s="1">
        <f>LandUse!W54</f>
        <v>768417827877297.25</v>
      </c>
      <c r="O46" s="1">
        <f>LandUse!X54</f>
        <v>148023707771912.06</v>
      </c>
    </row>
    <row r="47" spans="1:15" x14ac:dyDescent="0.25">
      <c r="A47" s="1" t="s">
        <v>146</v>
      </c>
      <c r="B47" s="1" t="s">
        <v>8</v>
      </c>
      <c r="C47" s="1">
        <f>X_irr!D21</f>
        <v>1205557588864931.3</v>
      </c>
      <c r="D47" s="2">
        <f t="shared" si="1"/>
        <v>6.9323005777275418E-3</v>
      </c>
      <c r="E47" s="1">
        <f>LandUse!V8</f>
        <v>305655627510218.44</v>
      </c>
      <c r="F47" s="1">
        <f>LandUse!W8</f>
        <v>808760328266089</v>
      </c>
      <c r="G47" s="1">
        <f>LandUse!X8</f>
        <v>91141633088623.734</v>
      </c>
      <c r="I47" s="1">
        <f>LandUse!V38</f>
        <v>567335040970317.13</v>
      </c>
      <c r="J47" s="1">
        <f>LandUse!W38</f>
        <v>536941274646163.06</v>
      </c>
      <c r="K47" s="1">
        <f>LandUse!X38</f>
        <v>101281273248450.95</v>
      </c>
      <c r="M47" s="1">
        <f>LandUse!V55</f>
        <v>709168801212896.5</v>
      </c>
      <c r="N47" s="1">
        <f>LandUse!W55</f>
        <v>395107514403583.81</v>
      </c>
      <c r="O47" s="1">
        <f>LandUse!X55</f>
        <v>101281273248450.95</v>
      </c>
    </row>
    <row r="48" spans="1:15" x14ac:dyDescent="0.25">
      <c r="A48" s="1" t="s">
        <v>147</v>
      </c>
      <c r="B48" s="1" t="s">
        <v>8</v>
      </c>
      <c r="C48" s="1">
        <f>X_irr!D22</f>
        <v>2058860635019441.5</v>
      </c>
      <c r="D48" s="2">
        <f t="shared" si="1"/>
        <v>1.1839036891670924E-2</v>
      </c>
      <c r="E48" s="1">
        <f>LandUse!V9</f>
        <v>379874226227078.75</v>
      </c>
      <c r="F48" s="1">
        <f>LandUse!W9</f>
        <v>1523334018304548</v>
      </c>
      <c r="G48" s="1">
        <f>LandUse!X9</f>
        <v>155652390487814.81</v>
      </c>
      <c r="I48" s="1">
        <f>LandUse!V39</f>
        <v>401499135807293.38</v>
      </c>
      <c r="J48" s="1">
        <f>LandUse!W39</f>
        <v>1484392552326570.5</v>
      </c>
      <c r="K48" s="1">
        <f>LandUse!X39</f>
        <v>172968946885577.63</v>
      </c>
      <c r="M48" s="1">
        <f>LandUse!V56</f>
        <v>501873919759116.75</v>
      </c>
      <c r="N48" s="1">
        <f>LandUse!W56</f>
        <v>1384017768374747.3</v>
      </c>
      <c r="O48" s="1">
        <f>LandUse!X56</f>
        <v>172968946885577.63</v>
      </c>
    </row>
    <row r="49" spans="1:15" x14ac:dyDescent="0.25">
      <c r="A49" s="1" t="s">
        <v>148</v>
      </c>
      <c r="B49" s="1" t="s">
        <v>8</v>
      </c>
      <c r="C49" s="1">
        <f>X_irr!D23</f>
        <v>1322801234614836.5</v>
      </c>
      <c r="D49" s="2">
        <f t="shared" si="1"/>
        <v>7.6064850386558646E-3</v>
      </c>
      <c r="E49" s="1">
        <f>LandUse!V10</f>
        <v>117750710329282.31</v>
      </c>
      <c r="F49" s="1">
        <f>LandUse!W10</f>
        <v>1105045127705572.6</v>
      </c>
      <c r="G49" s="1">
        <f>LandUse!X10</f>
        <v>100005396579981.64</v>
      </c>
      <c r="I49" s="1">
        <f>LandUse!V40</f>
        <v>27259037185380.348</v>
      </c>
      <c r="J49" s="1">
        <f>LandUse!W40</f>
        <v>253596160485191.25</v>
      </c>
      <c r="K49" s="1">
        <f>LandUse!X40</f>
        <v>1041946036944265</v>
      </c>
      <c r="M49" s="1">
        <f>LandUse!V57</f>
        <v>27259037185380.348</v>
      </c>
      <c r="N49" s="1">
        <f>LandUse!W57</f>
        <v>253596160485191.25</v>
      </c>
      <c r="O49" s="1">
        <f>LandUse!X57</f>
        <v>1041946036944265</v>
      </c>
    </row>
    <row r="50" spans="1:15" x14ac:dyDescent="0.25">
      <c r="A50" s="1" t="s">
        <v>149</v>
      </c>
      <c r="B50" s="1" t="s">
        <v>8</v>
      </c>
      <c r="C50" s="1">
        <f>X_irr!D24</f>
        <v>0</v>
      </c>
      <c r="D50" s="2">
        <f t="shared" si="1"/>
        <v>0</v>
      </c>
      <c r="E50" s="1">
        <f>LandUse!V11</f>
        <v>0</v>
      </c>
      <c r="F50" s="1">
        <f>LandUse!W11</f>
        <v>0</v>
      </c>
      <c r="G50" s="1">
        <f>LandUse!X11</f>
        <v>0</v>
      </c>
      <c r="I50" s="1">
        <f>LandUse!V41</f>
        <v>0</v>
      </c>
      <c r="J50" s="1">
        <f>LandUse!W41</f>
        <v>0</v>
      </c>
      <c r="K50" s="1">
        <f>LandUse!X41</f>
        <v>0</v>
      </c>
      <c r="M50" s="1">
        <f>LandUse!V58</f>
        <v>0</v>
      </c>
      <c r="N50" s="1">
        <f>LandUse!W58</f>
        <v>0</v>
      </c>
      <c r="O50" s="1">
        <f>LandUse!X58</f>
        <v>0</v>
      </c>
    </row>
    <row r="51" spans="1:15" x14ac:dyDescent="0.25">
      <c r="A51" s="1" t="s">
        <v>150</v>
      </c>
      <c r="B51" s="1" t="s">
        <v>8</v>
      </c>
      <c r="C51" s="1">
        <f>X_irr!D25</f>
        <v>0</v>
      </c>
      <c r="D51" s="2">
        <f t="shared" si="1"/>
        <v>0</v>
      </c>
      <c r="E51" s="1">
        <f>LandUse!V12</f>
        <v>0</v>
      </c>
      <c r="F51" s="1">
        <f>LandUse!W12</f>
        <v>0</v>
      </c>
      <c r="G51" s="1">
        <f>LandUse!X12</f>
        <v>0</v>
      </c>
      <c r="I51" s="1">
        <f>LandUse!V42</f>
        <v>0</v>
      </c>
      <c r="J51" s="1">
        <f>LandUse!W42</f>
        <v>0</v>
      </c>
      <c r="K51" s="1">
        <f>LandUse!X42</f>
        <v>0</v>
      </c>
      <c r="M51" s="1">
        <f>LandUse!V59</f>
        <v>0</v>
      </c>
      <c r="N51" s="1">
        <f>LandUse!W59</f>
        <v>0</v>
      </c>
      <c r="O51" s="1">
        <f>LandUse!X59</f>
        <v>0</v>
      </c>
    </row>
    <row r="52" spans="1:15" x14ac:dyDescent="0.25">
      <c r="A52" s="1" t="s">
        <v>502</v>
      </c>
      <c r="B52" s="1" t="s">
        <v>8</v>
      </c>
      <c r="C52" s="1">
        <f>SUM(C43:C51)</f>
        <v>8623774583777724</v>
      </c>
      <c r="D52" s="2">
        <f>C52/$C$4</f>
        <v>4.9589167768917225E-2</v>
      </c>
      <c r="E52" s="1">
        <f>SUM(E43:E51)</f>
        <v>2575898118194911.5</v>
      </c>
      <c r="F52" s="1">
        <f>SUM(F43:F51)</f>
        <v>5395908524595693</v>
      </c>
      <c r="G52" s="1">
        <f>SUM(G43:G51)</f>
        <v>651967940987121.75</v>
      </c>
      <c r="I52" s="1">
        <f>SUM(I43:I51)</f>
        <v>2949494682701883</v>
      </c>
      <c r="J52" s="1">
        <f>SUM(J43:J51)</f>
        <v>4018964678299119</v>
      </c>
      <c r="K52" s="1">
        <f>SUM(K43:K51)</f>
        <v>1655315222776723.5</v>
      </c>
      <c r="M52" s="1">
        <f>SUM(M43:M51)</f>
        <v>3689443609509369.5</v>
      </c>
      <c r="N52" s="1">
        <f>SUM(N43:N51)</f>
        <v>3279015751491632</v>
      </c>
      <c r="O52" s="1">
        <f>SUM(O43:O51)</f>
        <v>1655315222776723.5</v>
      </c>
    </row>
    <row r="53" spans="1:15" x14ac:dyDescent="0.25">
      <c r="D53" s="2"/>
    </row>
    <row r="54" spans="1:15" x14ac:dyDescent="0.25">
      <c r="A54" s="1" t="s">
        <v>1</v>
      </c>
      <c r="B54" s="1" t="s">
        <v>8</v>
      </c>
      <c r="C54" s="1">
        <f>LandUse!V62+LandUse!W62</f>
        <v>6968459361001002</v>
      </c>
      <c r="D54" s="2">
        <f>C54/$C$4</f>
        <v>4.0070632295236157E-2</v>
      </c>
    </row>
    <row r="55" spans="1:15" x14ac:dyDescent="0.25">
      <c r="A55" s="1" t="s">
        <v>505</v>
      </c>
      <c r="B55" s="1" t="s">
        <v>8</v>
      </c>
      <c r="C55" s="1">
        <f>LandUse!X62</f>
        <v>1655315222776723.5</v>
      </c>
      <c r="D55" s="2">
        <f>C55/$C$4</f>
        <v>9.5185354736810768E-3</v>
      </c>
    </row>
    <row r="56" spans="1:15" x14ac:dyDescent="0.25">
      <c r="D56" s="2"/>
    </row>
    <row r="57" spans="1:15" x14ac:dyDescent="0.25">
      <c r="D57" s="2"/>
    </row>
    <row r="58" spans="1:15" x14ac:dyDescent="0.25">
      <c r="D58" s="2"/>
    </row>
    <row r="59" spans="1:15" x14ac:dyDescent="0.25">
      <c r="D59" s="2"/>
    </row>
    <row r="60" spans="1:15" x14ac:dyDescent="0.25">
      <c r="D60" s="2"/>
    </row>
    <row r="61" spans="1:15" s="59" customFormat="1" x14ac:dyDescent="0.25">
      <c r="A61" s="125" t="s">
        <v>576</v>
      </c>
      <c r="B61" s="125"/>
      <c r="D61" s="104"/>
    </row>
    <row r="62" spans="1:15" s="59" customFormat="1" x14ac:dyDescent="0.25">
      <c r="A62" s="125"/>
      <c r="B62" s="125"/>
      <c r="D62" s="104"/>
    </row>
    <row r="64" spans="1:15" x14ac:dyDescent="0.25">
      <c r="E64" s="120" t="s">
        <v>444</v>
      </c>
      <c r="F64" s="120"/>
      <c r="G64" s="120"/>
      <c r="I64" s="120" t="s">
        <v>445</v>
      </c>
      <c r="J64" s="120"/>
      <c r="K64" s="120"/>
      <c r="M64" s="120" t="s">
        <v>446</v>
      </c>
      <c r="N64" s="120"/>
      <c r="O64" s="120"/>
    </row>
    <row r="65" spans="1:18" x14ac:dyDescent="0.25">
      <c r="A65" s="1" t="s">
        <v>577</v>
      </c>
      <c r="B65" s="1" t="s">
        <v>578</v>
      </c>
      <c r="C65" s="1" t="s">
        <v>579</v>
      </c>
      <c r="E65" s="55">
        <v>0.01</v>
      </c>
      <c r="F65" s="55">
        <v>0.5</v>
      </c>
      <c r="G65" s="55">
        <v>0.99</v>
      </c>
      <c r="I65" s="55">
        <v>0.01</v>
      </c>
      <c r="J65" s="55">
        <v>0.5</v>
      </c>
      <c r="K65" s="55">
        <v>0.99</v>
      </c>
      <c r="M65" s="55">
        <v>0.01</v>
      </c>
      <c r="N65" s="55">
        <v>0.5</v>
      </c>
      <c r="O65" s="55">
        <v>0.99</v>
      </c>
      <c r="P65" s="1" t="s">
        <v>573</v>
      </c>
      <c r="R65" s="1" t="s">
        <v>659</v>
      </c>
    </row>
    <row r="66" spans="1:18" x14ac:dyDescent="0.25">
      <c r="A66" s="1" t="s">
        <v>506</v>
      </c>
      <c r="B66" s="22">
        <v>1</v>
      </c>
      <c r="C66" s="1">
        <f>M66</f>
        <v>134216488037.53889</v>
      </c>
      <c r="E66" s="1">
        <f>WindE!D72</f>
        <v>161448747181.57828</v>
      </c>
      <c r="F66" s="1">
        <f>WindE!F72</f>
        <v>304318760523.59442</v>
      </c>
      <c r="G66" s="1">
        <f>WindE!H72</f>
        <v>548120729052.62549</v>
      </c>
      <c r="I66" s="1">
        <f>WindE!K72</f>
        <v>134216488037.53888</v>
      </c>
      <c r="J66" s="1">
        <f>WindE!M72</f>
        <v>253022362415.85455</v>
      </c>
      <c r="K66" s="1">
        <f>WindE!O72</f>
        <v>455822191791.565</v>
      </c>
      <c r="M66" s="1">
        <f>WindE!R72</f>
        <v>134216488037.53889</v>
      </c>
      <c r="N66" s="1">
        <f>WindE!T72</f>
        <v>253022362415.85455</v>
      </c>
      <c r="O66" s="1">
        <f>WindE!V72</f>
        <v>455822191791.56512</v>
      </c>
      <c r="P66" s="74">
        <f t="shared" ref="P66:P78" si="2">M66/$M$79</f>
        <v>1.8891027347055689E-3</v>
      </c>
      <c r="Q66" s="74">
        <f>M66/$Q$79</f>
        <v>6.0671409016415006E-3</v>
      </c>
      <c r="R66" s="1">
        <f>P66*$D$112</f>
        <v>14.657137315490333</v>
      </c>
    </row>
    <row r="67" spans="1:18" x14ac:dyDescent="0.25">
      <c r="A67" s="1" t="s">
        <v>507</v>
      </c>
      <c r="B67" s="22">
        <v>2</v>
      </c>
      <c r="C67" s="1">
        <f t="shared" ref="C67:C79" si="3">M67</f>
        <v>114037076352.67268</v>
      </c>
      <c r="E67" s="1">
        <f>WindE!D70</f>
        <v>114037076352.67268</v>
      </c>
      <c r="F67" s="1">
        <f>WindE!F70</f>
        <v>428136400692.4646</v>
      </c>
      <c r="G67" s="1">
        <f>WindE!H70</f>
        <v>1120076648756.0947</v>
      </c>
      <c r="I67" s="1">
        <f>WindE!K70</f>
        <v>114037076352.67268</v>
      </c>
      <c r="J67" s="1">
        <f>WindE!M70</f>
        <v>428136400692.4646</v>
      </c>
      <c r="K67" s="1">
        <f>WindE!O70</f>
        <v>1120076648756.0947</v>
      </c>
      <c r="M67" s="1">
        <f>WindE!R70</f>
        <v>114037076352.67268</v>
      </c>
      <c r="N67" s="1">
        <f>WindE!T70</f>
        <v>428136400692.4646</v>
      </c>
      <c r="O67" s="1">
        <f>WindE!V70</f>
        <v>1120076648756.0947</v>
      </c>
      <c r="P67" s="74">
        <f t="shared" si="2"/>
        <v>1.6050766634231179E-3</v>
      </c>
      <c r="Q67" s="74">
        <f t="shared" ref="Q67:Q78" si="4">M67/$Q$79</f>
        <v>5.1549479528133994E-3</v>
      </c>
      <c r="R67" s="1">
        <f t="shared" ref="R67:R78" si="5">P67*$D$112</f>
        <v>12.453440792540263</v>
      </c>
    </row>
    <row r="68" spans="1:18" x14ac:dyDescent="0.25">
      <c r="A68" s="1" t="s">
        <v>481</v>
      </c>
      <c r="B68" s="22">
        <v>3</v>
      </c>
      <c r="C68" s="1">
        <f t="shared" si="3"/>
        <v>19514979411.201027</v>
      </c>
      <c r="E68" s="1">
        <f>WindE!D75</f>
        <v>19514979411.201027</v>
      </c>
      <c r="F68" s="1">
        <f>WindE!F75</f>
        <v>70125959093.341553</v>
      </c>
      <c r="G68" s="1">
        <f>WindE!H75</f>
        <v>141790251376.81085</v>
      </c>
      <c r="I68" s="1">
        <f>E68</f>
        <v>19514979411.201027</v>
      </c>
      <c r="J68" s="1">
        <f t="shared" ref="J68:K68" si="6">F68</f>
        <v>70125959093.341553</v>
      </c>
      <c r="K68" s="1">
        <f t="shared" si="6"/>
        <v>141790251376.81085</v>
      </c>
      <c r="M68" s="1">
        <f>E68</f>
        <v>19514979411.201027</v>
      </c>
      <c r="N68" s="1">
        <f t="shared" ref="N68:O68" si="7">F68</f>
        <v>70125959093.341553</v>
      </c>
      <c r="O68" s="1">
        <f t="shared" si="7"/>
        <v>141790251376.81085</v>
      </c>
      <c r="P68" s="74">
        <f t="shared" si="2"/>
        <v>2.7467415898344596E-4</v>
      </c>
      <c r="Q68" s="74">
        <f t="shared" si="4"/>
        <v>8.8215785937771141E-4</v>
      </c>
      <c r="R68" s="1">
        <f t="shared" si="5"/>
        <v>2.1311370690830445</v>
      </c>
    </row>
    <row r="69" spans="1:18" x14ac:dyDescent="0.25">
      <c r="A69" s="1" t="s">
        <v>530</v>
      </c>
      <c r="B69" s="22">
        <v>4</v>
      </c>
      <c r="C69" s="1">
        <f t="shared" si="3"/>
        <v>4542487292.4064465</v>
      </c>
      <c r="E69" s="1">
        <f>GeoE!D25</f>
        <v>4542487292.4064465</v>
      </c>
      <c r="F69" s="1">
        <f>GeoE!F25</f>
        <v>11661889049.678774</v>
      </c>
      <c r="G69" s="1">
        <f>GeoE!H25</f>
        <v>21959863683.63327</v>
      </c>
      <c r="I69" s="1">
        <f t="shared" ref="I69:I71" si="8">E69</f>
        <v>4542487292.4064465</v>
      </c>
      <c r="J69" s="1">
        <f t="shared" ref="J69:J71" si="9">F69</f>
        <v>11661889049.678774</v>
      </c>
      <c r="K69" s="1">
        <f t="shared" ref="K69:K71" si="10">G69</f>
        <v>21959863683.63327</v>
      </c>
      <c r="M69" s="1">
        <f t="shared" ref="M69:M71" si="11">E69</f>
        <v>4542487292.4064465</v>
      </c>
      <c r="N69" s="1">
        <f t="shared" ref="N69:N71" si="12">F69</f>
        <v>11661889049.678774</v>
      </c>
      <c r="O69" s="1">
        <f t="shared" ref="O69:O71" si="13">G69</f>
        <v>21959863683.63327</v>
      </c>
      <c r="P69" s="74">
        <f t="shared" si="2"/>
        <v>6.3935700389137275E-5</v>
      </c>
      <c r="Q69" s="74">
        <f t="shared" si="4"/>
        <v>2.0533923104319122E-4</v>
      </c>
      <c r="R69" s="1">
        <f t="shared" si="5"/>
        <v>0.49606319590220177</v>
      </c>
    </row>
    <row r="70" spans="1:18" x14ac:dyDescent="0.25">
      <c r="A70" s="1" t="s">
        <v>508</v>
      </c>
      <c r="B70" s="22">
        <v>5</v>
      </c>
      <c r="C70" s="1">
        <f t="shared" si="3"/>
        <v>14182452690.184437</v>
      </c>
      <c r="E70" s="1">
        <f>HydroE!D44</f>
        <v>14182452690.184437</v>
      </c>
      <c r="F70" s="1">
        <f>HydroE!F44</f>
        <v>57945173328.611893</v>
      </c>
      <c r="G70" s="1">
        <f>HydroE!H44</f>
        <v>124387552907.52039</v>
      </c>
      <c r="I70" s="1">
        <f t="shared" si="8"/>
        <v>14182452690.184437</v>
      </c>
      <c r="J70" s="1">
        <f t="shared" si="9"/>
        <v>57945173328.611893</v>
      </c>
      <c r="K70" s="1">
        <f t="shared" si="10"/>
        <v>124387552907.52039</v>
      </c>
      <c r="M70" s="1">
        <f t="shared" si="11"/>
        <v>14182452690.184437</v>
      </c>
      <c r="N70" s="1">
        <f t="shared" si="12"/>
        <v>57945173328.611893</v>
      </c>
      <c r="O70" s="1">
        <f t="shared" si="13"/>
        <v>124387552907.52039</v>
      </c>
      <c r="P70" s="74">
        <f t="shared" si="2"/>
        <v>1.9961862028729517E-4</v>
      </c>
      <c r="Q70" s="74">
        <f t="shared" si="4"/>
        <v>6.4110557548001954E-4</v>
      </c>
      <c r="R70" s="1">
        <f t="shared" si="5"/>
        <v>1.5487974658697552</v>
      </c>
    </row>
    <row r="71" spans="1:18" x14ac:dyDescent="0.25">
      <c r="A71" s="1" t="s">
        <v>509</v>
      </c>
      <c r="B71" s="22">
        <v>6</v>
      </c>
      <c r="C71" s="1">
        <f t="shared" si="3"/>
        <v>435817041010.09436</v>
      </c>
      <c r="E71" s="1">
        <f>HydroE!D43</f>
        <v>435817041010.09436</v>
      </c>
      <c r="F71" s="1">
        <f>HydroE!F43</f>
        <v>1639968442282.3037</v>
      </c>
      <c r="G71" s="1">
        <f>HydroE!H43</f>
        <v>2956423216781.5547</v>
      </c>
      <c r="I71" s="1">
        <f t="shared" si="8"/>
        <v>435817041010.09436</v>
      </c>
      <c r="J71" s="1">
        <f t="shared" si="9"/>
        <v>1639968442282.3037</v>
      </c>
      <c r="K71" s="1">
        <f t="shared" si="10"/>
        <v>2956423216781.5547</v>
      </c>
      <c r="M71" s="1">
        <f t="shared" si="11"/>
        <v>435817041010.09436</v>
      </c>
      <c r="N71" s="1">
        <f t="shared" si="12"/>
        <v>1639968442282.3037</v>
      </c>
      <c r="O71" s="1">
        <f t="shared" si="13"/>
        <v>2956423216781.5547</v>
      </c>
      <c r="P71" s="74">
        <f t="shared" si="2"/>
        <v>6.1341432490260766E-3</v>
      </c>
      <c r="Q71" s="74">
        <f t="shared" si="4"/>
        <v>1.9700734491019993E-2</v>
      </c>
      <c r="R71" s="1">
        <f t="shared" si="5"/>
        <v>47.593483542268132</v>
      </c>
    </row>
    <row r="72" spans="1:18" x14ac:dyDescent="0.25">
      <c r="A72" s="1" t="s">
        <v>510</v>
      </c>
      <c r="B72" s="22">
        <v>7</v>
      </c>
      <c r="C72" s="1">
        <f t="shared" si="3"/>
        <v>0</v>
      </c>
      <c r="P72" s="74">
        <f t="shared" si="2"/>
        <v>0</v>
      </c>
      <c r="Q72" s="74">
        <f t="shared" si="4"/>
        <v>0</v>
      </c>
      <c r="R72" s="1">
        <f t="shared" si="5"/>
        <v>0</v>
      </c>
    </row>
    <row r="73" spans="1:18" x14ac:dyDescent="0.25">
      <c r="A73" s="1" t="s">
        <v>511</v>
      </c>
      <c r="B73" s="22">
        <v>8</v>
      </c>
      <c r="C73" s="1">
        <f t="shared" si="3"/>
        <v>134468768931.96507</v>
      </c>
      <c r="E73" s="1">
        <f>BioE!D70</f>
        <v>134468768931.96507</v>
      </c>
      <c r="F73" s="1">
        <f>BioE!F70</f>
        <v>252852408214.08755</v>
      </c>
      <c r="G73" s="1">
        <f>BioE!H70</f>
        <v>458852714739.00043</v>
      </c>
      <c r="I73" s="1">
        <f t="shared" ref="I73" si="14">E73</f>
        <v>134468768931.96507</v>
      </c>
      <c r="J73" s="1">
        <f t="shared" ref="J73" si="15">F73</f>
        <v>252852408214.08755</v>
      </c>
      <c r="K73" s="1">
        <f t="shared" ref="K73" si="16">G73</f>
        <v>458852714739.00043</v>
      </c>
      <c r="M73" s="1">
        <f t="shared" ref="M73" si="17">E73</f>
        <v>134468768931.96507</v>
      </c>
      <c r="N73" s="1">
        <f t="shared" ref="N73" si="18">F73</f>
        <v>252852408214.08755</v>
      </c>
      <c r="O73" s="1">
        <f t="shared" ref="O73" si="19">G73</f>
        <v>458852714739.00043</v>
      </c>
      <c r="P73" s="74">
        <f t="shared" si="2"/>
        <v>1.8926535989439565E-3</v>
      </c>
      <c r="Q73" s="74">
        <f t="shared" si="4"/>
        <v>6.0785450424863099E-3</v>
      </c>
      <c r="R73" s="1">
        <f t="shared" si="5"/>
        <v>14.684687698947283</v>
      </c>
    </row>
    <row r="74" spans="1:18" x14ac:dyDescent="0.25">
      <c r="A74" s="1" t="s">
        <v>512</v>
      </c>
      <c r="B74" s="22">
        <v>9</v>
      </c>
      <c r="C74" s="1">
        <f t="shared" si="3"/>
        <v>0</v>
      </c>
      <c r="P74" s="74">
        <f t="shared" si="2"/>
        <v>0</v>
      </c>
      <c r="Q74" s="74">
        <f t="shared" si="4"/>
        <v>0</v>
      </c>
      <c r="R74" s="1">
        <f t="shared" si="5"/>
        <v>0</v>
      </c>
    </row>
    <row r="75" spans="1:18" x14ac:dyDescent="0.25">
      <c r="A75" s="1" t="s">
        <v>513</v>
      </c>
      <c r="B75" s="22">
        <v>10</v>
      </c>
      <c r="C75" s="1">
        <f t="shared" si="3"/>
        <v>20957522475972.352</v>
      </c>
      <c r="E75" s="1">
        <f>SolarE!D36</f>
        <v>18859387946930.961</v>
      </c>
      <c r="F75" s="1">
        <f>SolarE!F36</f>
        <v>33704052401914.523</v>
      </c>
      <c r="G75" s="1">
        <f>SolarE!H36</f>
        <v>57496891989303.047</v>
      </c>
      <c r="I75" s="1">
        <f>SolarE!K36</f>
        <v>20957522475972.352</v>
      </c>
      <c r="J75" s="1">
        <f>SolarE!M36</f>
        <v>37453677591876.477</v>
      </c>
      <c r="K75" s="1">
        <f>SolarE!O36</f>
        <v>63893505428444.453</v>
      </c>
      <c r="M75" s="1">
        <f>SolarE!R36</f>
        <v>20957522475972.352</v>
      </c>
      <c r="N75" s="1">
        <f>SolarE!T36</f>
        <v>37453677591876.477</v>
      </c>
      <c r="O75" s="1">
        <f>SolarE!V36</f>
        <v>63893505428444.453</v>
      </c>
      <c r="P75" s="74">
        <f t="shared" si="2"/>
        <v>0.29497801351306141</v>
      </c>
      <c r="Q75" s="74">
        <f t="shared" si="4"/>
        <v>0.94736677788409884</v>
      </c>
      <c r="R75" s="1">
        <f t="shared" si="5"/>
        <v>2288.6702611149199</v>
      </c>
    </row>
    <row r="76" spans="1:18" x14ac:dyDescent="0.25">
      <c r="A76" s="1" t="s">
        <v>514</v>
      </c>
      <c r="B76" s="22">
        <v>11</v>
      </c>
      <c r="C76" s="1">
        <f t="shared" si="3"/>
        <v>48925876642863.203</v>
      </c>
      <c r="E76" s="1">
        <f>SolarE!D32</f>
        <v>4695878215576.4551</v>
      </c>
      <c r="F76" s="1">
        <f>SolarE!F32</f>
        <v>10675420696277.859</v>
      </c>
      <c r="G76" s="1">
        <f>SolarE!H32</f>
        <v>19841662355992.844</v>
      </c>
      <c r="I76" s="1">
        <f>SolarE!K32</f>
        <v>48925876642863.203</v>
      </c>
      <c r="J76" s="1">
        <f>SolarE!M32</f>
        <v>111226120465443.63</v>
      </c>
      <c r="K76" s="1">
        <f>SolarE!O32</f>
        <v>206728258326324.28</v>
      </c>
      <c r="M76" s="1">
        <f>SolarE!R32</f>
        <v>48925876642863.203</v>
      </c>
      <c r="N76" s="1">
        <f>SolarE!T32</f>
        <v>111226120465443.63</v>
      </c>
      <c r="O76" s="1">
        <f>SolarE!V32</f>
        <v>206728258326324.28</v>
      </c>
      <c r="P76" s="74">
        <f t="shared" si="2"/>
        <v>0.68863377901863776</v>
      </c>
      <c r="Q76" s="74">
        <f t="shared" si="4"/>
        <v>2.2116521723140226</v>
      </c>
      <c r="R76" s="1">
        <f t="shared" si="5"/>
        <v>5342.9597415380022</v>
      </c>
    </row>
    <row r="77" spans="1:18" x14ac:dyDescent="0.25">
      <c r="A77" s="1" t="s">
        <v>515</v>
      </c>
      <c r="B77" s="22">
        <v>12</v>
      </c>
      <c r="C77" s="1">
        <f t="shared" si="3"/>
        <v>6708824044.405447</v>
      </c>
      <c r="E77" s="1">
        <f>HydroE!D45</f>
        <v>6708824044.405447</v>
      </c>
      <c r="F77" s="1">
        <f>HydroE!F45</f>
        <v>14596330135.718353</v>
      </c>
      <c r="G77" s="1">
        <f>HydroE!H45</f>
        <v>27669817935.80595</v>
      </c>
      <c r="I77" s="1">
        <f t="shared" ref="I77:I78" si="20">E77</f>
        <v>6708824044.405447</v>
      </c>
      <c r="J77" s="1">
        <f t="shared" ref="J77:J78" si="21">F77</f>
        <v>14596330135.718353</v>
      </c>
      <c r="K77" s="1">
        <f t="shared" ref="K77:K78" si="22">G77</f>
        <v>27669817935.80595</v>
      </c>
      <c r="M77" s="1">
        <f t="shared" ref="M77:M78" si="23">E77</f>
        <v>6708824044.405447</v>
      </c>
      <c r="N77" s="1">
        <f t="shared" ref="N77:N78" si="24">F77</f>
        <v>14596330135.718353</v>
      </c>
      <c r="O77" s="1">
        <f t="shared" ref="O77:O78" si="25">G77</f>
        <v>27669817935.80595</v>
      </c>
      <c r="P77" s="74">
        <f t="shared" si="2"/>
        <v>9.4426981619427568E-5</v>
      </c>
      <c r="Q77" s="74">
        <f t="shared" si="4"/>
        <v>3.032666206430908E-4</v>
      </c>
      <c r="R77" s="1">
        <f t="shared" si="5"/>
        <v>0.73263841635322347</v>
      </c>
    </row>
    <row r="78" spans="1:18" x14ac:dyDescent="0.25">
      <c r="A78" s="1" t="s">
        <v>516</v>
      </c>
      <c r="B78" s="22">
        <v>13</v>
      </c>
      <c r="C78" s="1">
        <f t="shared" si="3"/>
        <v>300857055849.0683</v>
      </c>
      <c r="E78" s="1">
        <f>GeoE!D24</f>
        <v>300857055849.0683</v>
      </c>
      <c r="F78" s="1">
        <f>GeoE!F24</f>
        <v>498981055147.87201</v>
      </c>
      <c r="G78" s="1">
        <f>GeoE!H24</f>
        <v>819584208410.91821</v>
      </c>
      <c r="I78" s="1">
        <f t="shared" si="20"/>
        <v>300857055849.0683</v>
      </c>
      <c r="J78" s="1">
        <f t="shared" si="21"/>
        <v>498981055147.87201</v>
      </c>
      <c r="K78" s="1">
        <f t="shared" si="22"/>
        <v>819584208410.91821</v>
      </c>
      <c r="M78" s="1">
        <f t="shared" si="23"/>
        <v>300857055849.0683</v>
      </c>
      <c r="N78" s="1">
        <f t="shared" si="24"/>
        <v>498981055147.87201</v>
      </c>
      <c r="O78" s="1">
        <f t="shared" si="25"/>
        <v>819584208410.91821</v>
      </c>
      <c r="P78" s="74">
        <f t="shared" si="2"/>
        <v>4.2345757609227545E-3</v>
      </c>
      <c r="Q78" s="74">
        <f t="shared" si="4"/>
        <v>1.3599984441395868E-2</v>
      </c>
      <c r="R78" s="1">
        <f t="shared" si="5"/>
        <v>32.855152480823314</v>
      </c>
    </row>
    <row r="79" spans="1:18" x14ac:dyDescent="0.25">
      <c r="A79" s="1" t="s">
        <v>0</v>
      </c>
      <c r="B79" s="22">
        <v>14</v>
      </c>
      <c r="C79" s="1">
        <f t="shared" si="3"/>
        <v>71047744292455.094</v>
      </c>
      <c r="E79" s="1">
        <f>SUM(E66:E78)</f>
        <v>24746843595270.988</v>
      </c>
      <c r="F79" s="1">
        <f>SUM(F66:F78)</f>
        <v>47658059516660.063</v>
      </c>
      <c r="G79" s="1">
        <f>SUM(G66:G78)</f>
        <v>83557419348939.859</v>
      </c>
      <c r="I79" s="1">
        <f>SUM(I66:I78)</f>
        <v>71047744292455.094</v>
      </c>
      <c r="J79" s="1">
        <f>SUM(J66:J78)</f>
        <v>151907088077680.03</v>
      </c>
      <c r="K79" s="1">
        <f>SUM(K66:K78)</f>
        <v>276748330221151.63</v>
      </c>
      <c r="M79" s="54">
        <f>SUM(M66:M78)</f>
        <v>71047744292455.094</v>
      </c>
      <c r="N79" s="1">
        <f>SUM(N66:N78)</f>
        <v>151907088077680.03</v>
      </c>
      <c r="O79" s="1">
        <f>SUM(O66:O78)</f>
        <v>276748330221151.63</v>
      </c>
      <c r="Q79" s="1">
        <f>M79-M76</f>
        <v>22121867649591.891</v>
      </c>
    </row>
    <row r="80" spans="1:18" x14ac:dyDescent="0.25">
      <c r="B80" s="22"/>
    </row>
    <row r="81" spans="1:17" x14ac:dyDescent="0.25">
      <c r="B81" s="22"/>
    </row>
    <row r="82" spans="1:17" x14ac:dyDescent="0.25">
      <c r="B82" s="22"/>
    </row>
    <row r="83" spans="1:17" x14ac:dyDescent="0.25">
      <c r="B83" s="22"/>
    </row>
    <row r="84" spans="1:17" x14ac:dyDescent="0.25">
      <c r="B84" s="22"/>
    </row>
    <row r="85" spans="1:17" s="59" customFormat="1" x14ac:dyDescent="0.25">
      <c r="A85" s="124" t="s">
        <v>575</v>
      </c>
      <c r="B85" s="124"/>
    </row>
    <row r="86" spans="1:17" s="59" customFormat="1" x14ac:dyDescent="0.25">
      <c r="A86" s="124"/>
      <c r="B86" s="124"/>
    </row>
    <row r="87" spans="1:17" x14ac:dyDescent="0.25">
      <c r="B87" s="22"/>
    </row>
    <row r="88" spans="1:17" x14ac:dyDescent="0.25">
      <c r="B88" s="22"/>
      <c r="G88" s="1" t="s">
        <v>296</v>
      </c>
      <c r="H88" s="120" t="s">
        <v>520</v>
      </c>
      <c r="I88" s="120"/>
      <c r="J88" s="120"/>
      <c r="K88" s="1" t="s">
        <v>295</v>
      </c>
      <c r="L88" s="1" t="s">
        <v>529</v>
      </c>
      <c r="M88" s="1" t="s">
        <v>335</v>
      </c>
      <c r="N88" s="1" t="s">
        <v>498</v>
      </c>
      <c r="O88" s="1" t="s">
        <v>300</v>
      </c>
      <c r="P88" s="1" t="s">
        <v>658</v>
      </c>
      <c r="Q88" s="1" t="s">
        <v>662</v>
      </c>
    </row>
    <row r="89" spans="1:17" x14ac:dyDescent="0.25">
      <c r="B89" s="22"/>
      <c r="C89" s="1" t="s">
        <v>595</v>
      </c>
      <c r="G89" s="22">
        <v>2016</v>
      </c>
      <c r="H89" s="1" t="s">
        <v>521</v>
      </c>
      <c r="I89" s="1" t="s">
        <v>524</v>
      </c>
      <c r="J89" s="1" t="s">
        <v>523</v>
      </c>
      <c r="M89" s="1" t="s">
        <v>528</v>
      </c>
    </row>
    <row r="90" spans="1:17" x14ac:dyDescent="0.25">
      <c r="B90" s="22"/>
      <c r="C90" s="1" t="s">
        <v>444</v>
      </c>
      <c r="D90" s="1" t="s">
        <v>445</v>
      </c>
      <c r="E90" s="1" t="s">
        <v>446</v>
      </c>
      <c r="G90" s="22" t="s">
        <v>574</v>
      </c>
    </row>
    <row r="91" spans="1:17" x14ac:dyDescent="0.25">
      <c r="A91" s="1" t="s">
        <v>517</v>
      </c>
      <c r="B91" s="22">
        <v>1</v>
      </c>
      <c r="C91" s="1">
        <f>E66+E67</f>
        <v>275485823534.25098</v>
      </c>
      <c r="D91" s="1">
        <f>I66+I67</f>
        <v>248253564390.21155</v>
      </c>
      <c r="E91" s="1">
        <f>M66+M67</f>
        <v>248253564390.21158</v>
      </c>
      <c r="G91" s="1">
        <v>109325799086.758</v>
      </c>
      <c r="H91" s="1">
        <v>190000000000000</v>
      </c>
      <c r="I91" s="1">
        <v>5700000000000</v>
      </c>
      <c r="J91" s="1">
        <v>14200000000000</v>
      </c>
      <c r="K91" s="1">
        <v>3170000000000</v>
      </c>
      <c r="L91" s="1">
        <v>13800000000000</v>
      </c>
      <c r="M91" s="1">
        <v>16000000000000</v>
      </c>
      <c r="P91"/>
    </row>
    <row r="92" spans="1:17" x14ac:dyDescent="0.25">
      <c r="A92" s="1" t="s">
        <v>481</v>
      </c>
      <c r="B92" s="22">
        <v>2</v>
      </c>
      <c r="C92" s="1">
        <f>E68</f>
        <v>19514979411.201027</v>
      </c>
      <c r="D92" s="1">
        <f>I68</f>
        <v>19514979411.201027</v>
      </c>
      <c r="E92" s="1">
        <f>M68</f>
        <v>19514979411.201027</v>
      </c>
      <c r="G92" s="1">
        <v>39041095.89041096</v>
      </c>
      <c r="H92" s="1">
        <v>3360000000000</v>
      </c>
      <c r="I92" s="1">
        <v>500000000000</v>
      </c>
      <c r="J92" s="1">
        <v>634000000000</v>
      </c>
      <c r="K92" s="1">
        <v>3000000000000</v>
      </c>
      <c r="L92" s="1">
        <v>634000000000</v>
      </c>
      <c r="N92" s="1">
        <v>96300000000</v>
      </c>
      <c r="P92"/>
    </row>
    <row r="93" spans="1:17" x14ac:dyDescent="0.25">
      <c r="A93" s="1" t="s">
        <v>531</v>
      </c>
      <c r="B93" s="22">
        <v>3</v>
      </c>
      <c r="C93" s="1">
        <f>E69</f>
        <v>4542487292.4064465</v>
      </c>
      <c r="D93" s="1">
        <f>I69</f>
        <v>4542487292.4064465</v>
      </c>
      <c r="E93" s="1">
        <f>M69</f>
        <v>4542487292.4064465</v>
      </c>
      <c r="G93" s="1">
        <v>39041095.89041096</v>
      </c>
      <c r="H93" s="1">
        <v>6800000000000</v>
      </c>
      <c r="L93" s="1">
        <v>10000000000000</v>
      </c>
      <c r="P93"/>
    </row>
    <row r="94" spans="1:17" x14ac:dyDescent="0.25">
      <c r="A94" s="1" t="s">
        <v>508</v>
      </c>
      <c r="B94" s="22">
        <v>4</v>
      </c>
      <c r="C94" s="1">
        <f>E70</f>
        <v>14182452690.184437</v>
      </c>
      <c r="D94" s="1">
        <f>I70</f>
        <v>14182452690.184437</v>
      </c>
      <c r="E94" s="1">
        <f>M70</f>
        <v>14182452690.184437</v>
      </c>
      <c r="G94" s="1">
        <v>0</v>
      </c>
      <c r="I94" s="1">
        <v>190000000000</v>
      </c>
      <c r="J94" s="1">
        <f>I94</f>
        <v>190000000000</v>
      </c>
      <c r="L94" s="1">
        <v>221000000000</v>
      </c>
      <c r="O94" s="1">
        <v>157000000000</v>
      </c>
      <c r="P94"/>
    </row>
    <row r="95" spans="1:17" x14ac:dyDescent="0.25">
      <c r="A95" s="1" t="s">
        <v>509</v>
      </c>
      <c r="B95" s="22">
        <v>5</v>
      </c>
      <c r="C95" s="1">
        <f>E71</f>
        <v>435817041010.09436</v>
      </c>
      <c r="D95" s="1">
        <f>I71</f>
        <v>435817041010.09436</v>
      </c>
      <c r="E95" s="1">
        <f>M71</f>
        <v>435817041010.09436</v>
      </c>
      <c r="G95" s="1">
        <v>463628868594.62201</v>
      </c>
      <c r="H95" s="1">
        <v>4660000000000</v>
      </c>
      <c r="I95" s="1">
        <v>633000000000</v>
      </c>
      <c r="J95" s="1">
        <v>1650000000000</v>
      </c>
      <c r="K95" s="1">
        <v>1016000000000</v>
      </c>
      <c r="L95" s="1">
        <v>1580000000000</v>
      </c>
      <c r="P95"/>
    </row>
    <row r="96" spans="1:17" x14ac:dyDescent="0.25">
      <c r="A96" s="1" t="s">
        <v>518</v>
      </c>
      <c r="B96" s="22">
        <v>6</v>
      </c>
      <c r="C96" s="1">
        <f>E72+E73+E74</f>
        <v>134468768931.96507</v>
      </c>
      <c r="D96" s="1">
        <f>I72+I73+I74</f>
        <v>134468768931.96507</v>
      </c>
      <c r="E96" s="1">
        <f>M72+M73+M74</f>
        <v>134468768931.96507</v>
      </c>
      <c r="G96" s="1">
        <v>383447393455.09894</v>
      </c>
      <c r="H96" s="1">
        <f>1260*10^18/(3600*24*365)*0.25</f>
        <v>9988584474885.8457</v>
      </c>
      <c r="I96" s="1">
        <f>171*10^18/(3600*24*365)*0.25</f>
        <v>1355593607305.936</v>
      </c>
      <c r="J96" s="1">
        <f>288*10^18/(3600*24*365)*0.25</f>
        <v>2283105022831.0503</v>
      </c>
      <c r="K96" s="1">
        <f>3805000000000*0.25</f>
        <v>951250000000</v>
      </c>
      <c r="L96" s="1">
        <f>96.5*10^18/(3600*24*365)*0.25</f>
        <v>764998731608.32068</v>
      </c>
      <c r="P96" s="1">
        <f>52*10^18/(3600*24*365)*0.25</f>
        <v>412227295788.93964</v>
      </c>
      <c r="Q96" s="1">
        <f>58.6*10^18/(3600*24*365)*0.25</f>
        <v>464548452562.15118</v>
      </c>
    </row>
    <row r="97" spans="1:16" x14ac:dyDescent="0.25">
      <c r="A97" s="1" t="s">
        <v>519</v>
      </c>
      <c r="B97" s="22">
        <v>7</v>
      </c>
      <c r="C97" s="1">
        <f>E75+E76</f>
        <v>23555266162507.414</v>
      </c>
      <c r="D97" s="1">
        <f>I75+I76</f>
        <v>69883399118835.555</v>
      </c>
      <c r="E97" s="1">
        <f>M75+M76</f>
        <v>69883399118835.555</v>
      </c>
      <c r="G97" s="1">
        <v>38657800608.828003</v>
      </c>
      <c r="H97" s="1">
        <v>1.23E+17</v>
      </c>
      <c r="I97" s="1">
        <v>49300000000000</v>
      </c>
      <c r="J97" s="1">
        <v>1550000000000000</v>
      </c>
      <c r="K97" s="1">
        <v>19025900000000</v>
      </c>
      <c r="L97" s="1">
        <v>308000000000000</v>
      </c>
      <c r="P97"/>
    </row>
    <row r="98" spans="1:16" x14ac:dyDescent="0.25">
      <c r="A98" s="1" t="s">
        <v>515</v>
      </c>
      <c r="B98" s="22">
        <v>8</v>
      </c>
      <c r="C98" s="1">
        <f>E77</f>
        <v>6708824044.405447</v>
      </c>
      <c r="D98" s="1">
        <f>I77</f>
        <v>6708824044.405447</v>
      </c>
      <c r="E98" s="1">
        <f>M77</f>
        <v>6708824044.405447</v>
      </c>
      <c r="G98" s="1">
        <v>39041095.89041096</v>
      </c>
      <c r="H98" s="1">
        <v>1000000000000</v>
      </c>
      <c r="I98" s="1" t="s">
        <v>522</v>
      </c>
      <c r="K98" s="1">
        <v>95000000000</v>
      </c>
      <c r="L98" s="1">
        <v>57000000000</v>
      </c>
      <c r="P98"/>
    </row>
    <row r="99" spans="1:16" x14ac:dyDescent="0.25">
      <c r="A99" s="1" t="s">
        <v>516</v>
      </c>
      <c r="B99" s="22">
        <v>9</v>
      </c>
      <c r="C99" s="1">
        <f>E78</f>
        <v>300857055849.0683</v>
      </c>
      <c r="D99" s="1">
        <f>I78</f>
        <v>300857055849.0683</v>
      </c>
      <c r="E99" s="1">
        <f>M78</f>
        <v>300857055849.0683</v>
      </c>
      <c r="G99" s="1">
        <v>9737214611.8721447</v>
      </c>
      <c r="H99" s="1">
        <v>9980000000000</v>
      </c>
      <c r="I99" s="1">
        <v>301000000000</v>
      </c>
      <c r="J99" s="1">
        <v>9890000000000</v>
      </c>
      <c r="K99" s="1">
        <v>317000000000</v>
      </c>
      <c r="L99" s="1">
        <v>1427000000000</v>
      </c>
    </row>
    <row r="100" spans="1:16" s="64" customFormat="1" x14ac:dyDescent="0.25">
      <c r="A100" s="64" t="s">
        <v>597</v>
      </c>
      <c r="B100" s="118"/>
      <c r="C100" s="64">
        <f>SUM(C91:C99)</f>
        <v>24746843595270.988</v>
      </c>
      <c r="D100" s="64">
        <f>SUM(D91:D99)</f>
        <v>71047744292455.094</v>
      </c>
      <c r="E100" s="64">
        <f>SUM(E91:E99)</f>
        <v>71047744292455.094</v>
      </c>
      <c r="G100" s="64">
        <f>SUM(G91:G99)</f>
        <v>1004914199644.8503</v>
      </c>
      <c r="H100" s="64">
        <f t="shared" ref="H100:L100" si="26">SUM(H91:H99)</f>
        <v>1.2322578858447488E+17</v>
      </c>
      <c r="I100" s="64">
        <f t="shared" si="26"/>
        <v>57979593607305.938</v>
      </c>
      <c r="J100" s="64">
        <f t="shared" si="26"/>
        <v>1578847105022831</v>
      </c>
      <c r="K100" s="64">
        <f t="shared" si="26"/>
        <v>27575150000000</v>
      </c>
      <c r="L100" s="64">
        <f t="shared" si="26"/>
        <v>336483998731608.31</v>
      </c>
    </row>
    <row r="101" spans="1:16" x14ac:dyDescent="0.25">
      <c r="A101" s="1" t="s">
        <v>525</v>
      </c>
      <c r="B101" s="22">
        <v>10</v>
      </c>
      <c r="G101" s="1">
        <v>2197367770167.4277</v>
      </c>
    </row>
    <row r="102" spans="1:16" x14ac:dyDescent="0.25">
      <c r="A102" s="1" t="s">
        <v>526</v>
      </c>
      <c r="B102" s="22">
        <v>11</v>
      </c>
      <c r="G102" s="1">
        <v>1650826357179.0972</v>
      </c>
    </row>
    <row r="103" spans="1:16" x14ac:dyDescent="0.25">
      <c r="A103" s="1" t="s">
        <v>527</v>
      </c>
      <c r="B103" s="22">
        <v>12</v>
      </c>
      <c r="G103" s="1">
        <v>1610362760020.2944</v>
      </c>
    </row>
    <row r="104" spans="1:16" x14ac:dyDescent="0.25">
      <c r="A104" s="1" t="s">
        <v>638</v>
      </c>
      <c r="B104" s="22">
        <v>13</v>
      </c>
      <c r="G104" s="1">
        <v>297770167427.70172</v>
      </c>
    </row>
    <row r="105" spans="1:16" x14ac:dyDescent="0.25">
      <c r="A105" s="1" t="s">
        <v>661</v>
      </c>
      <c r="B105" s="22">
        <v>14</v>
      </c>
      <c r="G105" s="1">
        <v>16769691780.821918</v>
      </c>
    </row>
    <row r="106" spans="1:16" s="64" customFormat="1" x14ac:dyDescent="0.25">
      <c r="A106" s="64" t="s">
        <v>551</v>
      </c>
      <c r="E106" s="64">
        <f>E100/G106</f>
        <v>10.482093471990536</v>
      </c>
      <c r="G106" s="64">
        <f>SUM(G100:G105)</f>
        <v>6778010946220.1943</v>
      </c>
    </row>
    <row r="108" spans="1:16" x14ac:dyDescent="0.25">
      <c r="A108" s="1" t="s">
        <v>587</v>
      </c>
    </row>
    <row r="109" spans="1:16" x14ac:dyDescent="0.25">
      <c r="C109" s="1" t="s">
        <v>253</v>
      </c>
      <c r="D109" s="1" t="s">
        <v>254</v>
      </c>
      <c r="E109" s="1" t="s">
        <v>255</v>
      </c>
      <c r="F109" s="1" t="s">
        <v>256</v>
      </c>
      <c r="H109" s="1" t="s">
        <v>583</v>
      </c>
    </row>
    <row r="110" spans="1:16" x14ac:dyDescent="0.25">
      <c r="A110" s="1" t="s">
        <v>582</v>
      </c>
      <c r="B110" s="1" t="s">
        <v>10</v>
      </c>
      <c r="C110" s="77">
        <v>8613800000</v>
      </c>
      <c r="D110" s="77">
        <v>10874000000</v>
      </c>
      <c r="E110" s="77">
        <v>13727000000</v>
      </c>
      <c r="F110" s="77">
        <v>4</v>
      </c>
      <c r="H110" s="1">
        <v>912200000</v>
      </c>
    </row>
    <row r="111" spans="1:16" x14ac:dyDescent="0.25">
      <c r="B111" s="1" t="s">
        <v>168</v>
      </c>
      <c r="C111" s="2">
        <v>1.3500000000000001E-3</v>
      </c>
      <c r="D111" s="2">
        <v>0.01</v>
      </c>
      <c r="E111" s="2">
        <v>0.25</v>
      </c>
      <c r="F111" s="2">
        <v>0.5</v>
      </c>
      <c r="G111" s="2">
        <v>0.75</v>
      </c>
      <c r="H111" s="2">
        <v>0.99</v>
      </c>
      <c r="I111" s="2">
        <v>0.99865000000000004</v>
      </c>
    </row>
    <row r="112" spans="1:16" x14ac:dyDescent="0.25">
      <c r="A112" s="1" t="s">
        <v>584</v>
      </c>
      <c r="B112" s="1" t="s">
        <v>585</v>
      </c>
      <c r="C112" s="105">
        <v>6614.3455171932364</v>
      </c>
      <c r="D112" s="105">
        <v>7758.7825406301999</v>
      </c>
      <c r="E112" s="105">
        <v>11839.631897981901</v>
      </c>
      <c r="F112" s="105">
        <v>14070.662031582051</v>
      </c>
      <c r="G112" s="105">
        <v>16575.456663277364</v>
      </c>
      <c r="H112" s="105">
        <v>23770.401654952424</v>
      </c>
      <c r="I112" s="105">
        <v>26760.374096474618</v>
      </c>
    </row>
    <row r="113" spans="1:9" x14ac:dyDescent="0.25">
      <c r="A113" s="1" t="s">
        <v>586</v>
      </c>
      <c r="B113" s="1" t="s">
        <v>585</v>
      </c>
      <c r="C113" s="105">
        <v>2017.6942775259704</v>
      </c>
      <c r="D113" s="105">
        <v>2309.386279195804</v>
      </c>
      <c r="E113" s="105">
        <v>3243.4327120696198</v>
      </c>
      <c r="F113" s="105">
        <v>3765.1169599305622</v>
      </c>
      <c r="G113" s="105">
        <v>4369.8389292403699</v>
      </c>
      <c r="H113" s="105">
        <v>6067.1472643046727</v>
      </c>
      <c r="I113" s="105">
        <v>6771.3126024965431</v>
      </c>
    </row>
    <row r="115" spans="1:9" x14ac:dyDescent="0.25">
      <c r="C115" s="55"/>
      <c r="D115" s="55"/>
      <c r="E115" s="55"/>
      <c r="F115" s="55"/>
      <c r="G115" s="55"/>
      <c r="H115" s="55"/>
      <c r="I115" s="55"/>
    </row>
    <row r="116" spans="1:9" x14ac:dyDescent="0.25">
      <c r="C116" s="55"/>
      <c r="D116" s="55"/>
      <c r="E116" s="55"/>
      <c r="F116" s="55"/>
      <c r="G116" s="55"/>
      <c r="H116" s="55"/>
      <c r="I116" s="55"/>
    </row>
    <row r="118" spans="1:9" x14ac:dyDescent="0.25">
      <c r="C118" s="55"/>
      <c r="D118" s="55"/>
      <c r="E118" s="55"/>
      <c r="F118" s="55"/>
      <c r="G118" s="55"/>
      <c r="H118" s="55"/>
      <c r="I118" s="55"/>
    </row>
    <row r="119" spans="1:9" x14ac:dyDescent="0.25">
      <c r="C119" s="55"/>
      <c r="D119" s="55"/>
      <c r="E119" s="55"/>
      <c r="F119" s="55"/>
      <c r="G119" s="55"/>
      <c r="H119" s="55"/>
      <c r="I119" s="55"/>
    </row>
    <row r="121" spans="1:9" x14ac:dyDescent="0.25">
      <c r="C121" s="55"/>
      <c r="D121" s="55"/>
      <c r="E121" s="55"/>
      <c r="F121" s="55"/>
      <c r="G121" s="55"/>
      <c r="H121" s="55"/>
      <c r="I121" s="55"/>
    </row>
    <row r="122" spans="1:9" x14ac:dyDescent="0.25">
      <c r="C122" s="55"/>
      <c r="D122" s="55"/>
      <c r="E122" s="55"/>
      <c r="F122" s="55"/>
      <c r="G122" s="55"/>
      <c r="H122" s="55"/>
      <c r="I122" s="55"/>
    </row>
  </sheetData>
  <mergeCells count="9">
    <mergeCell ref="H88:J88"/>
    <mergeCell ref="A85:B86"/>
    <mergeCell ref="A61:B62"/>
    <mergeCell ref="E2:G2"/>
    <mergeCell ref="I2:K2"/>
    <mergeCell ref="M2:O2"/>
    <mergeCell ref="E64:G64"/>
    <mergeCell ref="I64:K64"/>
    <mergeCell ref="M64:O64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baseColWidth="10" defaultRowHeight="15" x14ac:dyDescent="0.25"/>
  <cols>
    <col min="1" max="1" width="28.7109375" bestFit="1" customWidth="1"/>
    <col min="3" max="3" width="13.140625" bestFit="1" customWidth="1"/>
    <col min="4" max="4" width="11" bestFit="1" customWidth="1"/>
    <col min="5" max="6" width="11.85546875" bestFit="1" customWidth="1"/>
    <col min="7" max="10" width="11" bestFit="1" customWidth="1"/>
    <col min="11" max="12" width="11.85546875" bestFit="1" customWidth="1"/>
    <col min="13" max="13" width="11.85546875" customWidth="1"/>
    <col min="14" max="16" width="11.85546875" bestFit="1" customWidth="1"/>
  </cols>
  <sheetData>
    <row r="1" spans="1:16" x14ac:dyDescent="0.25">
      <c r="A1" t="s">
        <v>643</v>
      </c>
      <c r="B1" t="s">
        <v>630</v>
      </c>
      <c r="K1">
        <v>15928</v>
      </c>
      <c r="L1">
        <v>15933</v>
      </c>
      <c r="M1">
        <v>15965</v>
      </c>
      <c r="N1">
        <v>9590</v>
      </c>
      <c r="O1">
        <v>7879</v>
      </c>
      <c r="P1">
        <v>6690</v>
      </c>
    </row>
    <row r="2" spans="1:16" x14ac:dyDescent="0.25">
      <c r="B2" t="s">
        <v>637</v>
      </c>
      <c r="D2" t="s">
        <v>601</v>
      </c>
      <c r="E2" t="s">
        <v>622</v>
      </c>
      <c r="F2" t="s">
        <v>623</v>
      </c>
      <c r="G2" t="s">
        <v>527</v>
      </c>
      <c r="H2" t="s">
        <v>625</v>
      </c>
      <c r="I2" t="s">
        <v>624</v>
      </c>
      <c r="J2" t="s">
        <v>629</v>
      </c>
      <c r="K2" t="s">
        <v>603</v>
      </c>
      <c r="L2" t="s">
        <v>604</v>
      </c>
      <c r="M2" t="s">
        <v>641</v>
      </c>
      <c r="N2" t="s">
        <v>605</v>
      </c>
      <c r="O2" t="s">
        <v>606</v>
      </c>
      <c r="P2" t="s">
        <v>607</v>
      </c>
    </row>
    <row r="3" spans="1:16" x14ac:dyDescent="0.25">
      <c r="B3" t="s">
        <v>608</v>
      </c>
      <c r="C3" t="s">
        <v>596</v>
      </c>
      <c r="D3" s="22" t="s">
        <v>574</v>
      </c>
      <c r="K3" s="22" t="s">
        <v>639</v>
      </c>
      <c r="L3" s="22" t="s">
        <v>639</v>
      </c>
      <c r="M3" s="22" t="s">
        <v>639</v>
      </c>
      <c r="N3" s="22" t="s">
        <v>614</v>
      </c>
      <c r="O3" s="22" t="s">
        <v>614</v>
      </c>
      <c r="P3" s="22" t="s">
        <v>615</v>
      </c>
    </row>
    <row r="4" spans="1:16" x14ac:dyDescent="0.25">
      <c r="A4" t="s">
        <v>636</v>
      </c>
      <c r="D4">
        <v>2016</v>
      </c>
      <c r="K4" t="s">
        <v>602</v>
      </c>
      <c r="L4" t="s">
        <v>610</v>
      </c>
      <c r="M4" t="s">
        <v>642</v>
      </c>
      <c r="N4" t="s">
        <v>611</v>
      </c>
      <c r="O4" t="s">
        <v>612</v>
      </c>
      <c r="P4" t="s">
        <v>613</v>
      </c>
    </row>
    <row r="5" spans="1:16" x14ac:dyDescent="0.25">
      <c r="A5" s="1" t="s">
        <v>517</v>
      </c>
      <c r="B5" s="22">
        <v>1</v>
      </c>
      <c r="C5">
        <v>251157333320.66144</v>
      </c>
      <c r="D5" s="1">
        <v>60100000000</v>
      </c>
      <c r="E5" s="1"/>
      <c r="F5" s="1"/>
      <c r="G5" s="1"/>
      <c r="H5" s="1">
        <v>1</v>
      </c>
      <c r="I5" s="1">
        <v>1</v>
      </c>
      <c r="J5" s="1"/>
      <c r="K5">
        <v>5.9148294999999997E-3</v>
      </c>
      <c r="L5">
        <v>0.44840470999999998</v>
      </c>
      <c r="M5">
        <v>0.23737556000000001</v>
      </c>
      <c r="N5">
        <v>3.6905217999999997E-2</v>
      </c>
      <c r="O5">
        <v>8.7281958999999992E-3</v>
      </c>
      <c r="P5">
        <v>758.63216999999997</v>
      </c>
    </row>
    <row r="6" spans="1:16" x14ac:dyDescent="0.25">
      <c r="A6" s="1" t="s">
        <v>481</v>
      </c>
      <c r="B6" s="22">
        <v>2</v>
      </c>
      <c r="C6">
        <v>19456309603.832314</v>
      </c>
      <c r="D6" s="1">
        <v>0</v>
      </c>
      <c r="E6" s="1"/>
      <c r="F6" s="1"/>
      <c r="G6" s="1"/>
      <c r="H6" s="1">
        <v>1</v>
      </c>
      <c r="I6" s="1">
        <v>1</v>
      </c>
      <c r="J6" s="1"/>
    </row>
    <row r="7" spans="1:16" x14ac:dyDescent="0.25">
      <c r="A7" s="1" t="s">
        <v>531</v>
      </c>
      <c r="B7" s="22">
        <v>3</v>
      </c>
      <c r="C7">
        <v>4542091759.3568497</v>
      </c>
      <c r="D7" s="1">
        <v>0</v>
      </c>
      <c r="E7" s="1"/>
      <c r="F7" s="1"/>
      <c r="G7" s="1"/>
      <c r="H7" s="1">
        <v>1</v>
      </c>
      <c r="I7" s="1">
        <v>1</v>
      </c>
      <c r="J7" s="1"/>
    </row>
    <row r="8" spans="1:16" x14ac:dyDescent="0.25">
      <c r="A8" s="1" t="s">
        <v>508</v>
      </c>
      <c r="B8" s="22">
        <v>4</v>
      </c>
      <c r="C8">
        <v>14222507269.383823</v>
      </c>
      <c r="D8" s="1">
        <v>0</v>
      </c>
      <c r="E8" s="1"/>
      <c r="F8" s="1"/>
      <c r="G8" s="1"/>
      <c r="H8" s="1">
        <v>1</v>
      </c>
      <c r="I8" s="1">
        <v>1</v>
      </c>
      <c r="J8" s="1"/>
    </row>
    <row r="9" spans="1:16" x14ac:dyDescent="0.25">
      <c r="A9" s="1" t="s">
        <v>509</v>
      </c>
      <c r="B9" s="22">
        <v>5</v>
      </c>
      <c r="C9">
        <v>434232401909.87085</v>
      </c>
      <c r="D9" s="1">
        <v>417000000000</v>
      </c>
      <c r="E9" s="1"/>
      <c r="F9" s="1"/>
      <c r="G9" s="1"/>
      <c r="H9" s="1">
        <v>1</v>
      </c>
      <c r="I9" s="1">
        <v>1</v>
      </c>
      <c r="J9" s="1">
        <v>4.5</v>
      </c>
      <c r="K9">
        <v>2.2499056999999998</v>
      </c>
      <c r="L9">
        <v>0.17074452000000001</v>
      </c>
      <c r="M9">
        <v>2.5319056999999999E-2</v>
      </c>
      <c r="N9">
        <v>0.21018632000000001</v>
      </c>
      <c r="O9">
        <v>6.4613153000000006E-2</v>
      </c>
      <c r="P9">
        <v>5749.1372000000001</v>
      </c>
    </row>
    <row r="10" spans="1:16" x14ac:dyDescent="0.25">
      <c r="A10" s="1" t="s">
        <v>518</v>
      </c>
      <c r="B10" s="22">
        <v>6</v>
      </c>
      <c r="C10">
        <v>133617834652.67586</v>
      </c>
      <c r="D10" s="1">
        <v>534000000000</v>
      </c>
      <c r="E10" s="1"/>
      <c r="F10" s="1">
        <v>1000</v>
      </c>
      <c r="G10" s="1"/>
      <c r="H10" s="1">
        <v>1</v>
      </c>
      <c r="I10" s="1">
        <v>1</v>
      </c>
      <c r="J10" s="1">
        <v>4.5</v>
      </c>
      <c r="K10">
        <v>2.4128945561699998E-2</v>
      </c>
      <c r="L10">
        <v>8.628913311719999E-2</v>
      </c>
      <c r="M10">
        <v>0.11209227484469998</v>
      </c>
      <c r="N10">
        <v>1.5057371867099999E-2</v>
      </c>
      <c r="O10">
        <v>8.6059331159999992E-3</v>
      </c>
      <c r="P10">
        <v>647.52920999999992</v>
      </c>
    </row>
    <row r="11" spans="1:16" x14ac:dyDescent="0.25">
      <c r="A11" s="1" t="s">
        <v>519</v>
      </c>
      <c r="B11" s="22">
        <v>7</v>
      </c>
      <c r="C11">
        <v>69883023354943.969</v>
      </c>
      <c r="D11" s="1">
        <v>16400000000</v>
      </c>
      <c r="E11" s="1">
        <v>1000</v>
      </c>
      <c r="F11" s="1"/>
      <c r="G11" s="1"/>
      <c r="H11" s="1">
        <v>1.0009999999999999</v>
      </c>
      <c r="I11" s="1">
        <v>1.0009999999999999</v>
      </c>
      <c r="J11" s="1"/>
      <c r="K11">
        <v>9.9017655000000003E-5</v>
      </c>
      <c r="L11">
        <v>7.1576958999999997E-5</v>
      </c>
      <c r="M11">
        <v>1.3262380000000001E-5</v>
      </c>
      <c r="N11">
        <v>8.8729471000000004E-3</v>
      </c>
      <c r="O11">
        <v>2.8144222000000001E-4</v>
      </c>
      <c r="P11">
        <v>1.7176461999999999</v>
      </c>
    </row>
    <row r="12" spans="1:16" x14ac:dyDescent="0.25">
      <c r="A12" s="1" t="s">
        <v>515</v>
      </c>
      <c r="B12" s="22">
        <v>8</v>
      </c>
      <c r="C12">
        <v>6728916119.1375027</v>
      </c>
      <c r="D12" s="1">
        <v>0</v>
      </c>
      <c r="E12" s="1"/>
      <c r="F12" s="1"/>
      <c r="G12" s="1"/>
      <c r="H12" s="1">
        <v>1</v>
      </c>
      <c r="I12" s="1">
        <v>1</v>
      </c>
      <c r="J12" s="1"/>
    </row>
    <row r="13" spans="1:16" x14ac:dyDescent="0.25">
      <c r="A13" s="1" t="s">
        <v>516</v>
      </c>
      <c r="B13" s="22">
        <v>9</v>
      </c>
      <c r="C13">
        <v>299787878225.32751</v>
      </c>
      <c r="D13" s="1">
        <v>32000000000</v>
      </c>
      <c r="E13" s="1"/>
      <c r="F13" s="1"/>
      <c r="G13" s="1"/>
      <c r="H13" s="1">
        <v>1</v>
      </c>
      <c r="I13" s="1">
        <v>1</v>
      </c>
      <c r="J13" s="1"/>
      <c r="K13">
        <v>1.0609279E-4</v>
      </c>
      <c r="L13">
        <v>1.8783852000000001E-3</v>
      </c>
      <c r="M13">
        <v>4.1383559000000001E-4</v>
      </c>
      <c r="N13">
        <v>6.2064789000000004E-3</v>
      </c>
      <c r="O13">
        <v>1.4068192E-3</v>
      </c>
      <c r="P13">
        <v>102.63579</v>
      </c>
    </row>
    <row r="14" spans="1:16" s="108" customFormat="1" x14ac:dyDescent="0.25">
      <c r="A14" s="106" t="s">
        <v>597</v>
      </c>
      <c r="B14" s="107">
        <v>10</v>
      </c>
      <c r="C14" s="108">
        <f>SUM(C5:C13)</f>
        <v>71046768627804.219</v>
      </c>
      <c r="D14" s="106">
        <f t="shared" ref="D14:E14" si="0">SUM(D5:D13)</f>
        <v>1059500000000</v>
      </c>
      <c r="E14" s="106">
        <f t="shared" si="0"/>
        <v>1000</v>
      </c>
      <c r="F14" s="106">
        <f t="shared" ref="F14:J14" si="1">SUM(F5:F13)</f>
        <v>1000</v>
      </c>
      <c r="G14" s="106">
        <f t="shared" si="1"/>
        <v>0</v>
      </c>
      <c r="H14" s="106">
        <f t="shared" si="1"/>
        <v>9.0009999999999994</v>
      </c>
      <c r="I14" s="106">
        <f t="shared" si="1"/>
        <v>9.0009999999999994</v>
      </c>
      <c r="J14" s="106">
        <f t="shared" si="1"/>
        <v>9</v>
      </c>
      <c r="K14" s="108">
        <f t="shared" ref="K14:P14" si="2">SUM(K5:K13)</f>
        <v>2.2801545855067</v>
      </c>
      <c r="L14" s="108">
        <f t="shared" si="2"/>
        <v>0.70738832527619999</v>
      </c>
      <c r="M14" s="108">
        <f t="shared" si="2"/>
        <v>0.3752139898147</v>
      </c>
      <c r="N14" s="108">
        <f t="shared" si="2"/>
        <v>0.2772283358671</v>
      </c>
      <c r="O14" s="108">
        <f t="shared" si="2"/>
        <v>8.3635543436000007E-2</v>
      </c>
      <c r="P14" s="108">
        <f t="shared" si="2"/>
        <v>7259.6520161999997</v>
      </c>
    </row>
    <row r="15" spans="1:16" x14ac:dyDescent="0.25">
      <c r="D15" s="1"/>
      <c r="E15" s="1"/>
      <c r="F15" s="1"/>
      <c r="G15" s="1"/>
      <c r="H15" s="1"/>
      <c r="I15" s="1"/>
      <c r="J15" s="1"/>
    </row>
    <row r="16" spans="1:16" x14ac:dyDescent="0.25">
      <c r="A16" s="1" t="s">
        <v>525</v>
      </c>
      <c r="C16">
        <v>0</v>
      </c>
      <c r="D16" s="1">
        <v>1187766362252.6638</v>
      </c>
      <c r="E16" s="1"/>
      <c r="F16" s="1"/>
      <c r="G16" s="1"/>
      <c r="H16" s="1"/>
      <c r="I16" s="1">
        <v>1</v>
      </c>
      <c r="J16" s="1"/>
      <c r="K16">
        <v>7.8001639591500005E-3</v>
      </c>
      <c r="L16">
        <v>6.00051215565E-2</v>
      </c>
      <c r="M16">
        <v>0.10584264469499999</v>
      </c>
      <c r="N16">
        <v>0.12069657054000001</v>
      </c>
      <c r="O16">
        <v>0.79740095152500001</v>
      </c>
      <c r="P16">
        <v>4434.1159851000002</v>
      </c>
    </row>
    <row r="17" spans="1:16" x14ac:dyDescent="0.25">
      <c r="A17" s="1" t="s">
        <v>526</v>
      </c>
      <c r="C17">
        <v>0</v>
      </c>
      <c r="D17" s="1">
        <v>1456611491628.615</v>
      </c>
      <c r="E17" s="1"/>
      <c r="F17" s="1"/>
      <c r="G17" s="1"/>
      <c r="H17" s="1"/>
      <c r="I17" s="1">
        <v>1</v>
      </c>
      <c r="J17" s="1"/>
      <c r="K17">
        <v>1.1364243884978E-2</v>
      </c>
      <c r="L17">
        <v>2.0540915542578699</v>
      </c>
      <c r="M17">
        <v>1.5221020822822902</v>
      </c>
      <c r="N17">
        <v>0.6062908099194001</v>
      </c>
      <c r="O17">
        <v>0.21299508620502</v>
      </c>
      <c r="P17">
        <v>15852.231411753002</v>
      </c>
    </row>
    <row r="18" spans="1:16" x14ac:dyDescent="0.25">
      <c r="A18" s="1" t="s">
        <v>527</v>
      </c>
      <c r="C18">
        <v>0</v>
      </c>
      <c r="D18" s="1">
        <v>1207772070015.2207</v>
      </c>
      <c r="E18" s="1"/>
      <c r="F18" s="1"/>
      <c r="G18" s="1">
        <v>1000</v>
      </c>
      <c r="H18" s="1"/>
      <c r="I18" s="1">
        <v>1</v>
      </c>
      <c r="J18" s="1"/>
      <c r="K18">
        <v>8.7550555740239996E-3</v>
      </c>
      <c r="L18">
        <v>0.35115887256</v>
      </c>
      <c r="M18">
        <v>1.6744370996320002</v>
      </c>
      <c r="N18">
        <v>0.30717574100399997</v>
      </c>
      <c r="O18">
        <v>0.1660735099392</v>
      </c>
      <c r="P18">
        <v>8979.9974988800004</v>
      </c>
    </row>
    <row r="19" spans="1:16" x14ac:dyDescent="0.25">
      <c r="A19" s="1" t="s">
        <v>609</v>
      </c>
      <c r="D19" s="1">
        <v>354800000000</v>
      </c>
      <c r="E19" s="1"/>
      <c r="F19" s="1"/>
      <c r="G19" s="1"/>
      <c r="H19" s="1"/>
      <c r="I19" s="1"/>
      <c r="J19" s="1"/>
      <c r="K19">
        <v>1.5638846496000001</v>
      </c>
      <c r="L19">
        <v>0.69916926239999999</v>
      </c>
      <c r="M19">
        <v>0.21200630640000001</v>
      </c>
      <c r="N19">
        <v>0.14179205880000001</v>
      </c>
      <c r="O19">
        <v>3.8256479519999997E-2</v>
      </c>
      <c r="P19">
        <v>3227.478576</v>
      </c>
    </row>
    <row r="20" spans="1:16" s="108" customFormat="1" x14ac:dyDescent="0.25">
      <c r="A20" s="106" t="s">
        <v>598</v>
      </c>
      <c r="C20" s="106">
        <f>SUM(C16:C18)</f>
        <v>0</v>
      </c>
      <c r="D20" s="106">
        <f>SUM(D16:D19)</f>
        <v>4206949923896.4995</v>
      </c>
      <c r="E20" s="106">
        <f>SUM(E16:E18)</f>
        <v>0</v>
      </c>
      <c r="F20" s="106">
        <f t="shared" ref="F20:J20" si="3">SUM(F16:F18)</f>
        <v>0</v>
      </c>
      <c r="G20" s="106">
        <f t="shared" si="3"/>
        <v>1000</v>
      </c>
      <c r="H20" s="106">
        <f t="shared" si="3"/>
        <v>0</v>
      </c>
      <c r="I20" s="106">
        <f t="shared" si="3"/>
        <v>3</v>
      </c>
      <c r="J20" s="106">
        <f t="shared" si="3"/>
        <v>0</v>
      </c>
      <c r="K20" s="108">
        <f t="shared" ref="K20:P20" si="4">SUM(K16:K19)</f>
        <v>1.5918041130181522</v>
      </c>
      <c r="L20" s="108">
        <f t="shared" si="4"/>
        <v>3.1644248107743698</v>
      </c>
      <c r="M20" s="108">
        <f t="shared" si="4"/>
        <v>3.5143881330092905</v>
      </c>
      <c r="N20" s="108">
        <f t="shared" si="4"/>
        <v>1.1759551802634003</v>
      </c>
      <c r="O20" s="108">
        <f t="shared" si="4"/>
        <v>1.2147260271892202</v>
      </c>
      <c r="P20" s="108">
        <f t="shared" si="4"/>
        <v>32493.823471733005</v>
      </c>
    </row>
    <row r="21" spans="1:16" x14ac:dyDescent="0.25">
      <c r="A21" s="1"/>
      <c r="C21" s="1"/>
      <c r="D21" s="1"/>
    </row>
    <row r="22" spans="1:16" x14ac:dyDescent="0.25">
      <c r="A22" s="1" t="s">
        <v>599</v>
      </c>
      <c r="C22" s="5">
        <f>SUM(C14:C18)</f>
        <v>71046768627804.219</v>
      </c>
      <c r="D22" s="5">
        <f>SUM(D14:D18)</f>
        <v>4911649923896.5</v>
      </c>
      <c r="E22" s="5">
        <f>SUM(E14:E18)</f>
        <v>1000</v>
      </c>
      <c r="F22" s="5">
        <f t="shared" ref="F22:J22" si="5">SUM(F14:F18)</f>
        <v>1000</v>
      </c>
      <c r="G22" s="5">
        <f t="shared" si="5"/>
        <v>1000</v>
      </c>
      <c r="H22" s="5">
        <f t="shared" si="5"/>
        <v>9.0009999999999994</v>
      </c>
      <c r="I22" s="5">
        <f t="shared" si="5"/>
        <v>12.000999999999999</v>
      </c>
      <c r="J22" s="5">
        <f t="shared" si="5"/>
        <v>9</v>
      </c>
      <c r="K22">
        <v>3.871958698524852</v>
      </c>
      <c r="L22">
        <v>3.8718131360505703</v>
      </c>
      <c r="M22">
        <v>4.8718131360505703</v>
      </c>
      <c r="N22">
        <v>1.4531835161305002</v>
      </c>
      <c r="O22">
        <v>1.2983615706252201</v>
      </c>
      <c r="P22">
        <v>39753.475487932999</v>
      </c>
    </row>
    <row r="23" spans="1:16" s="34" customFormat="1" x14ac:dyDescent="0.25">
      <c r="A23" s="34" t="s">
        <v>634</v>
      </c>
    </row>
    <row r="24" spans="1:16" s="3" customFormat="1" x14ac:dyDescent="0.25">
      <c r="A24" s="3" t="s">
        <v>635</v>
      </c>
      <c r="C24" s="3">
        <f>C14/C22</f>
        <v>1</v>
      </c>
      <c r="D24" s="3">
        <f>D14/D22</f>
        <v>0.21571162774554575</v>
      </c>
      <c r="E24" s="3">
        <f>E14/E22</f>
        <v>1</v>
      </c>
      <c r="F24" s="3">
        <f t="shared" ref="F24:J24" si="6">F14/F22</f>
        <v>1</v>
      </c>
      <c r="G24" s="3">
        <f t="shared" si="6"/>
        <v>0</v>
      </c>
      <c r="H24" s="3">
        <f t="shared" si="6"/>
        <v>1</v>
      </c>
      <c r="I24" s="3">
        <f t="shared" si="6"/>
        <v>0.75002083159736688</v>
      </c>
      <c r="J24" s="3">
        <f t="shared" si="6"/>
        <v>1</v>
      </c>
      <c r="K24" s="3">
        <f t="shared" ref="K24:P24" si="7">K14/K22</f>
        <v>0.58888918065561979</v>
      </c>
      <c r="L24" s="3">
        <f t="shared" si="7"/>
        <v>0.1827020830860058</v>
      </c>
      <c r="M24" s="3">
        <f t="shared" si="7"/>
        <v>7.7017319699350065E-2</v>
      </c>
      <c r="N24" s="3">
        <f t="shared" si="7"/>
        <v>0.19077310800035532</v>
      </c>
      <c r="O24" s="3">
        <f t="shared" si="7"/>
        <v>6.4416219124327365E-2</v>
      </c>
      <c r="P24" s="3">
        <f t="shared" si="7"/>
        <v>0.18261678827059125</v>
      </c>
    </row>
    <row r="25" spans="1:16" x14ac:dyDescent="0.25">
      <c r="A25" t="s">
        <v>640</v>
      </c>
      <c r="C25">
        <f t="shared" ref="C25:P25" si="8">C24*ABS(C90)</f>
        <v>1</v>
      </c>
      <c r="D25">
        <f t="shared" si="8"/>
        <v>3.9095513203845876E-2</v>
      </c>
      <c r="E25">
        <f t="shared" si="8"/>
        <v>0.99997794139209573</v>
      </c>
      <c r="F25">
        <f t="shared" si="8"/>
        <v>0.12518840683079099</v>
      </c>
      <c r="G25" t="e">
        <f t="shared" si="8"/>
        <v>#DIV/0!</v>
      </c>
      <c r="H25">
        <f t="shared" si="8"/>
        <v>0.99997794139209584</v>
      </c>
      <c r="I25">
        <f t="shared" si="8"/>
        <v>0.75000428718192258</v>
      </c>
      <c r="J25">
        <f t="shared" si="8"/>
        <v>0.18560129390016616</v>
      </c>
      <c r="K25">
        <f t="shared" si="8"/>
        <v>7.1942214823355652E-2</v>
      </c>
      <c r="L25">
        <f t="shared" si="8"/>
        <v>3.5037477883841463E-2</v>
      </c>
      <c r="M25">
        <f t="shared" si="8"/>
        <v>1.4505759767181043E-2</v>
      </c>
      <c r="N25">
        <f t="shared" si="8"/>
        <v>2.1980562585464436E-2</v>
      </c>
      <c r="O25">
        <f t="shared" si="8"/>
        <v>1.0009534978689704E-2</v>
      </c>
      <c r="P25">
        <f t="shared" si="8"/>
        <v>2.8442715609206248E-2</v>
      </c>
    </row>
    <row r="27" spans="1:16" s="34" customFormat="1" x14ac:dyDescent="0.25">
      <c r="A27" s="34" t="s">
        <v>600</v>
      </c>
      <c r="C27" s="34" t="s">
        <v>172</v>
      </c>
      <c r="D27" s="34" t="s">
        <v>172</v>
      </c>
      <c r="E27" s="34" t="s">
        <v>172</v>
      </c>
      <c r="F27" s="34" t="s">
        <v>172</v>
      </c>
      <c r="G27" s="34" t="s">
        <v>172</v>
      </c>
      <c r="H27" s="34" t="s">
        <v>172</v>
      </c>
      <c r="I27" s="34" t="s">
        <v>172</v>
      </c>
      <c r="J27" s="34" t="s">
        <v>172</v>
      </c>
      <c r="K27" s="34" t="s">
        <v>626</v>
      </c>
      <c r="L27" s="34" t="s">
        <v>626</v>
      </c>
      <c r="M27" s="34" t="s">
        <v>626</v>
      </c>
      <c r="N27" s="34" t="s">
        <v>627</v>
      </c>
      <c r="O27" s="34" t="s">
        <v>627</v>
      </c>
      <c r="P27" s="34" t="s">
        <v>628</v>
      </c>
    </row>
    <row r="28" spans="1:16" x14ac:dyDescent="0.25">
      <c r="A28" s="1" t="s">
        <v>517</v>
      </c>
      <c r="C28">
        <f t="shared" ref="C28:P28" si="9">C5/$C5</f>
        <v>1</v>
      </c>
      <c r="D28">
        <f t="shared" si="9"/>
        <v>0.23929223648535958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3.9815679947647182E-12</v>
      </c>
      <c r="I28">
        <f t="shared" si="9"/>
        <v>3.9815679947647182E-12</v>
      </c>
      <c r="J28">
        <f t="shared" si="9"/>
        <v>0</v>
      </c>
      <c r="K28">
        <f t="shared" si="9"/>
        <v>2.3550295831690201E-14</v>
      </c>
      <c r="L28">
        <f t="shared" si="9"/>
        <v>1.7853538420377552E-12</v>
      </c>
      <c r="M28">
        <f t="shared" ref="M28" si="10">M5/$C5</f>
        <v>9.4512693243535212E-13</v>
      </c>
      <c r="N28">
        <f t="shared" si="9"/>
        <v>1.4694063482861478E-13</v>
      </c>
      <c r="O28">
        <f t="shared" si="9"/>
        <v>3.4751905447476635E-14</v>
      </c>
      <c r="P28">
        <f t="shared" si="9"/>
        <v>3.0205455678709072E-9</v>
      </c>
    </row>
    <row r="29" spans="1:16" x14ac:dyDescent="0.25">
      <c r="A29" s="1" t="s">
        <v>481</v>
      </c>
      <c r="C29">
        <f t="shared" ref="C29:P29" si="11">C6/$C6</f>
        <v>1</v>
      </c>
      <c r="D29">
        <f t="shared" si="11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5.1397208430679466E-11</v>
      </c>
      <c r="I29">
        <f t="shared" si="11"/>
        <v>5.1397208430679466E-11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ref="M29" si="12">M6/$C6</f>
        <v>0</v>
      </c>
      <c r="N29">
        <f t="shared" si="11"/>
        <v>0</v>
      </c>
      <c r="O29">
        <f t="shared" si="11"/>
        <v>0</v>
      </c>
      <c r="P29">
        <f t="shared" si="11"/>
        <v>0</v>
      </c>
    </row>
    <row r="30" spans="1:16" x14ac:dyDescent="0.25">
      <c r="A30" s="1" t="s">
        <v>531</v>
      </c>
      <c r="C30">
        <f t="shared" ref="C30:P30" si="13">C7/$C7</f>
        <v>1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2.2016287934737755E-10</v>
      </c>
      <c r="I30">
        <f t="shared" si="13"/>
        <v>2.2016287934737755E-10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ref="M30" si="14">M7/$C7</f>
        <v>0</v>
      </c>
      <c r="N30">
        <f t="shared" si="13"/>
        <v>0</v>
      </c>
      <c r="O30">
        <f t="shared" si="13"/>
        <v>0</v>
      </c>
      <c r="P30">
        <f t="shared" si="13"/>
        <v>0</v>
      </c>
    </row>
    <row r="31" spans="1:16" x14ac:dyDescent="0.25">
      <c r="A31" s="1" t="s">
        <v>508</v>
      </c>
      <c r="C31">
        <f t="shared" ref="C31:P31" si="15">C8/$C8</f>
        <v>1</v>
      </c>
      <c r="D31">
        <f t="shared" si="15"/>
        <v>0</v>
      </c>
      <c r="E31">
        <f t="shared" si="15"/>
        <v>0</v>
      </c>
      <c r="F31">
        <f t="shared" si="15"/>
        <v>0</v>
      </c>
      <c r="G31">
        <f t="shared" si="15"/>
        <v>0</v>
      </c>
      <c r="H31">
        <f t="shared" si="15"/>
        <v>7.0311090798501947E-11</v>
      </c>
      <c r="I31">
        <f t="shared" si="15"/>
        <v>7.0311090798501947E-11</v>
      </c>
      <c r="J31">
        <f t="shared" si="15"/>
        <v>0</v>
      </c>
      <c r="K31">
        <f t="shared" si="15"/>
        <v>0</v>
      </c>
      <c r="L31">
        <f t="shared" si="15"/>
        <v>0</v>
      </c>
      <c r="M31">
        <f t="shared" ref="M31" si="16">M8/$C8</f>
        <v>0</v>
      </c>
      <c r="N31">
        <f t="shared" si="15"/>
        <v>0</v>
      </c>
      <c r="O31">
        <f t="shared" si="15"/>
        <v>0</v>
      </c>
      <c r="P31">
        <f t="shared" si="15"/>
        <v>0</v>
      </c>
    </row>
    <row r="32" spans="1:16" x14ac:dyDescent="0.25">
      <c r="A32" s="1" t="s">
        <v>509</v>
      </c>
      <c r="C32">
        <f t="shared" ref="C32:P32" si="17">C9/$C9</f>
        <v>1</v>
      </c>
      <c r="D32">
        <f t="shared" si="17"/>
        <v>0.9603152555311899</v>
      </c>
      <c r="E32">
        <f t="shared" si="17"/>
        <v>0</v>
      </c>
      <c r="F32">
        <f t="shared" si="17"/>
        <v>0</v>
      </c>
      <c r="G32">
        <f t="shared" si="17"/>
        <v>0</v>
      </c>
      <c r="H32">
        <f t="shared" si="17"/>
        <v>2.3029142818493765E-12</v>
      </c>
      <c r="I32">
        <f t="shared" si="17"/>
        <v>2.3029142818493765E-12</v>
      </c>
      <c r="J32">
        <f t="shared" si="17"/>
        <v>1.0363114268322194E-11</v>
      </c>
      <c r="K32">
        <f t="shared" si="17"/>
        <v>5.181339969344318E-12</v>
      </c>
      <c r="L32">
        <f t="shared" si="17"/>
        <v>3.9320999365551652E-13</v>
      </c>
      <c r="M32">
        <f t="shared" ref="M32" si="18">M9/$C9</f>
        <v>5.8307617968258426E-14</v>
      </c>
      <c r="N32">
        <f t="shared" si="17"/>
        <v>4.8404107817736324E-13</v>
      </c>
      <c r="O32">
        <f t="shared" si="17"/>
        <v>1.4879855283901889E-13</v>
      </c>
      <c r="P32">
        <f t="shared" si="17"/>
        <v>1.3239770166191535E-8</v>
      </c>
    </row>
    <row r="33" spans="1:16" x14ac:dyDescent="0.25">
      <c r="A33" s="1" t="s">
        <v>518</v>
      </c>
      <c r="C33">
        <f t="shared" ref="C33:P33" si="19">C10/$C10</f>
        <v>1</v>
      </c>
      <c r="D33">
        <f t="shared" si="19"/>
        <v>3.9964724872848851</v>
      </c>
      <c r="E33">
        <f t="shared" si="19"/>
        <v>0</v>
      </c>
      <c r="F33">
        <f t="shared" si="19"/>
        <v>7.484030875065328E-9</v>
      </c>
      <c r="G33">
        <f t="shared" si="19"/>
        <v>0</v>
      </c>
      <c r="H33">
        <f t="shared" si="19"/>
        <v>7.4840308750653288E-12</v>
      </c>
      <c r="I33">
        <f t="shared" si="19"/>
        <v>7.4840308750653288E-12</v>
      </c>
      <c r="J33">
        <f t="shared" si="19"/>
        <v>3.3678138937793975E-11</v>
      </c>
      <c r="K33">
        <f t="shared" si="19"/>
        <v>1.805817735665333E-13</v>
      </c>
      <c r="L33">
        <f t="shared" si="19"/>
        <v>6.4579053643174685E-13</v>
      </c>
      <c r="M33">
        <f t="shared" ref="M33" si="20">M10/$C10</f>
        <v>8.3890204579404322E-13</v>
      </c>
      <c r="N33">
        <f t="shared" si="19"/>
        <v>1.1268983595071647E-13</v>
      </c>
      <c r="O33">
        <f t="shared" si="19"/>
        <v>6.4407069148891164E-14</v>
      </c>
      <c r="P33">
        <f t="shared" si="19"/>
        <v>4.8461286001466596E-9</v>
      </c>
    </row>
    <row r="34" spans="1:16" x14ac:dyDescent="0.25">
      <c r="A34" s="1" t="s">
        <v>519</v>
      </c>
      <c r="C34">
        <f t="shared" ref="C34:P34" si="21">C11/$C11</f>
        <v>1</v>
      </c>
      <c r="D34">
        <f t="shared" si="21"/>
        <v>2.3467788330654358E-4</v>
      </c>
      <c r="E34">
        <f t="shared" si="21"/>
        <v>1.4309627030886803E-11</v>
      </c>
      <c r="F34">
        <f t="shared" si="21"/>
        <v>0</v>
      </c>
      <c r="G34">
        <f t="shared" si="21"/>
        <v>0</v>
      </c>
      <c r="H34">
        <f t="shared" si="21"/>
        <v>1.4323936657917688E-14</v>
      </c>
      <c r="I34">
        <f t="shared" si="21"/>
        <v>1.4323936657917688E-14</v>
      </c>
      <c r="J34">
        <f t="shared" si="21"/>
        <v>0</v>
      </c>
      <c r="K34">
        <f t="shared" si="21"/>
        <v>1.4169057125230238E-18</v>
      </c>
      <c r="L34">
        <f t="shared" si="21"/>
        <v>1.0242395872950765E-18</v>
      </c>
      <c r="M34">
        <f t="shared" ref="M34" si="22">M11/$C11</f>
        <v>1.8977971134189253E-19</v>
      </c>
      <c r="N34">
        <f t="shared" si="21"/>
        <v>1.2696856366578869E-16</v>
      </c>
      <c r="O34">
        <f t="shared" si="21"/>
        <v>4.0273331989447909E-18</v>
      </c>
      <c r="P34">
        <f t="shared" si="21"/>
        <v>2.4578876493019999E-14</v>
      </c>
    </row>
    <row r="35" spans="1:16" x14ac:dyDescent="0.25">
      <c r="A35" s="1" t="s">
        <v>515</v>
      </c>
      <c r="C35">
        <f t="shared" ref="C35:P35" si="23">C12/$C12</f>
        <v>1</v>
      </c>
      <c r="D35">
        <f t="shared" si="23"/>
        <v>0</v>
      </c>
      <c r="E35">
        <f t="shared" si="23"/>
        <v>0</v>
      </c>
      <c r="F35">
        <f t="shared" si="23"/>
        <v>0</v>
      </c>
      <c r="G35">
        <f t="shared" si="23"/>
        <v>0</v>
      </c>
      <c r="H35">
        <f t="shared" si="23"/>
        <v>1.4861234443923753E-10</v>
      </c>
      <c r="I35">
        <f t="shared" si="23"/>
        <v>1.4861234443923753E-10</v>
      </c>
      <c r="J35">
        <f t="shared" si="23"/>
        <v>0</v>
      </c>
      <c r="K35">
        <f t="shared" si="23"/>
        <v>0</v>
      </c>
      <c r="L35">
        <f t="shared" si="23"/>
        <v>0</v>
      </c>
      <c r="M35">
        <f t="shared" ref="M35" si="24">M12/$C12</f>
        <v>0</v>
      </c>
      <c r="N35">
        <f t="shared" si="23"/>
        <v>0</v>
      </c>
      <c r="O35">
        <f t="shared" si="23"/>
        <v>0</v>
      </c>
      <c r="P35">
        <f t="shared" si="23"/>
        <v>0</v>
      </c>
    </row>
    <row r="36" spans="1:16" x14ac:dyDescent="0.25">
      <c r="A36" s="1" t="s">
        <v>516</v>
      </c>
      <c r="B36" s="110"/>
      <c r="C36">
        <f t="shared" ref="C36:P36" si="25">C13/$C13</f>
        <v>1</v>
      </c>
      <c r="D36">
        <f t="shared" si="25"/>
        <v>0.10674214110801392</v>
      </c>
      <c r="E36">
        <f t="shared" si="25"/>
        <v>0</v>
      </c>
      <c r="F36">
        <f t="shared" si="25"/>
        <v>0</v>
      </c>
      <c r="G36">
        <f t="shared" si="25"/>
        <v>0</v>
      </c>
      <c r="H36">
        <f t="shared" si="25"/>
        <v>3.3356919096254345E-12</v>
      </c>
      <c r="I36">
        <f t="shared" si="25"/>
        <v>3.3356919096254345E-12</v>
      </c>
      <c r="J36">
        <f t="shared" si="25"/>
        <v>0</v>
      </c>
      <c r="K36">
        <f t="shared" si="25"/>
        <v>3.5389286127259021E-16</v>
      </c>
      <c r="L36">
        <f t="shared" si="25"/>
        <v>6.2657143148001545E-15</v>
      </c>
      <c r="M36">
        <f t="shared" ref="M36" si="26">M13/$C13</f>
        <v>1.3804280294780685E-15</v>
      </c>
      <c r="N36">
        <f t="shared" si="25"/>
        <v>2.070290145399097E-14</v>
      </c>
      <c r="O36">
        <f t="shared" si="25"/>
        <v>4.6927154237457264E-15</v>
      </c>
      <c r="P36">
        <f t="shared" si="25"/>
        <v>3.4236137434101511E-10</v>
      </c>
    </row>
    <row r="37" spans="1:16" s="108" customFormat="1" x14ac:dyDescent="0.25">
      <c r="A37" s="106" t="s">
        <v>597</v>
      </c>
      <c r="B37" s="113"/>
      <c r="C37" s="108">
        <f t="shared" ref="C37:P37" si="27">C14/$C14</f>
        <v>1</v>
      </c>
      <c r="D37" s="108">
        <f t="shared" si="27"/>
        <v>1.4912712012990324E-2</v>
      </c>
      <c r="E37" s="108">
        <f t="shared" si="27"/>
        <v>1.4075235500698747E-11</v>
      </c>
      <c r="F37" s="108">
        <f t="shared" si="27"/>
        <v>1.4075235500698747E-11</v>
      </c>
      <c r="G37" s="108">
        <f t="shared" si="27"/>
        <v>0</v>
      </c>
      <c r="H37" s="108">
        <f t="shared" si="27"/>
        <v>1.2669119474178942E-13</v>
      </c>
      <c r="I37" s="108">
        <f t="shared" si="27"/>
        <v>1.2669119474178942E-13</v>
      </c>
      <c r="J37" s="108">
        <f t="shared" si="27"/>
        <v>1.2667711950628872E-13</v>
      </c>
      <c r="K37" s="108">
        <f t="shared" si="27"/>
        <v>3.2093712769004941E-14</v>
      </c>
      <c r="L37" s="108">
        <f t="shared" si="27"/>
        <v>9.9566572687074041E-15</v>
      </c>
      <c r="M37" s="108">
        <f t="shared" ref="M37" si="28">M14/$C14</f>
        <v>5.2812252697986836E-15</v>
      </c>
      <c r="N37" s="108">
        <f t="shared" si="27"/>
        <v>3.9020541147962416E-15</v>
      </c>
      <c r="O37" s="108">
        <f t="shared" si="27"/>
        <v>1.1771899700906195E-15</v>
      </c>
      <c r="P37" s="108">
        <f t="shared" si="27"/>
        <v>1.0218131178113748E-10</v>
      </c>
    </row>
    <row r="38" spans="1:16" s="108" customFormat="1" x14ac:dyDescent="0.25">
      <c r="A38" s="106"/>
      <c r="B38" s="113"/>
    </row>
    <row r="39" spans="1:16" s="108" customFormat="1" x14ac:dyDescent="0.25">
      <c r="A39" s="106"/>
      <c r="B39" s="113"/>
      <c r="C39" s="108">
        <f>SUM(C28:C36)</f>
        <v>9</v>
      </c>
      <c r="D39" s="108">
        <f>SUM(D28:D36)</f>
        <v>5.3030567982927552</v>
      </c>
      <c r="E39" s="108">
        <f t="shared" ref="E39:P39" si="29">SUM(E28:E36)</f>
        <v>1.4309627030886803E-11</v>
      </c>
      <c r="F39" s="108">
        <f t="shared" si="29"/>
        <v>7.484030875065328E-9</v>
      </c>
      <c r="G39" s="108">
        <f t="shared" si="29"/>
        <v>0</v>
      </c>
      <c r="H39" s="108">
        <f t="shared" si="29"/>
        <v>5.0760205201375933E-10</v>
      </c>
      <c r="I39" s="108">
        <f t="shared" si="29"/>
        <v>5.0760205201375933E-10</v>
      </c>
      <c r="J39" s="108">
        <f t="shared" si="29"/>
        <v>4.404125320611617E-11</v>
      </c>
      <c r="K39" s="108">
        <f t="shared" si="29"/>
        <v>5.3858273485095267E-12</v>
      </c>
      <c r="L39" s="108">
        <f t="shared" si="29"/>
        <v>2.8306211106794059E-12</v>
      </c>
      <c r="M39" s="108">
        <f t="shared" si="29"/>
        <v>1.8437172140068429E-12</v>
      </c>
      <c r="N39" s="108">
        <f t="shared" si="29"/>
        <v>7.6450141897435117E-13</v>
      </c>
      <c r="O39" s="108">
        <f t="shared" si="29"/>
        <v>2.5265427019233135E-13</v>
      </c>
      <c r="P39" s="108">
        <f t="shared" si="29"/>
        <v>2.1448830287426609E-8</v>
      </c>
    </row>
    <row r="40" spans="1:16" s="108" customFormat="1" x14ac:dyDescent="0.25">
      <c r="A40" s="106" t="s">
        <v>644</v>
      </c>
      <c r="B40" s="113"/>
      <c r="D40" s="108">
        <f>D39/9</f>
        <v>0.58922853314363943</v>
      </c>
      <c r="E40" s="108">
        <f t="shared" ref="E40:P40" si="30">E39/9</f>
        <v>1.5899585589874226E-12</v>
      </c>
      <c r="F40" s="108">
        <f t="shared" si="30"/>
        <v>8.315589861183698E-10</v>
      </c>
      <c r="G40" s="108">
        <f t="shared" si="30"/>
        <v>0</v>
      </c>
      <c r="H40" s="108">
        <f t="shared" si="30"/>
        <v>5.6400228001528813E-11</v>
      </c>
      <c r="I40" s="108">
        <f t="shared" si="30"/>
        <v>5.6400228001528813E-11</v>
      </c>
      <c r="J40" s="108">
        <f t="shared" si="30"/>
        <v>4.8934725784573524E-12</v>
      </c>
      <c r="K40" s="108">
        <f t="shared" si="30"/>
        <v>5.9842526094550296E-13</v>
      </c>
      <c r="L40" s="108">
        <f t="shared" si="30"/>
        <v>3.1451345674215622E-13</v>
      </c>
      <c r="M40" s="108">
        <f t="shared" si="30"/>
        <v>2.0485746822298255E-13</v>
      </c>
      <c r="N40" s="108">
        <f t="shared" si="30"/>
        <v>8.4944602108261245E-14</v>
      </c>
      <c r="O40" s="108">
        <f t="shared" si="30"/>
        <v>2.8072696688036815E-14</v>
      </c>
      <c r="P40" s="108">
        <f t="shared" si="30"/>
        <v>2.3832033652696234E-9</v>
      </c>
    </row>
    <row r="41" spans="1:16" s="108" customFormat="1" x14ac:dyDescent="0.25">
      <c r="A41" s="106"/>
      <c r="B41" s="113"/>
    </row>
    <row r="42" spans="1:16" s="106" customFormat="1" x14ac:dyDescent="0.25">
      <c r="B42" s="117"/>
      <c r="D42" s="106">
        <f>D24/D40</f>
        <v>0.36609161914594612</v>
      </c>
      <c r="E42" s="106">
        <f t="shared" ref="E42:P42" si="31">E24/E40</f>
        <v>628947210194.49573</v>
      </c>
      <c r="F42" s="106">
        <f t="shared" si="31"/>
        <v>1202560511.8740828</v>
      </c>
      <c r="G42" s="106" t="e">
        <f t="shared" si="31"/>
        <v>#DIV/0!</v>
      </c>
      <c r="H42" s="106">
        <f t="shared" si="31"/>
        <v>17730424777.234829</v>
      </c>
      <c r="I42" s="106">
        <f t="shared" si="31"/>
        <v>13298187935.996223</v>
      </c>
      <c r="J42" s="106">
        <f t="shared" si="31"/>
        <v>204353857913.15622</v>
      </c>
      <c r="K42" s="106">
        <f t="shared" si="31"/>
        <v>984064709643.4126</v>
      </c>
      <c r="L42" s="106">
        <f t="shared" si="31"/>
        <v>580903866494.29834</v>
      </c>
      <c r="M42" s="106">
        <f t="shared" si="31"/>
        <v>375955635727.75641</v>
      </c>
      <c r="N42" s="106">
        <f t="shared" si="31"/>
        <v>2245853218044.5845</v>
      </c>
      <c r="O42" s="106">
        <f t="shared" si="31"/>
        <v>2294621704504.019</v>
      </c>
      <c r="P42" s="106">
        <f t="shared" si="31"/>
        <v>76626607.251341686</v>
      </c>
    </row>
    <row r="43" spans="1:16" s="108" customFormat="1" x14ac:dyDescent="0.25">
      <c r="A43" s="106"/>
      <c r="B43" s="113"/>
      <c r="D43" s="108">
        <f>D40/D24</f>
        <v>2.7315566587754629</v>
      </c>
      <c r="E43" s="108">
        <f t="shared" ref="E43:P43" si="32">E40/E24</f>
        <v>1.5899585589874226E-12</v>
      </c>
      <c r="F43" s="108">
        <f t="shared" si="32"/>
        <v>8.315589861183698E-10</v>
      </c>
      <c r="G43" s="108" t="e">
        <f t="shared" si="32"/>
        <v>#DIV/0!</v>
      </c>
      <c r="H43" s="108">
        <f t="shared" si="32"/>
        <v>5.6400228001528813E-11</v>
      </c>
      <c r="I43" s="108">
        <f t="shared" si="32"/>
        <v>7.5198215336778941E-11</v>
      </c>
      <c r="J43" s="108">
        <f t="shared" si="32"/>
        <v>4.8934725784573524E-12</v>
      </c>
      <c r="K43" s="108">
        <f t="shared" si="32"/>
        <v>1.0161933358654449E-12</v>
      </c>
      <c r="L43" s="108">
        <f t="shared" si="32"/>
        <v>1.7214552315427136E-12</v>
      </c>
      <c r="M43" s="108">
        <f t="shared" si="32"/>
        <v>2.6598883085347269E-12</v>
      </c>
      <c r="N43" s="108">
        <f t="shared" si="32"/>
        <v>4.4526507430021547E-13</v>
      </c>
      <c r="O43" s="108">
        <f t="shared" si="32"/>
        <v>4.3580168270749858E-13</v>
      </c>
      <c r="P43" s="108">
        <f t="shared" si="32"/>
        <v>1.30502972253478E-8</v>
      </c>
    </row>
    <row r="44" spans="1:16" s="108" customFormat="1" x14ac:dyDescent="0.25">
      <c r="A44" s="106"/>
      <c r="B44" s="113"/>
    </row>
    <row r="45" spans="1:16" s="108" customFormat="1" x14ac:dyDescent="0.25">
      <c r="A45" s="106"/>
      <c r="B45" s="113"/>
    </row>
    <row r="46" spans="1:16" x14ac:dyDescent="0.25">
      <c r="A46" s="109"/>
      <c r="B46" s="110"/>
      <c r="C46" s="110"/>
    </row>
    <row r="47" spans="1:16" s="34" customFormat="1" x14ac:dyDescent="0.25">
      <c r="A47" s="116" t="s">
        <v>616</v>
      </c>
      <c r="C47" s="115"/>
    </row>
    <row r="48" spans="1:16" x14ac:dyDescent="0.25">
      <c r="A48" s="1" t="s">
        <v>517</v>
      </c>
      <c r="C48" s="112">
        <f t="shared" ref="C48:P48" si="33">C5/C$22</f>
        <v>3.5350986142158023E-3</v>
      </c>
      <c r="D48" s="112">
        <f t="shared" si="33"/>
        <v>1.2236214089199907E-2</v>
      </c>
      <c r="E48" s="112">
        <f t="shared" si="33"/>
        <v>0</v>
      </c>
      <c r="F48" s="112">
        <f t="shared" si="33"/>
        <v>0</v>
      </c>
      <c r="G48" s="112">
        <f t="shared" si="33"/>
        <v>0</v>
      </c>
      <c r="H48" s="112">
        <f t="shared" si="33"/>
        <v>0.11109876680368849</v>
      </c>
      <c r="I48" s="112">
        <f t="shared" si="33"/>
        <v>8.3326389467544379E-2</v>
      </c>
      <c r="J48" s="112">
        <f t="shared" si="33"/>
        <v>0</v>
      </c>
      <c r="K48" s="112">
        <f t="shared" si="33"/>
        <v>1.5276065579556532E-3</v>
      </c>
      <c r="L48" s="112">
        <f t="shared" si="33"/>
        <v>0.11581259070198663</v>
      </c>
      <c r="M48" s="112">
        <f t="shared" ref="M48" si="34">M5/M$22</f>
        <v>4.8724274386359796E-2</v>
      </c>
      <c r="N48" s="112">
        <f t="shared" si="33"/>
        <v>2.5396116588406029E-2</v>
      </c>
      <c r="O48" s="112">
        <f t="shared" si="33"/>
        <v>6.7224693779229594E-3</v>
      </c>
      <c r="P48" s="112">
        <f t="shared" si="33"/>
        <v>1.9083417504723067E-2</v>
      </c>
    </row>
    <row r="49" spans="1:16" x14ac:dyDescent="0.25">
      <c r="A49" s="1" t="s">
        <v>481</v>
      </c>
      <c r="C49" s="112">
        <f t="shared" ref="C49:P49" si="35">C6/C$22</f>
        <v>2.7385213964844655E-4</v>
      </c>
      <c r="D49" s="112">
        <f t="shared" si="35"/>
        <v>0</v>
      </c>
      <c r="E49" s="112">
        <f t="shared" si="35"/>
        <v>0</v>
      </c>
      <c r="F49" s="112">
        <f t="shared" si="35"/>
        <v>0</v>
      </c>
      <c r="G49" s="112">
        <f t="shared" si="35"/>
        <v>0</v>
      </c>
      <c r="H49" s="112">
        <f t="shared" si="35"/>
        <v>0.11109876680368849</v>
      </c>
      <c r="I49" s="112">
        <f t="shared" si="35"/>
        <v>8.3326389467544379E-2</v>
      </c>
      <c r="J49" s="112">
        <f t="shared" si="35"/>
        <v>0</v>
      </c>
      <c r="K49" s="112">
        <f t="shared" si="35"/>
        <v>0</v>
      </c>
      <c r="L49" s="112">
        <f t="shared" si="35"/>
        <v>0</v>
      </c>
      <c r="M49" s="112">
        <f t="shared" ref="M49" si="36">M6/M$22</f>
        <v>0</v>
      </c>
      <c r="N49" s="112">
        <f t="shared" si="35"/>
        <v>0</v>
      </c>
      <c r="O49" s="112">
        <f t="shared" si="35"/>
        <v>0</v>
      </c>
      <c r="P49" s="112">
        <f t="shared" si="35"/>
        <v>0</v>
      </c>
    </row>
    <row r="50" spans="1:16" x14ac:dyDescent="0.25">
      <c r="A50" s="1" t="s">
        <v>531</v>
      </c>
      <c r="C50" s="112">
        <f t="shared" ref="C50:P50" si="37">C7/C$22</f>
        <v>6.393101117873076E-5</v>
      </c>
      <c r="D50" s="112">
        <f t="shared" si="37"/>
        <v>0</v>
      </c>
      <c r="E50" s="112">
        <f t="shared" si="37"/>
        <v>0</v>
      </c>
      <c r="F50" s="112">
        <f t="shared" si="37"/>
        <v>0</v>
      </c>
      <c r="G50" s="112">
        <f t="shared" si="37"/>
        <v>0</v>
      </c>
      <c r="H50" s="112">
        <f t="shared" si="37"/>
        <v>0.11109876680368849</v>
      </c>
      <c r="I50" s="112">
        <f t="shared" si="37"/>
        <v>8.3326389467544379E-2</v>
      </c>
      <c r="J50" s="112">
        <f t="shared" si="37"/>
        <v>0</v>
      </c>
      <c r="K50" s="112">
        <f t="shared" si="37"/>
        <v>0</v>
      </c>
      <c r="L50" s="112">
        <f t="shared" si="37"/>
        <v>0</v>
      </c>
      <c r="M50" s="112">
        <f t="shared" ref="M50" si="38">M7/M$22</f>
        <v>0</v>
      </c>
      <c r="N50" s="112">
        <f t="shared" si="37"/>
        <v>0</v>
      </c>
      <c r="O50" s="112">
        <f t="shared" si="37"/>
        <v>0</v>
      </c>
      <c r="P50" s="112">
        <f t="shared" si="37"/>
        <v>0</v>
      </c>
    </row>
    <row r="51" spans="1:16" x14ac:dyDescent="0.25">
      <c r="A51" s="1" t="s">
        <v>508</v>
      </c>
      <c r="C51" s="112">
        <f t="shared" ref="C51:P51" si="39">C8/C$22</f>
        <v>2.0018513922697719E-4</v>
      </c>
      <c r="D51" s="112">
        <f t="shared" si="39"/>
        <v>0</v>
      </c>
      <c r="E51" s="112">
        <f t="shared" si="39"/>
        <v>0</v>
      </c>
      <c r="F51" s="112">
        <f t="shared" si="39"/>
        <v>0</v>
      </c>
      <c r="G51" s="112">
        <f t="shared" si="39"/>
        <v>0</v>
      </c>
      <c r="H51" s="112">
        <f t="shared" si="39"/>
        <v>0.11109876680368849</v>
      </c>
      <c r="I51" s="112">
        <f t="shared" si="39"/>
        <v>8.3326389467544379E-2</v>
      </c>
      <c r="J51" s="112">
        <f t="shared" si="39"/>
        <v>0</v>
      </c>
      <c r="K51" s="112">
        <f t="shared" si="39"/>
        <v>0</v>
      </c>
      <c r="L51" s="112">
        <f t="shared" si="39"/>
        <v>0</v>
      </c>
      <c r="M51" s="112">
        <f t="shared" ref="M51" si="40">M8/M$22</f>
        <v>0</v>
      </c>
      <c r="N51" s="112">
        <f t="shared" si="39"/>
        <v>0</v>
      </c>
      <c r="O51" s="112">
        <f t="shared" si="39"/>
        <v>0</v>
      </c>
      <c r="P51" s="112">
        <f t="shared" si="39"/>
        <v>0</v>
      </c>
    </row>
    <row r="52" spans="1:16" x14ac:dyDescent="0.25">
      <c r="A52" s="1" t="s">
        <v>509</v>
      </c>
      <c r="C52" s="112">
        <f t="shared" ref="C52:P52" si="41">C9/C$22</f>
        <v>6.1119233189155008E-3</v>
      </c>
      <c r="D52" s="112">
        <f t="shared" si="41"/>
        <v>8.4900187607260577E-2</v>
      </c>
      <c r="E52" s="112">
        <f t="shared" si="41"/>
        <v>0</v>
      </c>
      <c r="F52" s="112">
        <f t="shared" si="41"/>
        <v>0</v>
      </c>
      <c r="G52" s="112">
        <f t="shared" si="41"/>
        <v>0</v>
      </c>
      <c r="H52" s="112">
        <f t="shared" si="41"/>
        <v>0.11109876680368849</v>
      </c>
      <c r="I52" s="112">
        <f t="shared" si="41"/>
        <v>8.3326389467544379E-2</v>
      </c>
      <c r="J52" s="112">
        <f t="shared" si="41"/>
        <v>0.5</v>
      </c>
      <c r="K52" s="112">
        <f t="shared" si="41"/>
        <v>0.581076885158195</v>
      </c>
      <c r="L52" s="112">
        <f t="shared" si="41"/>
        <v>4.4099369985135022E-2</v>
      </c>
      <c r="M52" s="112">
        <f t="shared" ref="M52" si="42">M9/M$22</f>
        <v>5.1970501111061459E-3</v>
      </c>
      <c r="N52" s="112">
        <f t="shared" si="41"/>
        <v>0.14463852477468142</v>
      </c>
      <c r="O52" s="112">
        <f t="shared" si="41"/>
        <v>4.9765145905301122E-2</v>
      </c>
      <c r="P52" s="112">
        <f t="shared" si="41"/>
        <v>0.14461973775714596</v>
      </c>
    </row>
    <row r="53" spans="1:16" x14ac:dyDescent="0.25">
      <c r="A53" s="1" t="s">
        <v>518</v>
      </c>
      <c r="C53" s="112">
        <f t="shared" ref="C53:P53" si="43">C10/C$22</f>
        <v>1.8807024898298385E-3</v>
      </c>
      <c r="D53" s="112">
        <f t="shared" si="43"/>
        <v>0.10872110355462146</v>
      </c>
      <c r="E53" s="112">
        <f t="shared" si="43"/>
        <v>0</v>
      </c>
      <c r="F53" s="112">
        <f t="shared" si="43"/>
        <v>1</v>
      </c>
      <c r="G53" s="112">
        <f t="shared" si="43"/>
        <v>0</v>
      </c>
      <c r="H53" s="112">
        <f t="shared" si="43"/>
        <v>0.11109876680368849</v>
      </c>
      <c r="I53" s="112">
        <f t="shared" si="43"/>
        <v>8.3326389467544379E-2</v>
      </c>
      <c r="J53" s="112">
        <f t="shared" si="43"/>
        <v>0.5</v>
      </c>
      <c r="K53" s="112">
        <f t="shared" si="43"/>
        <v>6.2317156355238762E-3</v>
      </c>
      <c r="L53" s="112">
        <f t="shared" si="43"/>
        <v>2.2286492164035304E-2</v>
      </c>
      <c r="M53" s="112">
        <f t="shared" ref="M53" si="44">M10/M$22</f>
        <v>2.3008328052493771E-2</v>
      </c>
      <c r="N53" s="112">
        <f t="shared" si="43"/>
        <v>1.0361645105357638E-2</v>
      </c>
      <c r="O53" s="112">
        <f t="shared" si="43"/>
        <v>6.6283024010452274E-3</v>
      </c>
      <c r="P53" s="112">
        <f t="shared" si="43"/>
        <v>1.628861884532724E-2</v>
      </c>
    </row>
    <row r="54" spans="1:16" x14ac:dyDescent="0.25">
      <c r="A54" s="1" t="s">
        <v>519</v>
      </c>
      <c r="C54" s="112">
        <f t="shared" ref="C54:P54" si="45">C11/C$22</f>
        <v>0.98362001122166709</v>
      </c>
      <c r="D54" s="112">
        <f t="shared" si="45"/>
        <v>3.3390001840745169E-3</v>
      </c>
      <c r="E54" s="112">
        <f t="shared" si="45"/>
        <v>1</v>
      </c>
      <c r="F54" s="112">
        <f t="shared" si="45"/>
        <v>0</v>
      </c>
      <c r="G54" s="112">
        <f t="shared" si="45"/>
        <v>0</v>
      </c>
      <c r="H54" s="112">
        <f t="shared" si="45"/>
        <v>0.11120986557049216</v>
      </c>
      <c r="I54" s="112">
        <f t="shared" si="45"/>
        <v>8.3409715857011915E-2</v>
      </c>
      <c r="J54" s="112">
        <f t="shared" si="45"/>
        <v>0</v>
      </c>
      <c r="K54" s="112">
        <f t="shared" si="45"/>
        <v>2.5573014257028098E-5</v>
      </c>
      <c r="L54" s="112">
        <f t="shared" si="45"/>
        <v>1.8486677038606214E-5</v>
      </c>
      <c r="M54" s="112">
        <f t="shared" ref="M54" si="46">M11/M$22</f>
        <v>2.7222677942757478E-6</v>
      </c>
      <c r="N54" s="112">
        <f t="shared" si="45"/>
        <v>6.1058682551166392E-3</v>
      </c>
      <c r="O54" s="112">
        <f t="shared" si="45"/>
        <v>2.1676721366951181E-4</v>
      </c>
      <c r="P54" s="112">
        <f t="shared" si="45"/>
        <v>4.3207447372026233E-5</v>
      </c>
    </row>
    <row r="55" spans="1:16" x14ac:dyDescent="0.25">
      <c r="A55" s="1" t="s">
        <v>515</v>
      </c>
      <c r="C55" s="112">
        <f t="shared" ref="C55:P55" si="47">C12/C$22</f>
        <v>9.4711079041308216E-5</v>
      </c>
      <c r="D55" s="112">
        <f t="shared" si="47"/>
        <v>0</v>
      </c>
      <c r="E55" s="112">
        <f t="shared" si="47"/>
        <v>0</v>
      </c>
      <c r="F55" s="112">
        <f t="shared" si="47"/>
        <v>0</v>
      </c>
      <c r="G55" s="112">
        <f t="shared" si="47"/>
        <v>0</v>
      </c>
      <c r="H55" s="112">
        <f t="shared" si="47"/>
        <v>0.11109876680368849</v>
      </c>
      <c r="I55" s="112">
        <f t="shared" si="47"/>
        <v>8.3326389467544379E-2</v>
      </c>
      <c r="J55" s="112">
        <f t="shared" si="47"/>
        <v>0</v>
      </c>
      <c r="K55" s="112">
        <f t="shared" si="47"/>
        <v>0</v>
      </c>
      <c r="L55" s="112">
        <f t="shared" si="47"/>
        <v>0</v>
      </c>
      <c r="M55" s="112">
        <f t="shared" ref="M55" si="48">M12/M$22</f>
        <v>0</v>
      </c>
      <c r="N55" s="112">
        <f t="shared" si="47"/>
        <v>0</v>
      </c>
      <c r="O55" s="112">
        <f t="shared" si="47"/>
        <v>0</v>
      </c>
      <c r="P55" s="112">
        <f t="shared" si="47"/>
        <v>0</v>
      </c>
    </row>
    <row r="56" spans="1:16" x14ac:dyDescent="0.25">
      <c r="A56" s="1" t="s">
        <v>516</v>
      </c>
      <c r="C56" s="112">
        <f t="shared" ref="C56:P56" si="49">C13/C$22</f>
        <v>4.219584986276283E-3</v>
      </c>
      <c r="D56" s="112">
        <f t="shared" si="49"/>
        <v>6.515122310389301E-3</v>
      </c>
      <c r="E56" s="112">
        <f t="shared" si="49"/>
        <v>0</v>
      </c>
      <c r="F56" s="112">
        <f t="shared" si="49"/>
        <v>0</v>
      </c>
      <c r="G56" s="112">
        <f t="shared" si="49"/>
        <v>0</v>
      </c>
      <c r="H56" s="112">
        <f t="shared" si="49"/>
        <v>0.11109876680368849</v>
      </c>
      <c r="I56" s="112">
        <f t="shared" si="49"/>
        <v>8.3326389467544379E-2</v>
      </c>
      <c r="J56" s="112">
        <f t="shared" si="49"/>
        <v>0</v>
      </c>
      <c r="K56" s="112">
        <f t="shared" si="49"/>
        <v>2.74002896881156E-5</v>
      </c>
      <c r="L56" s="112">
        <f t="shared" si="49"/>
        <v>4.8514355781024092E-4</v>
      </c>
      <c r="M56" s="112">
        <f t="shared" ref="M56" si="50">M13/M$22</f>
        <v>8.4944881596071202E-5</v>
      </c>
      <c r="N56" s="112">
        <f t="shared" si="49"/>
        <v>4.2709532767935968E-3</v>
      </c>
      <c r="O56" s="112">
        <f t="shared" si="49"/>
        <v>1.0835342263885342E-3</v>
      </c>
      <c r="P56" s="112">
        <f t="shared" si="49"/>
        <v>2.5818067160229717E-3</v>
      </c>
    </row>
    <row r="57" spans="1:16" s="108" customFormat="1" x14ac:dyDescent="0.25">
      <c r="A57" s="106" t="s">
        <v>597</v>
      </c>
      <c r="C57" s="114">
        <f t="shared" ref="C57:P57" si="51">C14/C$22</f>
        <v>1</v>
      </c>
      <c r="D57" s="114">
        <f t="shared" si="51"/>
        <v>0.21571162774554575</v>
      </c>
      <c r="E57" s="114">
        <f t="shared" si="51"/>
        <v>1</v>
      </c>
      <c r="F57" s="114">
        <f t="shared" si="51"/>
        <v>1</v>
      </c>
      <c r="G57" s="114">
        <f t="shared" si="51"/>
        <v>0</v>
      </c>
      <c r="H57" s="114">
        <f t="shared" si="51"/>
        <v>1</v>
      </c>
      <c r="I57" s="114">
        <f t="shared" si="51"/>
        <v>0.75002083159736688</v>
      </c>
      <c r="J57" s="114">
        <f t="shared" si="51"/>
        <v>1</v>
      </c>
      <c r="K57" s="114">
        <f t="shared" si="51"/>
        <v>0.58888918065561979</v>
      </c>
      <c r="L57" s="114">
        <f t="shared" si="51"/>
        <v>0.1827020830860058</v>
      </c>
      <c r="M57" s="114">
        <f t="shared" ref="M57" si="52">M14/M$22</f>
        <v>7.7017319699350065E-2</v>
      </c>
      <c r="N57" s="114">
        <f t="shared" si="51"/>
        <v>0.19077310800035532</v>
      </c>
      <c r="O57" s="114">
        <f t="shared" si="51"/>
        <v>6.4416219124327365E-2</v>
      </c>
      <c r="P57" s="114">
        <f t="shared" si="51"/>
        <v>0.18261678827059125</v>
      </c>
    </row>
    <row r="58" spans="1:16" x14ac:dyDescent="0.25">
      <c r="C58" s="111"/>
    </row>
    <row r="59" spans="1:16" s="34" customFormat="1" x14ac:dyDescent="0.25">
      <c r="A59" s="34" t="s">
        <v>631</v>
      </c>
      <c r="C59" s="115" t="s">
        <v>617</v>
      </c>
      <c r="D59" s="34" t="s">
        <v>618</v>
      </c>
      <c r="E59" s="34" t="s">
        <v>618</v>
      </c>
      <c r="F59" s="34" t="s">
        <v>618</v>
      </c>
      <c r="G59" s="34" t="s">
        <v>618</v>
      </c>
      <c r="H59" s="34" t="s">
        <v>618</v>
      </c>
      <c r="I59" s="34" t="s">
        <v>618</v>
      </c>
      <c r="J59" s="34" t="s">
        <v>618</v>
      </c>
      <c r="K59" s="34" t="s">
        <v>618</v>
      </c>
      <c r="L59" s="34" t="s">
        <v>618</v>
      </c>
      <c r="M59" s="34" t="s">
        <v>618</v>
      </c>
      <c r="N59" s="34" t="s">
        <v>618</v>
      </c>
      <c r="O59" s="34" t="s">
        <v>618</v>
      </c>
      <c r="P59" s="34" t="s">
        <v>618</v>
      </c>
    </row>
    <row r="60" spans="1:16" x14ac:dyDescent="0.25">
      <c r="A60" s="1" t="s">
        <v>517</v>
      </c>
      <c r="C60" s="112">
        <f t="shared" ref="C60:P60" si="53">C48-AVERAGE(C$48:C$56)</f>
        <v>-0.1075760124968953</v>
      </c>
      <c r="D60" s="112">
        <f t="shared" si="53"/>
        <v>-1.1731744549194068E-2</v>
      </c>
      <c r="E60" s="112">
        <f t="shared" si="53"/>
        <v>-0.1111111111111111</v>
      </c>
      <c r="F60" s="112">
        <f t="shared" si="53"/>
        <v>-0.1111111111111111</v>
      </c>
      <c r="G60" s="112">
        <f t="shared" si="53"/>
        <v>0</v>
      </c>
      <c r="H60" s="112">
        <f t="shared" si="53"/>
        <v>-1.234430742261261E-5</v>
      </c>
      <c r="I60" s="112">
        <f t="shared" si="53"/>
        <v>-9.258487718613595E-6</v>
      </c>
      <c r="J60" s="112">
        <f t="shared" si="53"/>
        <v>-0.1111111111111111</v>
      </c>
      <c r="K60" s="112">
        <f t="shared" si="53"/>
        <v>-6.3904524626002074E-2</v>
      </c>
      <c r="L60" s="112">
        <f t="shared" si="53"/>
        <v>9.5512359247985984E-2</v>
      </c>
      <c r="M60" s="112">
        <f t="shared" si="53"/>
        <v>4.0166794419765346E-2</v>
      </c>
      <c r="N60" s="112">
        <f t="shared" si="53"/>
        <v>4.1991045883665486E-3</v>
      </c>
      <c r="O60" s="112">
        <f t="shared" si="53"/>
        <v>-4.3488830255785597E-4</v>
      </c>
      <c r="P60" s="112">
        <f t="shared" si="53"/>
        <v>-1.2073367475648501E-3</v>
      </c>
    </row>
    <row r="61" spans="1:16" x14ac:dyDescent="0.25">
      <c r="A61" s="1" t="s">
        <v>481</v>
      </c>
      <c r="C61" s="112">
        <f t="shared" ref="C61:P61" si="54">C49-AVERAGE(C$48:C$56)</f>
        <v>-0.11083725897146265</v>
      </c>
      <c r="D61" s="112">
        <f t="shared" si="54"/>
        <v>-2.3967958638393974E-2</v>
      </c>
      <c r="E61" s="112">
        <f t="shared" si="54"/>
        <v>-0.1111111111111111</v>
      </c>
      <c r="F61" s="112">
        <f t="shared" si="54"/>
        <v>-0.1111111111111111</v>
      </c>
      <c r="G61" s="112">
        <f t="shared" si="54"/>
        <v>0</v>
      </c>
      <c r="H61" s="112">
        <f t="shared" si="54"/>
        <v>-1.234430742261261E-5</v>
      </c>
      <c r="I61" s="112">
        <f t="shared" si="54"/>
        <v>-9.258487718613595E-6</v>
      </c>
      <c r="J61" s="112">
        <f t="shared" si="54"/>
        <v>-0.1111111111111111</v>
      </c>
      <c r="K61" s="112">
        <f t="shared" si="54"/>
        <v>-6.5432131183957729E-2</v>
      </c>
      <c r="L61" s="112">
        <f t="shared" si="54"/>
        <v>-2.0300231454000645E-2</v>
      </c>
      <c r="M61" s="112">
        <f t="shared" si="54"/>
        <v>-8.5574799665944518E-3</v>
      </c>
      <c r="N61" s="112">
        <f t="shared" si="54"/>
        <v>-2.119701200003948E-2</v>
      </c>
      <c r="O61" s="112">
        <f t="shared" si="54"/>
        <v>-7.1573576804808154E-3</v>
      </c>
      <c r="P61" s="112">
        <f t="shared" si="54"/>
        <v>-2.0290754252287917E-2</v>
      </c>
    </row>
    <row r="62" spans="1:16" x14ac:dyDescent="0.25">
      <c r="A62" s="1" t="s">
        <v>531</v>
      </c>
      <c r="C62" s="112">
        <f t="shared" ref="C62:P62" si="55">C50-AVERAGE(C$48:C$56)</f>
        <v>-0.11104718009993238</v>
      </c>
      <c r="D62" s="112">
        <f t="shared" si="55"/>
        <v>-2.3967958638393974E-2</v>
      </c>
      <c r="E62" s="112">
        <f t="shared" si="55"/>
        <v>-0.1111111111111111</v>
      </c>
      <c r="F62" s="112">
        <f t="shared" si="55"/>
        <v>-0.1111111111111111</v>
      </c>
      <c r="G62" s="112">
        <f t="shared" si="55"/>
        <v>0</v>
      </c>
      <c r="H62" s="112">
        <f t="shared" si="55"/>
        <v>-1.234430742261261E-5</v>
      </c>
      <c r="I62" s="112">
        <f t="shared" si="55"/>
        <v>-9.258487718613595E-6</v>
      </c>
      <c r="J62" s="112">
        <f t="shared" si="55"/>
        <v>-0.1111111111111111</v>
      </c>
      <c r="K62" s="112">
        <f t="shared" si="55"/>
        <v>-6.5432131183957729E-2</v>
      </c>
      <c r="L62" s="112">
        <f t="shared" si="55"/>
        <v>-2.0300231454000645E-2</v>
      </c>
      <c r="M62" s="112">
        <f t="shared" si="55"/>
        <v>-8.5574799665944518E-3</v>
      </c>
      <c r="N62" s="112">
        <f t="shared" si="55"/>
        <v>-2.119701200003948E-2</v>
      </c>
      <c r="O62" s="112">
        <f t="shared" si="55"/>
        <v>-7.1573576804808154E-3</v>
      </c>
      <c r="P62" s="112">
        <f t="shared" si="55"/>
        <v>-2.0290754252287917E-2</v>
      </c>
    </row>
    <row r="63" spans="1:16" x14ac:dyDescent="0.25">
      <c r="A63" s="1" t="s">
        <v>508</v>
      </c>
      <c r="C63" s="112">
        <f t="shared" ref="C63:P63" si="56">C51-AVERAGE(C$48:C$56)</f>
        <v>-0.11091092597188412</v>
      </c>
      <c r="D63" s="112">
        <f t="shared" si="56"/>
        <v>-2.3967958638393974E-2</v>
      </c>
      <c r="E63" s="112">
        <f t="shared" si="56"/>
        <v>-0.1111111111111111</v>
      </c>
      <c r="F63" s="112">
        <f t="shared" si="56"/>
        <v>-0.1111111111111111</v>
      </c>
      <c r="G63" s="112">
        <f t="shared" si="56"/>
        <v>0</v>
      </c>
      <c r="H63" s="112">
        <f t="shared" si="56"/>
        <v>-1.234430742261261E-5</v>
      </c>
      <c r="I63" s="112">
        <f t="shared" si="56"/>
        <v>-9.258487718613595E-6</v>
      </c>
      <c r="J63" s="112">
        <f t="shared" si="56"/>
        <v>-0.1111111111111111</v>
      </c>
      <c r="K63" s="112">
        <f t="shared" si="56"/>
        <v>-6.5432131183957729E-2</v>
      </c>
      <c r="L63" s="112">
        <f t="shared" si="56"/>
        <v>-2.0300231454000645E-2</v>
      </c>
      <c r="M63" s="112">
        <f t="shared" si="56"/>
        <v>-8.5574799665944518E-3</v>
      </c>
      <c r="N63" s="112">
        <f t="shared" si="56"/>
        <v>-2.119701200003948E-2</v>
      </c>
      <c r="O63" s="112">
        <f t="shared" si="56"/>
        <v>-7.1573576804808154E-3</v>
      </c>
      <c r="P63" s="112">
        <f t="shared" si="56"/>
        <v>-2.0290754252287917E-2</v>
      </c>
    </row>
    <row r="64" spans="1:16" x14ac:dyDescent="0.25">
      <c r="A64" s="1" t="s">
        <v>509</v>
      </c>
      <c r="C64" s="112">
        <f t="shared" ref="C64:P64" si="57">C52-AVERAGE(C$48:C$56)</f>
        <v>-0.10499918779219561</v>
      </c>
      <c r="D64" s="112">
        <f t="shared" si="57"/>
        <v>6.0932228968866603E-2</v>
      </c>
      <c r="E64" s="112">
        <f t="shared" si="57"/>
        <v>-0.1111111111111111</v>
      </c>
      <c r="F64" s="112">
        <f t="shared" si="57"/>
        <v>-0.1111111111111111</v>
      </c>
      <c r="G64" s="112">
        <f t="shared" si="57"/>
        <v>0</v>
      </c>
      <c r="H64" s="112">
        <f t="shared" si="57"/>
        <v>-1.234430742261261E-5</v>
      </c>
      <c r="I64" s="112">
        <f t="shared" si="57"/>
        <v>-9.258487718613595E-6</v>
      </c>
      <c r="J64" s="112">
        <f t="shared" si="57"/>
        <v>0.3888888888888889</v>
      </c>
      <c r="K64" s="112">
        <f t="shared" si="57"/>
        <v>0.51564475397423726</v>
      </c>
      <c r="L64" s="112">
        <f t="shared" si="57"/>
        <v>2.3799138531134377E-2</v>
      </c>
      <c r="M64" s="112">
        <f t="shared" si="57"/>
        <v>-3.3604298554883059E-3</v>
      </c>
      <c r="N64" s="112">
        <f t="shared" si="57"/>
        <v>0.12344151277464194</v>
      </c>
      <c r="O64" s="112">
        <f t="shared" si="57"/>
        <v>4.2607788224820309E-2</v>
      </c>
      <c r="P64" s="112">
        <f t="shared" si="57"/>
        <v>0.12432898350485803</v>
      </c>
    </row>
    <row r="65" spans="1:16" x14ac:dyDescent="0.25">
      <c r="A65" s="1" t="s">
        <v>518</v>
      </c>
      <c r="C65" s="112">
        <f t="shared" ref="C65:P65" si="58">C53-AVERAGE(C$48:C$56)</f>
        <v>-0.10923040862128126</v>
      </c>
      <c r="D65" s="112">
        <f t="shared" si="58"/>
        <v>8.4753144916227485E-2</v>
      </c>
      <c r="E65" s="112">
        <f t="shared" si="58"/>
        <v>-0.1111111111111111</v>
      </c>
      <c r="F65" s="112">
        <f t="shared" si="58"/>
        <v>0.88888888888888884</v>
      </c>
      <c r="G65" s="112">
        <f t="shared" si="58"/>
        <v>0</v>
      </c>
      <c r="H65" s="112">
        <f t="shared" si="58"/>
        <v>-1.234430742261261E-5</v>
      </c>
      <c r="I65" s="112">
        <f t="shared" si="58"/>
        <v>-9.258487718613595E-6</v>
      </c>
      <c r="J65" s="112">
        <f t="shared" si="58"/>
        <v>0.3888888888888889</v>
      </c>
      <c r="K65" s="112">
        <f t="shared" si="58"/>
        <v>-5.9200415548433853E-2</v>
      </c>
      <c r="L65" s="112">
        <f t="shared" si="58"/>
        <v>1.9862607100346596E-3</v>
      </c>
      <c r="M65" s="112">
        <f t="shared" si="58"/>
        <v>1.4450848085899319E-2</v>
      </c>
      <c r="N65" s="112">
        <f t="shared" si="58"/>
        <v>-1.0835366894681842E-2</v>
      </c>
      <c r="O65" s="112">
        <f t="shared" si="58"/>
        <v>-5.2905527943558801E-4</v>
      </c>
      <c r="P65" s="112">
        <f t="shared" si="58"/>
        <v>-4.0021354069606774E-3</v>
      </c>
    </row>
    <row r="66" spans="1:16" x14ac:dyDescent="0.25">
      <c r="A66" s="1" t="s">
        <v>519</v>
      </c>
      <c r="C66" s="112">
        <f t="shared" ref="C66:P66" si="59">C54-AVERAGE(C$48:C$56)</f>
        <v>0.87250890011055593</v>
      </c>
      <c r="D66" s="112">
        <f t="shared" si="59"/>
        <v>-2.0628958454319456E-2</v>
      </c>
      <c r="E66" s="112">
        <f t="shared" si="59"/>
        <v>0.88888888888888884</v>
      </c>
      <c r="F66" s="112">
        <f t="shared" si="59"/>
        <v>-0.1111111111111111</v>
      </c>
      <c r="G66" s="112">
        <f t="shared" si="59"/>
        <v>0</v>
      </c>
      <c r="H66" s="112">
        <f t="shared" si="59"/>
        <v>9.8754459381053539E-5</v>
      </c>
      <c r="I66" s="112">
        <f t="shared" si="59"/>
        <v>7.4067901748922638E-5</v>
      </c>
      <c r="J66" s="112">
        <f t="shared" si="59"/>
        <v>-0.1111111111111111</v>
      </c>
      <c r="K66" s="112">
        <f t="shared" si="59"/>
        <v>-6.5406558169700701E-2</v>
      </c>
      <c r="L66" s="112">
        <f t="shared" si="59"/>
        <v>-2.0281744776962037E-2</v>
      </c>
      <c r="M66" s="112">
        <f t="shared" si="59"/>
        <v>-8.5547576988001754E-3</v>
      </c>
      <c r="N66" s="112">
        <f t="shared" si="59"/>
        <v>-1.509114374492284E-2</v>
      </c>
      <c r="O66" s="112">
        <f t="shared" si="59"/>
        <v>-6.940590466811304E-3</v>
      </c>
      <c r="P66" s="112">
        <f t="shared" si="59"/>
        <v>-2.0247546804915893E-2</v>
      </c>
    </row>
    <row r="67" spans="1:16" x14ac:dyDescent="0.25">
      <c r="A67" s="1" t="s">
        <v>515</v>
      </c>
      <c r="C67" s="112">
        <f t="shared" ref="C67:P67" si="60">C55-AVERAGE(C$48:C$56)</f>
        <v>-0.11101640003206979</v>
      </c>
      <c r="D67" s="112">
        <f t="shared" si="60"/>
        <v>-2.3967958638393974E-2</v>
      </c>
      <c r="E67" s="112">
        <f t="shared" si="60"/>
        <v>-0.1111111111111111</v>
      </c>
      <c r="F67" s="112">
        <f t="shared" si="60"/>
        <v>-0.1111111111111111</v>
      </c>
      <c r="G67" s="112">
        <f t="shared" si="60"/>
        <v>0</v>
      </c>
      <c r="H67" s="112">
        <f t="shared" si="60"/>
        <v>-1.234430742261261E-5</v>
      </c>
      <c r="I67" s="112">
        <f t="shared" si="60"/>
        <v>-9.258487718613595E-6</v>
      </c>
      <c r="J67" s="112">
        <f t="shared" si="60"/>
        <v>-0.1111111111111111</v>
      </c>
      <c r="K67" s="112">
        <f t="shared" si="60"/>
        <v>-6.5432131183957729E-2</v>
      </c>
      <c r="L67" s="112">
        <f t="shared" si="60"/>
        <v>-2.0300231454000645E-2</v>
      </c>
      <c r="M67" s="112">
        <f t="shared" si="60"/>
        <v>-8.5574799665944518E-3</v>
      </c>
      <c r="N67" s="112">
        <f t="shared" si="60"/>
        <v>-2.119701200003948E-2</v>
      </c>
      <c r="O67" s="112">
        <f t="shared" si="60"/>
        <v>-7.1573576804808154E-3</v>
      </c>
      <c r="P67" s="112">
        <f t="shared" si="60"/>
        <v>-2.0290754252287917E-2</v>
      </c>
    </row>
    <row r="68" spans="1:16" x14ac:dyDescent="0.25">
      <c r="A68" s="1" t="s">
        <v>516</v>
      </c>
      <c r="C68" s="112">
        <f t="shared" ref="C68:P68" si="61">C56-AVERAGE(C$48:C$56)</f>
        <v>-0.10689152612483482</v>
      </c>
      <c r="D68" s="112">
        <f t="shared" si="61"/>
        <v>-1.7452836328004671E-2</v>
      </c>
      <c r="E68" s="112">
        <f t="shared" si="61"/>
        <v>-0.1111111111111111</v>
      </c>
      <c r="F68" s="112">
        <f t="shared" si="61"/>
        <v>-0.1111111111111111</v>
      </c>
      <c r="G68" s="112">
        <f t="shared" si="61"/>
        <v>0</v>
      </c>
      <c r="H68" s="112">
        <f t="shared" si="61"/>
        <v>-1.234430742261261E-5</v>
      </c>
      <c r="I68" s="112">
        <f t="shared" si="61"/>
        <v>-9.258487718613595E-6</v>
      </c>
      <c r="J68" s="112">
        <f t="shared" si="61"/>
        <v>-0.1111111111111111</v>
      </c>
      <c r="K68" s="112">
        <f t="shared" si="61"/>
        <v>-6.5404730894269611E-2</v>
      </c>
      <c r="L68" s="112">
        <f t="shared" si="61"/>
        <v>-1.9815087896190405E-2</v>
      </c>
      <c r="M68" s="112">
        <f t="shared" si="61"/>
        <v>-8.4725350849983814E-3</v>
      </c>
      <c r="N68" s="112">
        <f t="shared" si="61"/>
        <v>-1.6926058723245884E-2</v>
      </c>
      <c r="O68" s="112">
        <f t="shared" si="61"/>
        <v>-6.073823454092281E-3</v>
      </c>
      <c r="P68" s="112">
        <f t="shared" si="61"/>
        <v>-1.7708947536264945E-2</v>
      </c>
    </row>
    <row r="69" spans="1:16" s="34" customFormat="1" x14ac:dyDescent="0.25">
      <c r="A69" s="59" t="s">
        <v>632</v>
      </c>
      <c r="D69" s="34" t="s">
        <v>620</v>
      </c>
      <c r="E69" s="34" t="s">
        <v>620</v>
      </c>
      <c r="F69" s="34" t="s">
        <v>620</v>
      </c>
      <c r="G69" s="34" t="s">
        <v>620</v>
      </c>
      <c r="H69" s="34" t="s">
        <v>620</v>
      </c>
      <c r="I69" s="34" t="s">
        <v>620</v>
      </c>
      <c r="J69" s="34" t="s">
        <v>620</v>
      </c>
      <c r="K69" s="34" t="s">
        <v>620</v>
      </c>
      <c r="L69" s="34" t="s">
        <v>620</v>
      </c>
      <c r="M69" s="34" t="s">
        <v>620</v>
      </c>
      <c r="N69" s="34" t="s">
        <v>620</v>
      </c>
      <c r="O69" s="34" t="s">
        <v>620</v>
      </c>
      <c r="P69" s="34" t="s">
        <v>620</v>
      </c>
    </row>
    <row r="70" spans="1:16" x14ac:dyDescent="0.25">
      <c r="A70" s="1" t="s">
        <v>517</v>
      </c>
      <c r="C70" s="1">
        <f>$C60*C60</f>
        <v>1.1572598464732175E-2</v>
      </c>
      <c r="D70" s="1">
        <f>$C60*D60</f>
        <v>1.2620542982344843E-3</v>
      </c>
      <c r="E70" s="1">
        <f>$C60*E60</f>
        <v>1.195289027743281E-2</v>
      </c>
      <c r="F70" s="1">
        <f t="shared" ref="F70:J70" si="62">$C60*F60</f>
        <v>1.195289027743281E-2</v>
      </c>
      <c r="G70" s="1">
        <f t="shared" si="62"/>
        <v>0</v>
      </c>
      <c r="H70" s="1">
        <f t="shared" si="62"/>
        <v>1.3279513695604916E-6</v>
      </c>
      <c r="I70" s="1">
        <f t="shared" si="62"/>
        <v>9.9599119051992776E-7</v>
      </c>
      <c r="J70" s="1">
        <f t="shared" si="62"/>
        <v>1.195289027743281E-2</v>
      </c>
      <c r="K70" s="1">
        <f>$C60*K60</f>
        <v>6.8745939397749523E-3</v>
      </c>
      <c r="L70" s="1">
        <f t="shared" ref="L70:P70" si="63">$C60*L60</f>
        <v>-1.0274838752069294E-2</v>
      </c>
      <c r="M70" s="1">
        <f t="shared" ref="M70" si="64">$C60*M60</f>
        <v>-4.3209835784609012E-3</v>
      </c>
      <c r="N70" s="1">
        <f t="shared" si="63"/>
        <v>-4.5172292767389023E-4</v>
      </c>
      <c r="O70" s="1">
        <f t="shared" si="63"/>
        <v>4.6783549470717497E-5</v>
      </c>
      <c r="P70" s="1">
        <f t="shared" si="63"/>
        <v>1.2988047304399725E-4</v>
      </c>
    </row>
    <row r="71" spans="1:16" x14ac:dyDescent="0.25">
      <c r="A71" s="1" t="s">
        <v>481</v>
      </c>
      <c r="C71" s="1">
        <f t="shared" ref="C71:D78" si="65">$C61*C61</f>
        <v>1.2284897976307078E-2</v>
      </c>
      <c r="D71" s="1">
        <f t="shared" si="65"/>
        <v>2.6565428386209782E-3</v>
      </c>
      <c r="E71" s="1">
        <f t="shared" ref="E71:K71" si="66">$C61*E61</f>
        <v>1.2315250996829183E-2</v>
      </c>
      <c r="F71" s="1">
        <f t="shared" ref="F71:J71" si="67">$C61*F61</f>
        <v>1.2315250996829183E-2</v>
      </c>
      <c r="G71" s="1">
        <f t="shared" si="67"/>
        <v>0</v>
      </c>
      <c r="H71" s="1">
        <f t="shared" si="67"/>
        <v>1.3682091986234626E-6</v>
      </c>
      <c r="I71" s="1">
        <f t="shared" si="67"/>
        <v>1.0261854009520815E-6</v>
      </c>
      <c r="J71" s="1">
        <f t="shared" si="67"/>
        <v>1.2315250996829183E-2</v>
      </c>
      <c r="K71" s="1">
        <f t="shared" si="66"/>
        <v>7.25231806909104E-3</v>
      </c>
      <c r="L71" s="1">
        <f t="shared" ref="L71:P71" si="68">$C61*L61</f>
        <v>2.2500220108477012E-3</v>
      </c>
      <c r="M71" s="1">
        <f t="shared" ref="M71" si="69">$C61*M61</f>
        <v>9.4848762320053287E-4</v>
      </c>
      <c r="N71" s="1">
        <f t="shared" si="68"/>
        <v>2.3494187084695775E-3</v>
      </c>
      <c r="O71" s="1">
        <f t="shared" si="68"/>
        <v>7.9330190678283941E-4</v>
      </c>
      <c r="P71" s="1">
        <f t="shared" si="68"/>
        <v>2.248971583787143E-3</v>
      </c>
    </row>
    <row r="72" spans="1:16" x14ac:dyDescent="0.25">
      <c r="A72" s="1" t="s">
        <v>531</v>
      </c>
      <c r="C72" s="1">
        <f t="shared" si="65"/>
        <v>1.2331476208146817E-2</v>
      </c>
      <c r="D72" s="1">
        <f t="shared" si="65"/>
        <v>2.6615742195454655E-3</v>
      </c>
      <c r="E72" s="1">
        <f t="shared" ref="E72:K72" si="70">$C62*E62</f>
        <v>1.2338575566659153E-2</v>
      </c>
      <c r="F72" s="1">
        <f t="shared" ref="F72:J72" si="71">$C62*F62</f>
        <v>1.2338575566659153E-2</v>
      </c>
      <c r="G72" s="1">
        <f t="shared" si="71"/>
        <v>0</v>
      </c>
      <c r="H72" s="1">
        <f t="shared" si="71"/>
        <v>1.3708005295677945E-6</v>
      </c>
      <c r="I72" s="1">
        <f t="shared" si="71"/>
        <v>1.0281289531418959E-6</v>
      </c>
      <c r="J72" s="1">
        <f t="shared" si="71"/>
        <v>1.2338575566659153E-2</v>
      </c>
      <c r="K72" s="1">
        <f t="shared" si="70"/>
        <v>7.2660536559073551E-3</v>
      </c>
      <c r="L72" s="1">
        <f t="shared" ref="L72:P72" si="72">$C62*L62</f>
        <v>2.2542834583427216E-3</v>
      </c>
      <c r="M72" s="1">
        <f t="shared" ref="M72" si="73">$C62*M62</f>
        <v>9.5028401905197736E-4</v>
      </c>
      <c r="N72" s="1">
        <f t="shared" si="72"/>
        <v>2.3538684091488119E-3</v>
      </c>
      <c r="O72" s="1">
        <f t="shared" si="72"/>
        <v>7.9480438738398738E-4</v>
      </c>
      <c r="P72" s="1">
        <f t="shared" si="72"/>
        <v>2.2532310418172849E-3</v>
      </c>
    </row>
    <row r="73" spans="1:16" x14ac:dyDescent="0.25">
      <c r="A73" s="1" t="s">
        <v>508</v>
      </c>
      <c r="C73" s="1">
        <f t="shared" si="65"/>
        <v>1.2301233499940761E-2</v>
      </c>
      <c r="D73" s="1">
        <f t="shared" si="65"/>
        <v>2.6583084862400945E-3</v>
      </c>
      <c r="E73" s="1">
        <f t="shared" ref="E73:K73" si="74">$C63*E63</f>
        <v>1.2323436219098234E-2</v>
      </c>
      <c r="F73" s="1">
        <f t="shared" ref="F73:J73" si="75">$C63*F63</f>
        <v>1.2323436219098234E-2</v>
      </c>
      <c r="G73" s="1">
        <f t="shared" si="75"/>
        <v>0</v>
      </c>
      <c r="H73" s="1">
        <f t="shared" si="75"/>
        <v>1.3691185667235668E-6</v>
      </c>
      <c r="I73" s="1">
        <f t="shared" si="75"/>
        <v>1.0268674459707508E-6</v>
      </c>
      <c r="J73" s="1">
        <f t="shared" si="75"/>
        <v>1.2323436219098234E-2</v>
      </c>
      <c r="K73" s="1">
        <f t="shared" si="74"/>
        <v>7.2571382579265462E-3</v>
      </c>
      <c r="L73" s="1">
        <f t="shared" ref="L73:P73" si="76">$C63*L63</f>
        <v>2.2515174680067789E-3</v>
      </c>
      <c r="M73" s="1">
        <f t="shared" ref="M73" si="77">$C63*M63</f>
        <v>9.4911802708083865E-4</v>
      </c>
      <c r="N73" s="1">
        <f t="shared" si="76"/>
        <v>2.3509802287615183E-3</v>
      </c>
      <c r="O73" s="1">
        <f t="shared" si="76"/>
        <v>7.9382916785410401E-4</v>
      </c>
      <c r="P73" s="1">
        <f t="shared" si="76"/>
        <v>2.2504663427891981E-3</v>
      </c>
    </row>
    <row r="74" spans="1:16" x14ac:dyDescent="0.25">
      <c r="A74" s="1" t="s">
        <v>509</v>
      </c>
      <c r="C74" s="1">
        <f t="shared" si="65"/>
        <v>1.102482943702076E-2</v>
      </c>
      <c r="D74" s="1">
        <f t="shared" si="65"/>
        <v>-6.3978345520990859E-3</v>
      </c>
      <c r="E74" s="1">
        <f t="shared" ref="E74:K74" si="78">$C64*E64</f>
        <v>1.1666576421355067E-2</v>
      </c>
      <c r="F74" s="1">
        <f t="shared" ref="F74:J74" si="79">$C64*F64</f>
        <v>1.1666576421355067E-2</v>
      </c>
      <c r="G74" s="1">
        <f t="shared" si="79"/>
        <v>0</v>
      </c>
      <c r="H74" s="1">
        <f t="shared" si="79"/>
        <v>1.2961422532314956E-6</v>
      </c>
      <c r="I74" s="1">
        <f t="shared" si="79"/>
        <v>9.7213369063844558E-7</v>
      </c>
      <c r="J74" s="1">
        <f t="shared" si="79"/>
        <v>-4.0833017474742737E-2</v>
      </c>
      <c r="K74" s="1">
        <f t="shared" si="78"/>
        <v>-5.4142280356601444E-2</v>
      </c>
      <c r="L74" s="1">
        <f t="shared" ref="L74:P74" si="80">$C64*L64</f>
        <v>-2.4988902159230569E-3</v>
      </c>
      <c r="M74" s="1">
        <f t="shared" ref="M74" si="81">$C64*M64</f>
        <v>3.5284240545891738E-4</v>
      </c>
      <c r="N74" s="1">
        <f t="shared" si="80"/>
        <v>-1.2961258581177342E-2</v>
      </c>
      <c r="O74" s="1">
        <f t="shared" si="80"/>
        <v>-4.4737831572280087E-3</v>
      </c>
      <c r="P74" s="1">
        <f t="shared" si="80"/>
        <v>-1.305444228703938E-2</v>
      </c>
    </row>
    <row r="75" spans="1:16" x14ac:dyDescent="0.25">
      <c r="A75" s="1" t="s">
        <v>518</v>
      </c>
      <c r="C75" s="1">
        <f t="shared" si="65"/>
        <v>1.1931282167572076E-2</v>
      </c>
      <c r="D75" s="1">
        <f t="shared" si="65"/>
        <v>-9.2576206511381948E-3</v>
      </c>
      <c r="E75" s="1">
        <f t="shared" ref="E75:K75" si="82">$C65*E65</f>
        <v>1.213671206903125E-2</v>
      </c>
      <c r="F75" s="1">
        <f t="shared" ref="F75:J75" si="83">$C65*F65</f>
        <v>-9.7093696552250003E-2</v>
      </c>
      <c r="G75" s="1">
        <f t="shared" si="83"/>
        <v>0</v>
      </c>
      <c r="H75" s="1">
        <f t="shared" si="83"/>
        <v>1.3483737439186907E-6</v>
      </c>
      <c r="I75" s="1">
        <f t="shared" si="83"/>
        <v>1.0113083967192772E-6</v>
      </c>
      <c r="J75" s="1">
        <f t="shared" si="83"/>
        <v>-4.2478492241609378E-2</v>
      </c>
      <c r="K75" s="1">
        <f t="shared" si="82"/>
        <v>6.4664855809050828E-3</v>
      </c>
      <c r="L75" s="1">
        <f t="shared" ref="L75:P75" si="84">$C65*L65</f>
        <v>-2.1696006898548213E-4</v>
      </c>
      <c r="M75" s="1">
        <f t="shared" ref="M75" si="85">$C65*M65</f>
        <v>-1.5784720413468429E-3</v>
      </c>
      <c r="N75" s="1">
        <f t="shared" si="84"/>
        <v>1.1835515534676011E-3</v>
      </c>
      <c r="O75" s="1">
        <f t="shared" si="84"/>
        <v>5.7788924355995422E-5</v>
      </c>
      <c r="P75" s="1">
        <f t="shared" si="84"/>
        <v>4.3715488586001255E-4</v>
      </c>
    </row>
    <row r="76" spans="1:16" x14ac:dyDescent="0.25">
      <c r="A76" s="1" t="s">
        <v>519</v>
      </c>
      <c r="C76" s="1">
        <f t="shared" si="65"/>
        <v>0.76127178077213209</v>
      </c>
      <c r="D76" s="1">
        <f t="shared" si="65"/>
        <v>-1.7998949851404624E-2</v>
      </c>
      <c r="E76" s="1">
        <f t="shared" ref="E76:K76" si="86">$C66*E66</f>
        <v>0.77556346676493859</v>
      </c>
      <c r="F76" s="1">
        <f t="shared" ref="F76:J76" si="87">$C66*F66</f>
        <v>-9.6945433345617324E-2</v>
      </c>
      <c r="G76" s="1">
        <f t="shared" si="87"/>
        <v>0</v>
      </c>
      <c r="H76" s="1">
        <f t="shared" si="87"/>
        <v>8.6164144735575599E-5</v>
      </c>
      <c r="I76" s="1">
        <f t="shared" si="87"/>
        <v>6.4624903488449213E-5</v>
      </c>
      <c r="J76" s="1">
        <f t="shared" si="87"/>
        <v>-9.6945433345617324E-2</v>
      </c>
      <c r="K76" s="1">
        <f t="shared" si="86"/>
        <v>-5.7067804128662657E-2</v>
      </c>
      <c r="L76" s="1">
        <f t="shared" ref="L76:P76" si="88">$C66*L66</f>
        <v>-1.769600282767016E-2</v>
      </c>
      <c r="M76" s="1">
        <f t="shared" ref="M76" si="89">$C66*M66</f>
        <v>-7.4641022304924518E-3</v>
      </c>
      <c r="N76" s="1">
        <f t="shared" si="88"/>
        <v>-1.3167157230292922E-2</v>
      </c>
      <c r="O76" s="1">
        <f t="shared" si="88"/>
        <v>-6.0557269543153412E-3</v>
      </c>
      <c r="P76" s="1">
        <f t="shared" si="88"/>
        <v>-1.7666164792694165E-2</v>
      </c>
    </row>
    <row r="77" spans="1:16" x14ac:dyDescent="0.25">
      <c r="A77" s="1" t="s">
        <v>515</v>
      </c>
      <c r="C77" s="1">
        <f t="shared" si="65"/>
        <v>1.2324641076080545E-2</v>
      </c>
      <c r="D77" s="1">
        <f t="shared" si="65"/>
        <v>2.6608364841520481E-3</v>
      </c>
      <c r="E77" s="1">
        <f t="shared" ref="E77:K77" si="90">$C67*E67</f>
        <v>1.2335155559118864E-2</v>
      </c>
      <c r="F77" s="1">
        <f t="shared" ref="F77:J77" si="91">$C67*F67</f>
        <v>1.2335155559118864E-2</v>
      </c>
      <c r="G77" s="1">
        <f t="shared" si="91"/>
        <v>0</v>
      </c>
      <c r="H77" s="1">
        <f t="shared" si="91"/>
        <v>1.37042057094761E-6</v>
      </c>
      <c r="I77" s="1">
        <f t="shared" si="91"/>
        <v>1.027843976261612E-6</v>
      </c>
      <c r="J77" s="1">
        <f t="shared" si="91"/>
        <v>1.2335155559118864E-2</v>
      </c>
      <c r="K77" s="1">
        <f t="shared" si="90"/>
        <v>7.2640396504691195E-3</v>
      </c>
      <c r="L77" s="1">
        <f t="shared" ref="L77:P77" si="92">$C67*L67</f>
        <v>2.2536586158409416E-3</v>
      </c>
      <c r="M77" s="1">
        <f t="shared" ref="M77" si="93">$C67*M67</f>
        <v>9.5002061923787288E-4</v>
      </c>
      <c r="N77" s="1">
        <f t="shared" si="92"/>
        <v>2.3532159636809667E-3</v>
      </c>
      <c r="O77" s="1">
        <f t="shared" si="92"/>
        <v>7.9458408342886536E-4</v>
      </c>
      <c r="P77" s="1">
        <f t="shared" si="92"/>
        <v>2.2526064910244168E-3</v>
      </c>
    </row>
    <row r="78" spans="1:16" x14ac:dyDescent="0.25">
      <c r="A78" s="1" t="s">
        <v>516</v>
      </c>
      <c r="C78" s="1">
        <f t="shared" si="65"/>
        <v>1.1425798357296246E-2</v>
      </c>
      <c r="D78" s="1">
        <f t="shared" si="65"/>
        <v>1.8655603103073775E-3</v>
      </c>
      <c r="E78" s="1">
        <f t="shared" ref="E78:K78" si="94">$C68*E68</f>
        <v>1.1876836236092758E-2</v>
      </c>
      <c r="F78" s="1">
        <f t="shared" ref="F78:J78" si="95">$C68*F68</f>
        <v>1.1876836236092758E-2</v>
      </c>
      <c r="G78" s="1">
        <f t="shared" si="95"/>
        <v>0</v>
      </c>
      <c r="H78" s="1">
        <f t="shared" si="95"/>
        <v>1.3195018593571882E-6</v>
      </c>
      <c r="I78" s="1">
        <f t="shared" si="95"/>
        <v>9.8965388185064736E-7</v>
      </c>
      <c r="J78" s="1">
        <f t="shared" si="95"/>
        <v>1.1876836236092758E-2</v>
      </c>
      <c r="K78" s="1">
        <f t="shared" si="94"/>
        <v>6.9912115010726111E-3</v>
      </c>
      <c r="L78" s="1">
        <f t="shared" ref="L78:P78" si="96">$C68*L68</f>
        <v>2.1180649855215348E-3</v>
      </c>
      <c r="M78" s="1">
        <f t="shared" ref="M78" si="97">$C68*M68</f>
        <v>9.0564220538168411E-4</v>
      </c>
      <c r="N78" s="1">
        <f t="shared" si="96"/>
        <v>1.8092522482063258E-3</v>
      </c>
      <c r="O78" s="1">
        <f t="shared" si="96"/>
        <v>6.492402584207396E-4</v>
      </c>
      <c r="P78" s="1">
        <f t="shared" si="96"/>
        <v>1.8929364282159937E-3</v>
      </c>
    </row>
    <row r="79" spans="1:16" s="34" customFormat="1" x14ac:dyDescent="0.25">
      <c r="A79" s="59" t="s">
        <v>633</v>
      </c>
      <c r="C79" s="115" t="s">
        <v>621</v>
      </c>
    </row>
    <row r="80" spans="1:16" x14ac:dyDescent="0.25">
      <c r="A80" s="1" t="s">
        <v>517</v>
      </c>
      <c r="C80" s="1">
        <f>C60^2</f>
        <v>1.1572598464732175E-2</v>
      </c>
      <c r="D80" s="1">
        <f>D60^2</f>
        <v>1.3763383016754472E-4</v>
      </c>
      <c r="E80" s="1">
        <f>E60^2</f>
        <v>1.2345679012345678E-2</v>
      </c>
      <c r="F80" s="1">
        <f t="shared" ref="F80:J80" si="98">F60^2</f>
        <v>1.2345679012345678E-2</v>
      </c>
      <c r="G80" s="1">
        <f t="shared" si="98"/>
        <v>0</v>
      </c>
      <c r="H80" s="1">
        <f t="shared" si="98"/>
        <v>1.5238192574396879E-10</v>
      </c>
      <c r="I80" s="1">
        <f t="shared" si="98"/>
        <v>8.5719594835718771E-11</v>
      </c>
      <c r="J80" s="1">
        <f t="shared" si="98"/>
        <v>1.2345679012345678E-2</v>
      </c>
      <c r="K80" s="1">
        <f>K60^2</f>
        <v>4.0837882676753052E-3</v>
      </c>
      <c r="L80" s="1">
        <f t="shared" ref="L80:P80" si="99">L60^2</f>
        <v>9.1226107691163329E-3</v>
      </c>
      <c r="M80" s="1">
        <f t="shared" ref="M80" si="100">M60^2</f>
        <v>1.6133713739596926E-3</v>
      </c>
      <c r="N80" s="1">
        <f t="shared" si="99"/>
        <v>1.7632479344041002E-5</v>
      </c>
      <c r="O80" s="1">
        <f t="shared" si="99"/>
        <v>1.8912783570165328E-7</v>
      </c>
      <c r="P80" s="1">
        <f t="shared" si="99"/>
        <v>1.4576620220204706E-6</v>
      </c>
    </row>
    <row r="81" spans="1:16" x14ac:dyDescent="0.25">
      <c r="A81" s="1" t="s">
        <v>481</v>
      </c>
      <c r="C81" s="1">
        <f t="shared" ref="C81:D88" si="101">C61^2</f>
        <v>1.2284897976307078E-2</v>
      </c>
      <c r="D81" s="1">
        <f t="shared" si="101"/>
        <v>5.7446304129176438E-4</v>
      </c>
      <c r="E81" s="1">
        <f t="shared" ref="E81:K81" si="102">E61^2</f>
        <v>1.2345679012345678E-2</v>
      </c>
      <c r="F81" s="1">
        <f t="shared" ref="F81:J81" si="103">F61^2</f>
        <v>1.2345679012345678E-2</v>
      </c>
      <c r="G81" s="1">
        <f t="shared" si="103"/>
        <v>0</v>
      </c>
      <c r="H81" s="1">
        <f t="shared" si="103"/>
        <v>1.5238192574396879E-10</v>
      </c>
      <c r="I81" s="1">
        <f t="shared" si="103"/>
        <v>8.5719594835718771E-11</v>
      </c>
      <c r="J81" s="1">
        <f t="shared" si="103"/>
        <v>1.2345679012345678E-2</v>
      </c>
      <c r="K81" s="1">
        <f t="shared" si="102"/>
        <v>4.2813637912746533E-3</v>
      </c>
      <c r="L81" s="1">
        <f t="shared" ref="L81:P81" si="104">L61^2</f>
        <v>4.1209939708599714E-4</v>
      </c>
      <c r="M81" s="1">
        <f t="shared" ref="M81" si="105">M61^2</f>
        <v>7.3230463378665383E-5</v>
      </c>
      <c r="N81" s="1">
        <f t="shared" si="104"/>
        <v>4.4931331772981773E-4</v>
      </c>
      <c r="O81" s="1">
        <f t="shared" si="104"/>
        <v>5.1227768966337718E-5</v>
      </c>
      <c r="P81" s="1">
        <f t="shared" si="104"/>
        <v>4.1171470812674022E-4</v>
      </c>
    </row>
    <row r="82" spans="1:16" x14ac:dyDescent="0.25">
      <c r="A82" s="1" t="s">
        <v>531</v>
      </c>
      <c r="C82" s="1">
        <f t="shared" si="101"/>
        <v>1.2331476208146817E-2</v>
      </c>
      <c r="D82" s="1">
        <f t="shared" si="101"/>
        <v>5.7446304129176438E-4</v>
      </c>
      <c r="E82" s="1">
        <f t="shared" ref="E82:K82" si="106">E62^2</f>
        <v>1.2345679012345678E-2</v>
      </c>
      <c r="F82" s="1">
        <f t="shared" ref="F82:J82" si="107">F62^2</f>
        <v>1.2345679012345678E-2</v>
      </c>
      <c r="G82" s="1">
        <f t="shared" si="107"/>
        <v>0</v>
      </c>
      <c r="H82" s="1">
        <f t="shared" si="107"/>
        <v>1.5238192574396879E-10</v>
      </c>
      <c r="I82" s="1">
        <f t="shared" si="107"/>
        <v>8.5719594835718771E-11</v>
      </c>
      <c r="J82" s="1">
        <f t="shared" si="107"/>
        <v>1.2345679012345678E-2</v>
      </c>
      <c r="K82" s="1">
        <f t="shared" si="106"/>
        <v>4.2813637912746533E-3</v>
      </c>
      <c r="L82" s="1">
        <f t="shared" ref="L82:P82" si="108">L62^2</f>
        <v>4.1209939708599714E-4</v>
      </c>
      <c r="M82" s="1">
        <f t="shared" ref="M82" si="109">M62^2</f>
        <v>7.3230463378665383E-5</v>
      </c>
      <c r="N82" s="1">
        <f t="shared" si="108"/>
        <v>4.4931331772981773E-4</v>
      </c>
      <c r="O82" s="1">
        <f t="shared" si="108"/>
        <v>5.1227768966337718E-5</v>
      </c>
      <c r="P82" s="1">
        <f t="shared" si="108"/>
        <v>4.1171470812674022E-4</v>
      </c>
    </row>
    <row r="83" spans="1:16" x14ac:dyDescent="0.25">
      <c r="A83" s="1" t="s">
        <v>508</v>
      </c>
      <c r="C83" s="1">
        <f t="shared" si="101"/>
        <v>1.2301233499940761E-2</v>
      </c>
      <c r="D83" s="1">
        <f t="shared" si="101"/>
        <v>5.7446304129176438E-4</v>
      </c>
      <c r="E83" s="1">
        <f t="shared" ref="E83:K83" si="110">E63^2</f>
        <v>1.2345679012345678E-2</v>
      </c>
      <c r="F83" s="1">
        <f t="shared" ref="F83:J83" si="111">F63^2</f>
        <v>1.2345679012345678E-2</v>
      </c>
      <c r="G83" s="1">
        <f t="shared" si="111"/>
        <v>0</v>
      </c>
      <c r="H83" s="1">
        <f t="shared" si="111"/>
        <v>1.5238192574396879E-10</v>
      </c>
      <c r="I83" s="1">
        <f t="shared" si="111"/>
        <v>8.5719594835718771E-11</v>
      </c>
      <c r="J83" s="1">
        <f t="shared" si="111"/>
        <v>1.2345679012345678E-2</v>
      </c>
      <c r="K83" s="1">
        <f t="shared" si="110"/>
        <v>4.2813637912746533E-3</v>
      </c>
      <c r="L83" s="1">
        <f t="shared" ref="L83:P83" si="112">L63^2</f>
        <v>4.1209939708599714E-4</v>
      </c>
      <c r="M83" s="1">
        <f t="shared" ref="M83" si="113">M63^2</f>
        <v>7.3230463378665383E-5</v>
      </c>
      <c r="N83" s="1">
        <f t="shared" si="112"/>
        <v>4.4931331772981773E-4</v>
      </c>
      <c r="O83" s="1">
        <f t="shared" si="112"/>
        <v>5.1227768966337718E-5</v>
      </c>
      <c r="P83" s="1">
        <f t="shared" si="112"/>
        <v>4.1171470812674022E-4</v>
      </c>
    </row>
    <row r="84" spans="1:16" x14ac:dyDescent="0.25">
      <c r="A84" s="1" t="s">
        <v>509</v>
      </c>
      <c r="C84" s="1">
        <f t="shared" si="101"/>
        <v>1.102482943702076E-2</v>
      </c>
      <c r="D84" s="1">
        <f t="shared" si="101"/>
        <v>3.7127365271143863E-3</v>
      </c>
      <c r="E84" s="1">
        <f t="shared" ref="E84:K84" si="114">E64^2</f>
        <v>1.2345679012345678E-2</v>
      </c>
      <c r="F84" s="1">
        <f t="shared" ref="F84:J84" si="115">F64^2</f>
        <v>1.2345679012345678E-2</v>
      </c>
      <c r="G84" s="1">
        <f t="shared" si="115"/>
        <v>0</v>
      </c>
      <c r="H84" s="1">
        <f t="shared" si="115"/>
        <v>1.5238192574396879E-10</v>
      </c>
      <c r="I84" s="1">
        <f t="shared" si="115"/>
        <v>8.5719594835718771E-11</v>
      </c>
      <c r="J84" s="1">
        <f t="shared" si="115"/>
        <v>0.15123456790123457</v>
      </c>
      <c r="K84" s="1">
        <f t="shared" si="114"/>
        <v>0.26588951230115165</v>
      </c>
      <c r="L84" s="1">
        <f t="shared" ref="L84:P84" si="116">L64^2</f>
        <v>5.6639899482412495E-4</v>
      </c>
      <c r="M84" s="1">
        <f t="shared" ref="M84" si="117">M64^2</f>
        <v>1.1292488813657157E-5</v>
      </c>
      <c r="N84" s="1">
        <f t="shared" si="116"/>
        <v>1.5237807076092088E-2</v>
      </c>
      <c r="O84" s="1">
        <f t="shared" si="116"/>
        <v>1.8154236174111361E-3</v>
      </c>
      <c r="P84" s="1">
        <f t="shared" si="116"/>
        <v>1.5457696139351261E-2</v>
      </c>
    </row>
    <row r="85" spans="1:16" x14ac:dyDescent="0.25">
      <c r="A85" s="1" t="s">
        <v>518</v>
      </c>
      <c r="C85" s="1">
        <f t="shared" si="101"/>
        <v>1.1931282167572076E-2</v>
      </c>
      <c r="D85" s="1">
        <f t="shared" si="101"/>
        <v>7.1830955731910567E-3</v>
      </c>
      <c r="E85" s="1">
        <f t="shared" ref="E85:K85" si="118">E65^2</f>
        <v>1.2345679012345678E-2</v>
      </c>
      <c r="F85" s="1">
        <f t="shared" ref="F85:J85" si="119">F65^2</f>
        <v>0.79012345679012341</v>
      </c>
      <c r="G85" s="1">
        <f t="shared" si="119"/>
        <v>0</v>
      </c>
      <c r="H85" s="1">
        <f t="shared" si="119"/>
        <v>1.5238192574396879E-10</v>
      </c>
      <c r="I85" s="1">
        <f t="shared" si="119"/>
        <v>8.5719594835718771E-11</v>
      </c>
      <c r="J85" s="1">
        <f t="shared" si="119"/>
        <v>0.15123456790123457</v>
      </c>
      <c r="K85" s="1">
        <f t="shared" si="118"/>
        <v>3.5046892011072485E-3</v>
      </c>
      <c r="L85" s="1">
        <f t="shared" ref="L85:P85" si="120">L65^2</f>
        <v>3.9452316082273905E-6</v>
      </c>
      <c r="M85" s="1">
        <f t="shared" ref="M85" si="121">M65^2</f>
        <v>2.0882701040174001E-4</v>
      </c>
      <c r="N85" s="1">
        <f t="shared" si="120"/>
        <v>1.1740517574236721E-4</v>
      </c>
      <c r="O85" s="1">
        <f t="shared" si="120"/>
        <v>2.7989948869866809E-7</v>
      </c>
      <c r="P85" s="1">
        <f t="shared" si="120"/>
        <v>1.6017087815648307E-5</v>
      </c>
    </row>
    <row r="86" spans="1:16" x14ac:dyDescent="0.25">
      <c r="A86" s="1" t="s">
        <v>519</v>
      </c>
      <c r="C86" s="1">
        <f t="shared" si="101"/>
        <v>0.76127178077213209</v>
      </c>
      <c r="D86" s="1">
        <f t="shared" si="101"/>
        <v>4.2555392691003815E-4</v>
      </c>
      <c r="E86" s="1">
        <f t="shared" ref="E86:K86" si="122">E66^2</f>
        <v>0.79012345679012341</v>
      </c>
      <c r="F86" s="1">
        <f t="shared" ref="F86:J86" si="123">F66^2</f>
        <v>1.2345679012345678E-2</v>
      </c>
      <c r="G86" s="1">
        <f t="shared" si="123"/>
        <v>0</v>
      </c>
      <c r="H86" s="1">
        <f t="shared" si="123"/>
        <v>9.7524432476441533E-9</v>
      </c>
      <c r="I86" s="1">
        <f t="shared" si="123"/>
        <v>5.4860540694880569E-9</v>
      </c>
      <c r="J86" s="1">
        <f t="shared" si="123"/>
        <v>1.2345679012345678E-2</v>
      </c>
      <c r="K86" s="1">
        <f t="shared" si="122"/>
        <v>4.2780178516064419E-3</v>
      </c>
      <c r="L86" s="1">
        <f t="shared" ref="L86:P86" si="124">L66^2</f>
        <v>4.1134917119782689E-4</v>
      </c>
      <c r="M86" s="1">
        <f t="shared" ref="M86" si="125">M66^2</f>
        <v>7.3183879285180874E-5</v>
      </c>
      <c r="N86" s="1">
        <f t="shared" si="124"/>
        <v>2.2774261952992377E-4</v>
      </c>
      <c r="O86" s="1">
        <f t="shared" si="124"/>
        <v>4.8171796027991953E-5</v>
      </c>
      <c r="P86" s="1">
        <f t="shared" si="124"/>
        <v>4.0996315161725977E-4</v>
      </c>
    </row>
    <row r="87" spans="1:16" x14ac:dyDescent="0.25">
      <c r="A87" s="1" t="s">
        <v>515</v>
      </c>
      <c r="C87" s="1">
        <f t="shared" si="101"/>
        <v>1.2324641076080545E-2</v>
      </c>
      <c r="D87" s="1">
        <f t="shared" si="101"/>
        <v>5.7446304129176438E-4</v>
      </c>
      <c r="E87" s="1">
        <f t="shared" ref="E87:K87" si="126">E67^2</f>
        <v>1.2345679012345678E-2</v>
      </c>
      <c r="F87" s="1">
        <f t="shared" ref="F87:J87" si="127">F67^2</f>
        <v>1.2345679012345678E-2</v>
      </c>
      <c r="G87" s="1">
        <f t="shared" si="127"/>
        <v>0</v>
      </c>
      <c r="H87" s="1">
        <f t="shared" si="127"/>
        <v>1.5238192574396879E-10</v>
      </c>
      <c r="I87" s="1">
        <f t="shared" si="127"/>
        <v>8.5719594835718771E-11</v>
      </c>
      <c r="J87" s="1">
        <f t="shared" si="127"/>
        <v>1.2345679012345678E-2</v>
      </c>
      <c r="K87" s="1">
        <f t="shared" si="126"/>
        <v>4.2813637912746533E-3</v>
      </c>
      <c r="L87" s="1">
        <f t="shared" ref="L87:P87" si="128">L67^2</f>
        <v>4.1209939708599714E-4</v>
      </c>
      <c r="M87" s="1">
        <f t="shared" ref="M87" si="129">M67^2</f>
        <v>7.3230463378665383E-5</v>
      </c>
      <c r="N87" s="1">
        <f t="shared" si="128"/>
        <v>4.4931331772981773E-4</v>
      </c>
      <c r="O87" s="1">
        <f t="shared" si="128"/>
        <v>5.1227768966337718E-5</v>
      </c>
      <c r="P87" s="1">
        <f t="shared" si="128"/>
        <v>4.1171470812674022E-4</v>
      </c>
    </row>
    <row r="88" spans="1:16" x14ac:dyDescent="0.25">
      <c r="A88" s="1" t="s">
        <v>516</v>
      </c>
      <c r="C88" s="1">
        <f t="shared" si="101"/>
        <v>1.1425798357296246E-2</v>
      </c>
      <c r="D88" s="1">
        <f t="shared" si="101"/>
        <v>3.0460149589211957E-4</v>
      </c>
      <c r="E88" s="1">
        <f t="shared" ref="E88:K88" si="130">E68^2</f>
        <v>1.2345679012345678E-2</v>
      </c>
      <c r="F88" s="1">
        <f t="shared" ref="F88:J88" si="131">F68^2</f>
        <v>1.2345679012345678E-2</v>
      </c>
      <c r="G88" s="1">
        <f t="shared" si="131"/>
        <v>0</v>
      </c>
      <c r="H88" s="1">
        <f t="shared" si="131"/>
        <v>1.5238192574396879E-10</v>
      </c>
      <c r="I88" s="1">
        <f t="shared" si="131"/>
        <v>8.5719594835718771E-11</v>
      </c>
      <c r="J88" s="1">
        <f t="shared" si="131"/>
        <v>1.2345679012345678E-2</v>
      </c>
      <c r="K88" s="1">
        <f t="shared" si="130"/>
        <v>4.2777788233518254E-3</v>
      </c>
      <c r="L88" s="1">
        <f t="shared" ref="L88:P88" si="132">L68^2</f>
        <v>3.926377083337515E-4</v>
      </c>
      <c r="M88" s="1">
        <f t="shared" ref="M88" si="133">M68^2</f>
        <v>7.1783850766528529E-5</v>
      </c>
      <c r="N88" s="1">
        <f t="shared" si="132"/>
        <v>2.8649146390276808E-4</v>
      </c>
      <c r="O88" s="1">
        <f t="shared" si="132"/>
        <v>3.6891331351481487E-5</v>
      </c>
      <c r="P88" s="1">
        <f t="shared" si="132"/>
        <v>3.1360682284218427E-4</v>
      </c>
    </row>
    <row r="90" spans="1:16" s="49" customFormat="1" x14ac:dyDescent="0.25">
      <c r="A90" s="49" t="s">
        <v>619</v>
      </c>
      <c r="C90" s="49">
        <f>SUM(C70:C78)/SQRT(SUM($C80:$C88)*SUM(C80:C88))</f>
        <v>1</v>
      </c>
      <c r="D90" s="49">
        <f>SUM(D70:D78)/SQRT(SUM($C80:$C88)*SUM(D80:D88))</f>
        <v>-0.18123971161148109</v>
      </c>
      <c r="E90" s="49">
        <f>SUM(E70:E78)/SQRT(SUM($C80:$C88)*SUM(E80:E88))</f>
        <v>0.99997794139209573</v>
      </c>
      <c r="F90" s="49">
        <f t="shared" ref="F90:J90" si="134">SUM(F70:F78)/SQRT(SUM($C80:$C88)*SUM(F80:F88))</f>
        <v>-0.12518840683079099</v>
      </c>
      <c r="G90" s="49" t="e">
        <f t="shared" si="134"/>
        <v>#DIV/0!</v>
      </c>
      <c r="H90" s="49">
        <f t="shared" si="134"/>
        <v>0.99997794139209584</v>
      </c>
      <c r="I90" s="49">
        <f t="shared" si="134"/>
        <v>0.99997794139209573</v>
      </c>
      <c r="J90" s="49">
        <f t="shared" si="134"/>
        <v>-0.18560129390016616</v>
      </c>
      <c r="K90" s="49">
        <f>SUM(K70:K78)/SQRT(SUM($C80:$C88)*SUM(K80:K88))</f>
        <v>-0.12216596464424975</v>
      </c>
      <c r="L90" s="49">
        <f t="shared" ref="L90:P90" si="135">SUM(L70:L78)/SQRT(SUM($C80:$C88)*SUM(L80:L88))</f>
        <v>-0.19177382814703761</v>
      </c>
      <c r="M90" s="49">
        <f t="shared" ref="M90" si="136">SUM(M70:M78)/SQRT(SUM($C80:$C88)*SUM(M80:M88))</f>
        <v>-0.18834412602005227</v>
      </c>
      <c r="N90" s="49">
        <f t="shared" si="135"/>
        <v>-0.11521834925194747</v>
      </c>
      <c r="O90" s="49">
        <f t="shared" si="135"/>
        <v>-0.15538842724331073</v>
      </c>
      <c r="P90" s="49">
        <f t="shared" si="135"/>
        <v>-0.15575082597040005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3" sqref="A3"/>
    </sheetView>
  </sheetViews>
  <sheetFormatPr baseColWidth="10" defaultRowHeight="15" x14ac:dyDescent="0.25"/>
  <cols>
    <col min="1" max="1" width="37.85546875" bestFit="1" customWidth="1"/>
    <col min="2" max="2" width="3.42578125" bestFit="1" customWidth="1"/>
  </cols>
  <sheetData>
    <row r="1" spans="1:16" x14ac:dyDescent="0.25">
      <c r="A1" t="s">
        <v>580</v>
      </c>
    </row>
    <row r="2" spans="1:16" x14ac:dyDescent="0.25">
      <c r="C2" s="121" t="s">
        <v>162</v>
      </c>
      <c r="D2" s="121"/>
      <c r="E2" s="121"/>
      <c r="F2" s="121"/>
      <c r="G2" s="121"/>
      <c r="H2" s="121"/>
      <c r="I2" s="121"/>
      <c r="J2" s="121"/>
      <c r="K2" s="121"/>
    </row>
    <row r="3" spans="1:16" x14ac:dyDescent="0.25">
      <c r="A3" t="s">
        <v>37</v>
      </c>
      <c r="B3" t="s">
        <v>112</v>
      </c>
      <c r="C3" t="s">
        <v>39</v>
      </c>
      <c r="D3" t="s">
        <v>77</v>
      </c>
      <c r="E3" t="s">
        <v>40</v>
      </c>
      <c r="F3" t="s">
        <v>111</v>
      </c>
      <c r="G3" t="s">
        <v>109</v>
      </c>
      <c r="H3" s="10" t="s">
        <v>110</v>
      </c>
      <c r="K3" s="10"/>
      <c r="L3" s="1"/>
      <c r="M3" s="1"/>
      <c r="N3" s="1"/>
      <c r="O3" s="1"/>
      <c r="P3" s="1"/>
    </row>
    <row r="4" spans="1:16" x14ac:dyDescent="0.25">
      <c r="A4" s="2" t="s">
        <v>130</v>
      </c>
      <c r="B4" t="s">
        <v>7</v>
      </c>
      <c r="C4" s="1">
        <f>Land!E7</f>
        <v>510572693430434.19</v>
      </c>
      <c r="D4" s="1">
        <f>Land!F7</f>
        <v>511185932522525.5</v>
      </c>
      <c r="E4" s="1">
        <f>Land!G7</f>
        <v>511799539668488.19</v>
      </c>
      <c r="F4" s="3">
        <f>SUM(F5:F6)</f>
        <v>1</v>
      </c>
      <c r="G4" s="3">
        <f>SUM(G5:G6)</f>
        <v>1</v>
      </c>
      <c r="H4" s="3">
        <f>SUM(H5:H6)</f>
        <v>1</v>
      </c>
      <c r="I4" s="3"/>
      <c r="J4" s="3"/>
      <c r="K4" s="3"/>
      <c r="L4" s="1"/>
      <c r="M4" s="1"/>
      <c r="N4" s="1"/>
      <c r="O4" s="1"/>
      <c r="P4" s="1"/>
    </row>
    <row r="5" spans="1:16" x14ac:dyDescent="0.25">
      <c r="A5" s="2" t="s">
        <v>131</v>
      </c>
      <c r="B5" t="s">
        <v>7</v>
      </c>
      <c r="C5" s="1">
        <f>Land!E9</f>
        <v>145166194000000</v>
      </c>
      <c r="D5" s="1">
        <f>Land!F9</f>
        <v>145911370000000</v>
      </c>
      <c r="E5" s="1">
        <f>Land!G9</f>
        <v>146656546000000</v>
      </c>
      <c r="F5" s="3">
        <f>C5/C4</f>
        <v>0.28432032474094499</v>
      </c>
      <c r="G5" s="3">
        <f>D5/D4</f>
        <v>0.28543698235195547</v>
      </c>
      <c r="H5" s="3">
        <f>E5/E4</f>
        <v>0.28655075792954982</v>
      </c>
      <c r="I5" s="3"/>
      <c r="J5" s="3"/>
      <c r="K5" s="3"/>
      <c r="L5" s="1"/>
      <c r="M5" s="1"/>
      <c r="N5" s="1"/>
      <c r="O5" s="1"/>
      <c r="P5" s="1"/>
    </row>
    <row r="6" spans="1:16" x14ac:dyDescent="0.25">
      <c r="A6" s="2" t="s">
        <v>132</v>
      </c>
      <c r="B6" t="s">
        <v>7</v>
      </c>
      <c r="C6" s="1">
        <f>Land!E25</f>
        <v>365406499430434.19</v>
      </c>
      <c r="D6" s="1">
        <f>Land!F25</f>
        <v>365274562522525.5</v>
      </c>
      <c r="E6" s="1">
        <f>Land!G25</f>
        <v>365142993668488.19</v>
      </c>
      <c r="F6" s="3">
        <f>C6/C4</f>
        <v>0.71567967525905496</v>
      </c>
      <c r="G6" s="3">
        <f>D6/D4</f>
        <v>0.71456301764804453</v>
      </c>
      <c r="H6" s="3">
        <f>E6/E4</f>
        <v>0.71344924207045013</v>
      </c>
      <c r="I6" s="3"/>
      <c r="J6" s="3"/>
      <c r="K6" s="3"/>
      <c r="L6" s="1"/>
      <c r="M6" s="1"/>
      <c r="N6" s="1"/>
      <c r="O6" s="1"/>
      <c r="P6" s="1"/>
    </row>
    <row r="7" spans="1:16" x14ac:dyDescent="0.25">
      <c r="A7" s="2"/>
      <c r="C7" s="1"/>
      <c r="D7" s="1"/>
      <c r="E7" s="1"/>
      <c r="F7" s="3"/>
      <c r="G7" s="3"/>
      <c r="H7" s="3"/>
      <c r="I7" s="3"/>
      <c r="J7" s="3"/>
      <c r="K7" s="3"/>
      <c r="L7" s="1"/>
      <c r="M7" s="1"/>
      <c r="N7" s="1"/>
      <c r="O7" s="1"/>
      <c r="P7" s="1"/>
    </row>
    <row r="8" spans="1:16" x14ac:dyDescent="0.25">
      <c r="A8" s="2" t="s">
        <v>163</v>
      </c>
      <c r="C8" s="1"/>
      <c r="D8" s="1"/>
      <c r="E8" s="1"/>
      <c r="F8" s="3">
        <f>SUM(F9:F17)</f>
        <v>1</v>
      </c>
      <c r="G8" s="3">
        <f>SUM(G9:G17)</f>
        <v>1</v>
      </c>
      <c r="H8" s="3">
        <f>SUM(H9:H17)</f>
        <v>1</v>
      </c>
      <c r="I8" s="3"/>
      <c r="J8" s="3"/>
      <c r="K8" s="3"/>
      <c r="L8" s="1"/>
      <c r="M8" s="1"/>
      <c r="N8" s="1"/>
      <c r="O8" s="1"/>
      <c r="P8" s="1"/>
    </row>
    <row r="9" spans="1:16" x14ac:dyDescent="0.25">
      <c r="A9" s="2" t="s">
        <v>133</v>
      </c>
      <c r="B9" t="s">
        <v>7</v>
      </c>
      <c r="C9" s="1">
        <f>Land!E13</f>
        <v>22364100000000</v>
      </c>
      <c r="D9" s="1">
        <f>Land!F13</f>
        <v>22590000000000</v>
      </c>
      <c r="E9" s="1">
        <f>Land!G13</f>
        <v>22815900000000</v>
      </c>
      <c r="F9" s="3">
        <f>C9/$C$5</f>
        <v>0.15405859576369413</v>
      </c>
      <c r="G9" s="3">
        <f>D9/$D$5</f>
        <v>0.15482001162760653</v>
      </c>
      <c r="H9" s="3">
        <f>E9/$E$5</f>
        <v>0.15557368983720646</v>
      </c>
      <c r="I9" s="3"/>
      <c r="J9" s="3"/>
      <c r="K9" s="3"/>
      <c r="L9" s="1"/>
      <c r="M9" s="1"/>
      <c r="N9" s="1"/>
      <c r="O9" s="1"/>
      <c r="P9" s="1"/>
    </row>
    <row r="10" spans="1:16" x14ac:dyDescent="0.25">
      <c r="A10" s="2" t="s">
        <v>134</v>
      </c>
      <c r="B10" t="s">
        <v>7</v>
      </c>
      <c r="C10" s="1">
        <f>Land!E14</f>
        <v>16869600000000</v>
      </c>
      <c r="D10" s="1">
        <f>Land!F14</f>
        <v>17040000000000</v>
      </c>
      <c r="E10" s="1">
        <f>Land!G14</f>
        <v>17210400000000</v>
      </c>
      <c r="F10" s="3">
        <f t="shared" ref="F10:F17" si="0">C10/$C$5</f>
        <v>0.11620887436092731</v>
      </c>
      <c r="G10" s="3">
        <f t="shared" ref="G10:G17" si="1">D10/$D$5</f>
        <v>0.11678322258231144</v>
      </c>
      <c r="H10" s="3">
        <f t="shared" ref="H10:H17" si="2">E10/$E$5</f>
        <v>0.11735173416671084</v>
      </c>
      <c r="I10" s="3"/>
      <c r="J10" s="3"/>
      <c r="K10" s="3"/>
      <c r="L10" s="1"/>
      <c r="M10" s="1"/>
      <c r="N10" s="1"/>
      <c r="O10" s="1"/>
      <c r="P10" s="1"/>
    </row>
    <row r="11" spans="1:16" x14ac:dyDescent="0.25">
      <c r="A11" s="2" t="s">
        <v>135</v>
      </c>
      <c r="B11" t="s">
        <v>7</v>
      </c>
      <c r="C11" s="1">
        <f>Land!E15</f>
        <v>15493500000000</v>
      </c>
      <c r="D11" s="1">
        <f>Land!F15</f>
        <v>15650000000000</v>
      </c>
      <c r="E11" s="1">
        <f>Land!G15</f>
        <v>15806500000000</v>
      </c>
      <c r="F11" s="3">
        <f t="shared" si="0"/>
        <v>0.1067293945861803</v>
      </c>
      <c r="G11" s="3">
        <f t="shared" si="1"/>
        <v>0.10725689163222853</v>
      </c>
      <c r="H11" s="3">
        <f t="shared" si="2"/>
        <v>0.10777902815193807</v>
      </c>
      <c r="I11" s="3"/>
      <c r="J11" s="3"/>
      <c r="K11" s="3"/>
      <c r="L11" s="1"/>
      <c r="M11" s="1"/>
      <c r="N11" s="1"/>
      <c r="O11" s="1"/>
      <c r="P11" s="1"/>
    </row>
    <row r="12" spans="1:16" x14ac:dyDescent="0.25">
      <c r="A12" s="2" t="s">
        <v>138</v>
      </c>
      <c r="B12" t="s">
        <v>7</v>
      </c>
      <c r="C12" s="1">
        <f>Land!E17</f>
        <v>18888130800000</v>
      </c>
      <c r="D12" s="1">
        <f>Land!F17</f>
        <v>19078920000000</v>
      </c>
      <c r="E12" s="1">
        <f>Land!G17</f>
        <v>19269709200000</v>
      </c>
      <c r="F12" s="3">
        <f t="shared" si="0"/>
        <v>0.13011383903886053</v>
      </c>
      <c r="G12" s="3">
        <f t="shared" si="1"/>
        <v>0.13075691085622732</v>
      </c>
      <c r="H12" s="3">
        <f t="shared" si="2"/>
        <v>0.13139344765422201</v>
      </c>
      <c r="I12" s="3"/>
      <c r="J12" s="3"/>
      <c r="K12" s="3"/>
      <c r="L12" s="1"/>
      <c r="M12" s="1"/>
      <c r="N12" s="1"/>
      <c r="O12" s="1"/>
      <c r="P12" s="1"/>
    </row>
    <row r="13" spans="1:16" x14ac:dyDescent="0.25">
      <c r="A13" s="2" t="s">
        <v>137</v>
      </c>
      <c r="B13" t="s">
        <v>7</v>
      </c>
      <c r="C13" s="1">
        <f>Land!E18</f>
        <v>13979344500000</v>
      </c>
      <c r="D13" s="1">
        <f>Land!F18</f>
        <v>14120550000000</v>
      </c>
      <c r="E13" s="1">
        <f>Land!G18</f>
        <v>14261755500000</v>
      </c>
      <c r="F13" s="3">
        <f t="shared" si="0"/>
        <v>9.629889793762865E-2</v>
      </c>
      <c r="G13" s="3">
        <f t="shared" si="1"/>
        <v>9.6774843523160667E-2</v>
      </c>
      <c r="H13" s="3">
        <f t="shared" si="2"/>
        <v>9.7245952458201224E-2</v>
      </c>
      <c r="I13" s="3"/>
      <c r="J13" s="3"/>
      <c r="K13" s="3"/>
      <c r="L13" s="1"/>
      <c r="M13" s="1"/>
      <c r="N13" s="1"/>
      <c r="O13" s="1"/>
      <c r="P13" s="1"/>
    </row>
    <row r="14" spans="1:16" x14ac:dyDescent="0.25">
      <c r="A14" s="2" t="s">
        <v>136</v>
      </c>
      <c r="B14" t="s">
        <v>7</v>
      </c>
      <c r="C14" s="1">
        <f>Land!E19</f>
        <v>24378383700000</v>
      </c>
      <c r="D14" s="1">
        <f>Land!F19</f>
        <v>24624630000000</v>
      </c>
      <c r="E14" s="1">
        <f>Land!G19</f>
        <v>24870876300000</v>
      </c>
      <c r="F14" s="3">
        <f t="shared" si="0"/>
        <v>0.16793430362994843</v>
      </c>
      <c r="G14" s="3">
        <f t="shared" si="1"/>
        <v>0.16876429849161173</v>
      </c>
      <c r="H14" s="3">
        <f t="shared" si="2"/>
        <v>0.16958585878601015</v>
      </c>
      <c r="I14" s="3"/>
      <c r="J14" s="3"/>
      <c r="K14" s="3"/>
      <c r="L14" s="1"/>
      <c r="M14" s="1"/>
      <c r="N14" s="1"/>
      <c r="O14" s="1"/>
      <c r="P14" s="1"/>
    </row>
    <row r="15" spans="1:16" x14ac:dyDescent="0.25">
      <c r="A15" s="2" t="s">
        <v>139</v>
      </c>
      <c r="B15" t="s">
        <v>7</v>
      </c>
      <c r="C15" s="1">
        <f>Land!E22</f>
        <v>15147000000000</v>
      </c>
      <c r="D15" s="1">
        <f>Land!F22</f>
        <v>15300000000000</v>
      </c>
      <c r="E15" s="1">
        <f>Land!G22</f>
        <v>15453000000000</v>
      </c>
      <c r="F15" s="3">
        <f t="shared" si="0"/>
        <v>0.10434247521843826</v>
      </c>
      <c r="G15" s="3">
        <f t="shared" si="1"/>
        <v>0.10485817520594866</v>
      </c>
      <c r="H15" s="3">
        <f t="shared" si="2"/>
        <v>0.105368634551096</v>
      </c>
      <c r="I15" s="3"/>
      <c r="J15" s="3"/>
      <c r="K15" s="3"/>
      <c r="L15" s="1"/>
      <c r="M15" s="1"/>
      <c r="N15" s="1"/>
      <c r="O15" s="1"/>
      <c r="P15" s="1"/>
    </row>
    <row r="16" spans="1:16" x14ac:dyDescent="0.25">
      <c r="A16" s="2" t="s">
        <v>140</v>
      </c>
      <c r="B16" t="s">
        <v>7</v>
      </c>
      <c r="C16" s="1">
        <f>Land!E23</f>
        <v>15840000000000</v>
      </c>
      <c r="D16" s="1">
        <f>Land!F23</f>
        <v>16000000000000</v>
      </c>
      <c r="E16" s="1">
        <f>Land!G23</f>
        <v>16160000000000</v>
      </c>
      <c r="F16" s="3">
        <f t="shared" si="0"/>
        <v>0.10911631395392236</v>
      </c>
      <c r="G16" s="3">
        <f t="shared" si="1"/>
        <v>0.10965560805850839</v>
      </c>
      <c r="H16" s="3">
        <f t="shared" si="2"/>
        <v>0.11018942175278013</v>
      </c>
      <c r="I16" s="3"/>
      <c r="J16" s="3"/>
      <c r="K16" s="3"/>
    </row>
    <row r="17" spans="1:11" x14ac:dyDescent="0.25">
      <c r="A17" s="2" t="s">
        <v>141</v>
      </c>
      <c r="B17" t="s">
        <v>7</v>
      </c>
      <c r="C17" s="1">
        <f>Land!E21</f>
        <v>2206135000000</v>
      </c>
      <c r="D17" s="1">
        <f>Land!F21</f>
        <v>1507270000000</v>
      </c>
      <c r="E17" s="1">
        <f>Land!G21</f>
        <v>808405000000</v>
      </c>
      <c r="F17" s="3">
        <f t="shared" si="0"/>
        <v>1.5197305510400031E-2</v>
      </c>
      <c r="G17" s="3">
        <f t="shared" si="1"/>
        <v>1.0330038022396747E-2</v>
      </c>
      <c r="H17" s="3">
        <f t="shared" si="2"/>
        <v>5.512232641835162E-3</v>
      </c>
      <c r="I17" s="3"/>
      <c r="J17" s="3"/>
      <c r="K17" s="3"/>
    </row>
    <row r="18" spans="1:11" x14ac:dyDescent="0.25">
      <c r="A18" s="2" t="s">
        <v>164</v>
      </c>
      <c r="C18" s="1"/>
      <c r="D18" s="1"/>
      <c r="E18" s="1"/>
      <c r="F18" s="3"/>
      <c r="G18" s="3"/>
      <c r="H18" s="3"/>
      <c r="I18" s="3"/>
      <c r="J18" s="3"/>
      <c r="K18" s="3"/>
    </row>
    <row r="19" spans="1:11" x14ac:dyDescent="0.25">
      <c r="A19" s="2" t="s">
        <v>142</v>
      </c>
      <c r="B19" t="s">
        <v>7</v>
      </c>
      <c r="C19" s="1">
        <f>Land!E31</f>
        <v>3354615000000</v>
      </c>
      <c r="D19" s="1">
        <f>Land!F31</f>
        <v>7341750000000</v>
      </c>
      <c r="E19" s="1">
        <f>Land!G31</f>
        <v>11407950000000</v>
      </c>
      <c r="F19" s="3">
        <f>C19/C9</f>
        <v>0.15</v>
      </c>
      <c r="G19" s="3">
        <f t="shared" ref="G19:H27" si="3">D19/D9</f>
        <v>0.32500000000000001</v>
      </c>
      <c r="H19" s="3">
        <f t="shared" si="3"/>
        <v>0.5</v>
      </c>
      <c r="I19" s="3"/>
      <c r="J19" s="3"/>
      <c r="K19" s="3"/>
    </row>
    <row r="20" spans="1:11" x14ac:dyDescent="0.25">
      <c r="A20" s="2" t="s">
        <v>143</v>
      </c>
      <c r="B20" t="s">
        <v>7</v>
      </c>
      <c r="C20" s="1">
        <f>Land!E33</f>
        <v>8434800000000</v>
      </c>
      <c r="D20" s="1">
        <f>Land!F33</f>
        <v>11076000000000</v>
      </c>
      <c r="E20" s="1">
        <f>Land!G33</f>
        <v>13768320000000</v>
      </c>
      <c r="F20" s="3">
        <f t="shared" ref="F20:F27" si="4">C20/C10</f>
        <v>0.5</v>
      </c>
      <c r="G20" s="3">
        <f t="shared" si="3"/>
        <v>0.65</v>
      </c>
      <c r="H20" s="3">
        <f t="shared" si="3"/>
        <v>0.8</v>
      </c>
      <c r="I20" s="3"/>
      <c r="J20" s="3"/>
      <c r="K20" s="3"/>
    </row>
    <row r="21" spans="1:11" x14ac:dyDescent="0.25">
      <c r="A21" s="2" t="s">
        <v>144</v>
      </c>
      <c r="B21" t="s">
        <v>7</v>
      </c>
      <c r="C21" s="1">
        <f>Land!E35</f>
        <v>2324025000000</v>
      </c>
      <c r="D21" s="1">
        <f>Land!F35</f>
        <v>5086250000000</v>
      </c>
      <c r="E21" s="1">
        <f>Land!G35</f>
        <v>7903250000000</v>
      </c>
      <c r="F21" s="3">
        <f t="shared" si="4"/>
        <v>0.15</v>
      </c>
      <c r="G21" s="3">
        <f t="shared" si="3"/>
        <v>0.32500000000000001</v>
      </c>
      <c r="H21" s="3">
        <f t="shared" si="3"/>
        <v>0.5</v>
      </c>
    </row>
    <row r="22" spans="1:11" x14ac:dyDescent="0.25">
      <c r="A22" s="2" t="s">
        <v>145</v>
      </c>
      <c r="B22" t="s">
        <v>7</v>
      </c>
      <c r="C22" s="1">
        <f>Land!E38</f>
        <v>9444065400000</v>
      </c>
      <c r="D22" s="1">
        <f>Land!F38</f>
        <v>9539460000000</v>
      </c>
      <c r="E22" s="1">
        <f>Land!G38</f>
        <v>9634854600000</v>
      </c>
      <c r="F22" s="3">
        <f t="shared" si="4"/>
        <v>0.5</v>
      </c>
      <c r="G22" s="3">
        <f t="shared" si="3"/>
        <v>0.5</v>
      </c>
      <c r="H22" s="3">
        <f t="shared" si="3"/>
        <v>0.5</v>
      </c>
    </row>
    <row r="23" spans="1:11" x14ac:dyDescent="0.25">
      <c r="A23" s="2" t="s">
        <v>146</v>
      </c>
      <c r="B23" t="s">
        <v>7</v>
      </c>
      <c r="C23" s="1">
        <f>Land!E40</f>
        <v>6989672250000</v>
      </c>
      <c r="D23" s="1">
        <f>Land!F40</f>
        <v>7060275000000</v>
      </c>
      <c r="E23" s="1">
        <f>Land!G40</f>
        <v>7130877750000</v>
      </c>
      <c r="F23" s="3">
        <f t="shared" si="4"/>
        <v>0.5</v>
      </c>
      <c r="G23" s="3">
        <f t="shared" si="3"/>
        <v>0.5</v>
      </c>
      <c r="H23" s="3">
        <f t="shared" si="3"/>
        <v>0.5</v>
      </c>
    </row>
    <row r="24" spans="1:11" x14ac:dyDescent="0.25">
      <c r="A24" s="2" t="s">
        <v>147</v>
      </c>
      <c r="B24" t="s">
        <v>7</v>
      </c>
      <c r="C24" s="1">
        <f>Land!E42</f>
        <v>12189191850000</v>
      </c>
      <c r="D24" s="1">
        <f>Land!F42</f>
        <v>12312315000000</v>
      </c>
      <c r="E24" s="1">
        <f>Land!G42</f>
        <v>12435438150000</v>
      </c>
      <c r="F24" s="3">
        <f t="shared" si="4"/>
        <v>0.5</v>
      </c>
      <c r="G24" s="3">
        <f t="shared" si="3"/>
        <v>0.5</v>
      </c>
      <c r="H24" s="3">
        <f t="shared" si="3"/>
        <v>0.5</v>
      </c>
    </row>
    <row r="25" spans="1:11" x14ac:dyDescent="0.25">
      <c r="A25" s="2" t="s">
        <v>148</v>
      </c>
      <c r="B25" t="s">
        <v>7</v>
      </c>
      <c r="C25" s="1">
        <f>Land!E44</f>
        <v>7573500000000</v>
      </c>
      <c r="D25" s="1">
        <f>Land!F44</f>
        <v>7650000000000</v>
      </c>
      <c r="E25" s="1">
        <f>Land!G44</f>
        <v>7726500000000</v>
      </c>
      <c r="F25" s="3">
        <f t="shared" si="4"/>
        <v>0.5</v>
      </c>
      <c r="G25" s="3">
        <f t="shared" si="3"/>
        <v>0.5</v>
      </c>
      <c r="H25" s="3">
        <f t="shared" si="3"/>
        <v>0.5</v>
      </c>
    </row>
    <row r="26" spans="1:11" x14ac:dyDescent="0.25">
      <c r="A26" s="2" t="s">
        <v>149</v>
      </c>
      <c r="B26" t="s">
        <v>7</v>
      </c>
      <c r="C26">
        <v>0</v>
      </c>
      <c r="D26">
        <v>0</v>
      </c>
      <c r="E26">
        <v>0</v>
      </c>
      <c r="F26" s="3">
        <f t="shared" si="4"/>
        <v>0</v>
      </c>
      <c r="G26" s="3">
        <f t="shared" si="3"/>
        <v>0</v>
      </c>
      <c r="H26" s="3">
        <f t="shared" si="3"/>
        <v>0</v>
      </c>
    </row>
    <row r="27" spans="1:11" x14ac:dyDescent="0.25">
      <c r="A27" s="2" t="s">
        <v>150</v>
      </c>
      <c r="B27" t="s">
        <v>7</v>
      </c>
      <c r="C27">
        <v>0</v>
      </c>
      <c r="D27">
        <v>0</v>
      </c>
      <c r="E27">
        <v>0</v>
      </c>
      <c r="F27" s="3">
        <f t="shared" si="4"/>
        <v>0</v>
      </c>
      <c r="G27" s="3">
        <f t="shared" si="3"/>
        <v>0</v>
      </c>
      <c r="H27" s="3">
        <f t="shared" si="3"/>
        <v>0</v>
      </c>
    </row>
  </sheetData>
  <mergeCells count="3">
    <mergeCell ref="C2:E2"/>
    <mergeCell ref="F2:H2"/>
    <mergeCell ref="I2:K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35" sqref="L35"/>
    </sheetView>
  </sheetViews>
  <sheetFormatPr baseColWidth="10" defaultColWidth="9.140625" defaultRowHeight="15" x14ac:dyDescent="0.25"/>
  <cols>
    <col min="1" max="1" width="35.42578125" style="2" bestFit="1" customWidth="1"/>
    <col min="2" max="2" width="3" style="22" bestFit="1" customWidth="1"/>
    <col min="3" max="7" width="6.5703125" style="2" bestFit="1" customWidth="1"/>
    <col min="8" max="32" width="6.85546875" style="2" customWidth="1"/>
    <col min="33" max="16384" width="9.140625" style="2"/>
  </cols>
  <sheetData>
    <row r="1" spans="1:12" x14ac:dyDescent="0.25">
      <c r="A1" s="2" t="s">
        <v>181</v>
      </c>
      <c r="C1" s="2" t="s">
        <v>125</v>
      </c>
      <c r="D1" s="2" t="s">
        <v>126</v>
      </c>
    </row>
    <row r="2" spans="1:12" ht="16.149999999999999" customHeight="1" x14ac:dyDescent="0.25">
      <c r="A2" s="2" t="s">
        <v>127</v>
      </c>
      <c r="C2" s="2" t="s">
        <v>128</v>
      </c>
      <c r="D2" s="2" t="s">
        <v>183</v>
      </c>
    </row>
    <row r="3" spans="1:12" ht="91.9" customHeight="1" x14ac:dyDescent="0.25">
      <c r="A3" s="2" t="s">
        <v>182</v>
      </c>
      <c r="C3" s="27" t="s">
        <v>174</v>
      </c>
      <c r="D3" s="27" t="s">
        <v>133</v>
      </c>
      <c r="E3" s="27" t="s">
        <v>134</v>
      </c>
      <c r="F3" s="27" t="s">
        <v>135</v>
      </c>
      <c r="G3" s="27" t="s">
        <v>175</v>
      </c>
      <c r="H3" s="27" t="s">
        <v>176</v>
      </c>
      <c r="I3" s="27" t="s">
        <v>177</v>
      </c>
      <c r="J3" s="27" t="s">
        <v>178</v>
      </c>
      <c r="K3" s="27" t="s">
        <v>179</v>
      </c>
      <c r="L3" s="27" t="s">
        <v>180</v>
      </c>
    </row>
    <row r="4" spans="1:12" s="22" customFormat="1" x14ac:dyDescent="0.25">
      <c r="A4" s="22" t="s">
        <v>173</v>
      </c>
      <c r="B4" s="22" t="s">
        <v>129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</row>
    <row r="5" spans="1:12" x14ac:dyDescent="0.25">
      <c r="A5" s="2" t="s">
        <v>130</v>
      </c>
      <c r="B5" s="22">
        <v>1</v>
      </c>
      <c r="C5" s="2">
        <v>1</v>
      </c>
    </row>
    <row r="6" spans="1:12" x14ac:dyDescent="0.25">
      <c r="A6" s="2" t="s">
        <v>131</v>
      </c>
      <c r="B6" s="22">
        <v>2</v>
      </c>
      <c r="C6" s="2">
        <v>1</v>
      </c>
    </row>
    <row r="7" spans="1:12" x14ac:dyDescent="0.25">
      <c r="A7" s="2" t="s">
        <v>132</v>
      </c>
      <c r="B7" s="22">
        <v>3</v>
      </c>
      <c r="C7" s="2">
        <v>1</v>
      </c>
    </row>
    <row r="8" spans="1:12" x14ac:dyDescent="0.25">
      <c r="A8" s="2" t="s">
        <v>133</v>
      </c>
      <c r="B8" s="22">
        <v>4</v>
      </c>
      <c r="D8" s="2">
        <v>1</v>
      </c>
    </row>
    <row r="9" spans="1:12" x14ac:dyDescent="0.25">
      <c r="A9" s="2" t="s">
        <v>134</v>
      </c>
      <c r="B9" s="22">
        <v>5</v>
      </c>
      <c r="E9" s="2">
        <v>1</v>
      </c>
    </row>
    <row r="10" spans="1:12" x14ac:dyDescent="0.25">
      <c r="A10" s="2" t="s">
        <v>135</v>
      </c>
      <c r="B10" s="22">
        <v>6</v>
      </c>
      <c r="F10" s="2">
        <v>1</v>
      </c>
    </row>
    <row r="11" spans="1:12" x14ac:dyDescent="0.25">
      <c r="A11" s="2" t="s">
        <v>138</v>
      </c>
      <c r="B11" s="22">
        <v>7</v>
      </c>
      <c r="G11" s="2">
        <v>1</v>
      </c>
    </row>
    <row r="12" spans="1:12" x14ac:dyDescent="0.25">
      <c r="A12" s="2" t="s">
        <v>137</v>
      </c>
      <c r="B12" s="22">
        <v>8</v>
      </c>
      <c r="H12" s="2">
        <v>1</v>
      </c>
    </row>
    <row r="13" spans="1:12" x14ac:dyDescent="0.25">
      <c r="A13" s="2" t="s">
        <v>136</v>
      </c>
      <c r="B13" s="22">
        <v>9</v>
      </c>
      <c r="I13" s="2">
        <v>1</v>
      </c>
    </row>
    <row r="14" spans="1:12" x14ac:dyDescent="0.25">
      <c r="A14" s="2" t="s">
        <v>139</v>
      </c>
      <c r="B14" s="22">
        <v>10</v>
      </c>
      <c r="J14" s="2">
        <v>1</v>
      </c>
    </row>
    <row r="15" spans="1:12" x14ac:dyDescent="0.25">
      <c r="A15" s="2" t="s">
        <v>140</v>
      </c>
      <c r="B15" s="22">
        <v>11</v>
      </c>
      <c r="K15" s="2">
        <v>1</v>
      </c>
    </row>
    <row r="16" spans="1:12" x14ac:dyDescent="0.25">
      <c r="A16" s="2" t="s">
        <v>141</v>
      </c>
      <c r="B16" s="22">
        <v>12</v>
      </c>
      <c r="L16" s="2">
        <v>1</v>
      </c>
    </row>
    <row r="17" spans="1:12" x14ac:dyDescent="0.25">
      <c r="A17" s="2" t="s">
        <v>142</v>
      </c>
      <c r="B17" s="22">
        <v>13</v>
      </c>
      <c r="D17" s="2">
        <v>1</v>
      </c>
    </row>
    <row r="18" spans="1:12" x14ac:dyDescent="0.25">
      <c r="A18" s="2" t="s">
        <v>143</v>
      </c>
      <c r="B18" s="22">
        <v>14</v>
      </c>
      <c r="E18" s="2">
        <v>1</v>
      </c>
    </row>
    <row r="19" spans="1:12" x14ac:dyDescent="0.25">
      <c r="A19" s="2" t="s">
        <v>144</v>
      </c>
      <c r="B19" s="22">
        <v>15</v>
      </c>
      <c r="F19" s="2">
        <v>1</v>
      </c>
    </row>
    <row r="20" spans="1:12" x14ac:dyDescent="0.25">
      <c r="A20" s="2" t="s">
        <v>145</v>
      </c>
      <c r="B20" s="22">
        <v>16</v>
      </c>
      <c r="G20" s="2">
        <v>1</v>
      </c>
    </row>
    <row r="21" spans="1:12" x14ac:dyDescent="0.25">
      <c r="A21" s="2" t="s">
        <v>146</v>
      </c>
      <c r="B21" s="22">
        <v>17</v>
      </c>
      <c r="H21" s="2">
        <v>1</v>
      </c>
    </row>
    <row r="22" spans="1:12" x14ac:dyDescent="0.25">
      <c r="A22" s="2" t="s">
        <v>147</v>
      </c>
      <c r="B22" s="22">
        <v>18</v>
      </c>
      <c r="I22" s="2">
        <v>1</v>
      </c>
    </row>
    <row r="23" spans="1:12" x14ac:dyDescent="0.25">
      <c r="A23" s="2" t="s">
        <v>148</v>
      </c>
      <c r="B23" s="22">
        <v>19</v>
      </c>
      <c r="J23" s="2">
        <v>1</v>
      </c>
    </row>
    <row r="24" spans="1:12" x14ac:dyDescent="0.25">
      <c r="A24" s="2" t="s">
        <v>149</v>
      </c>
      <c r="B24" s="22">
        <v>20</v>
      </c>
      <c r="K24" s="2">
        <v>1</v>
      </c>
    </row>
    <row r="25" spans="1:12" x14ac:dyDescent="0.25">
      <c r="A25" s="2" t="s">
        <v>150</v>
      </c>
      <c r="B25" s="22">
        <v>21</v>
      </c>
      <c r="L25" s="2">
        <v>1</v>
      </c>
    </row>
    <row r="26" spans="1:12" x14ac:dyDescent="0.25">
      <c r="A26" s="2" t="s">
        <v>152</v>
      </c>
      <c r="B26" s="22">
        <v>22</v>
      </c>
      <c r="D26" s="2">
        <v>1</v>
      </c>
    </row>
    <row r="27" spans="1:12" x14ac:dyDescent="0.25">
      <c r="A27" s="2" t="s">
        <v>153</v>
      </c>
      <c r="B27" s="22">
        <v>23</v>
      </c>
      <c r="E27" s="2">
        <v>1</v>
      </c>
    </row>
    <row r="28" spans="1:12" x14ac:dyDescent="0.25">
      <c r="A28" s="2" t="s">
        <v>154</v>
      </c>
      <c r="B28" s="22">
        <v>24</v>
      </c>
      <c r="F28" s="2">
        <v>1</v>
      </c>
    </row>
    <row r="29" spans="1:12" x14ac:dyDescent="0.25">
      <c r="A29" s="2" t="s">
        <v>155</v>
      </c>
      <c r="B29" s="22">
        <v>25</v>
      </c>
      <c r="G29" s="2">
        <v>1</v>
      </c>
    </row>
    <row r="30" spans="1:12" x14ac:dyDescent="0.25">
      <c r="A30" s="2" t="s">
        <v>156</v>
      </c>
      <c r="B30" s="22">
        <v>26</v>
      </c>
      <c r="H30" s="2">
        <v>1</v>
      </c>
    </row>
    <row r="31" spans="1:12" x14ac:dyDescent="0.25">
      <c r="A31" s="2" t="s">
        <v>157</v>
      </c>
      <c r="B31" s="22">
        <v>27</v>
      </c>
      <c r="I31" s="2">
        <v>1</v>
      </c>
    </row>
    <row r="32" spans="1:12" x14ac:dyDescent="0.25">
      <c r="A32" s="2" t="s">
        <v>158</v>
      </c>
      <c r="B32" s="22">
        <v>28</v>
      </c>
      <c r="J32" s="2">
        <v>1</v>
      </c>
    </row>
    <row r="33" spans="1:12" x14ac:dyDescent="0.25">
      <c r="A33" s="2" t="s">
        <v>159</v>
      </c>
      <c r="B33" s="22">
        <v>29</v>
      </c>
      <c r="K33" s="2">
        <v>1</v>
      </c>
    </row>
    <row r="34" spans="1:12" x14ac:dyDescent="0.25">
      <c r="A34" s="2" t="s">
        <v>160</v>
      </c>
      <c r="B34" s="22">
        <v>30</v>
      </c>
      <c r="L34" s="2">
        <v>1</v>
      </c>
    </row>
    <row r="35" spans="1:12" x14ac:dyDescent="0.25">
      <c r="A35" s="2" t="s">
        <v>231</v>
      </c>
      <c r="B35" s="22">
        <v>31</v>
      </c>
      <c r="L35" s="2"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RowHeight="15" x14ac:dyDescent="0.25"/>
  <cols>
    <col min="1" max="1" width="37.85546875" bestFit="1" customWidth="1"/>
    <col min="2" max="2" width="3.5703125" bestFit="1" customWidth="1"/>
  </cols>
  <sheetData>
    <row r="1" spans="1:10" x14ac:dyDescent="0.25">
      <c r="A1" t="s">
        <v>437</v>
      </c>
      <c r="G1" s="22"/>
      <c r="H1" s="22"/>
      <c r="I1" s="22"/>
      <c r="J1" s="22"/>
    </row>
    <row r="2" spans="1:10" x14ac:dyDescent="0.25">
      <c r="D2" s="22"/>
      <c r="E2" s="22"/>
      <c r="G2" s="22"/>
      <c r="H2" s="22"/>
      <c r="I2" s="22"/>
      <c r="J2" s="22"/>
    </row>
    <row r="3" spans="1:10" x14ac:dyDescent="0.25">
      <c r="D3" s="22"/>
      <c r="E3" s="22"/>
      <c r="F3" s="22"/>
      <c r="G3" s="22"/>
      <c r="H3" s="22"/>
      <c r="I3" s="22"/>
      <c r="J3" s="22"/>
    </row>
    <row r="4" spans="1:10" x14ac:dyDescent="0.25">
      <c r="A4" t="s">
        <v>37</v>
      </c>
      <c r="B4" t="s">
        <v>129</v>
      </c>
      <c r="C4" t="s">
        <v>10</v>
      </c>
      <c r="D4" s="22"/>
      <c r="E4" s="22"/>
      <c r="F4" s="22"/>
      <c r="I4" s="22"/>
      <c r="J4" s="22"/>
    </row>
    <row r="5" spans="1:10" x14ac:dyDescent="0.25">
      <c r="A5" s="22" t="s">
        <v>174</v>
      </c>
      <c r="B5" s="22">
        <v>1</v>
      </c>
      <c r="C5" s="1">
        <f>Land!J7</f>
        <v>0.25</v>
      </c>
      <c r="G5" s="22"/>
    </row>
    <row r="6" spans="1:10" x14ac:dyDescent="0.25">
      <c r="A6" s="22" t="s">
        <v>133</v>
      </c>
      <c r="B6" s="22">
        <v>2</v>
      </c>
      <c r="C6" s="1">
        <f>Land!J13</f>
        <v>0.30449889052211471</v>
      </c>
    </row>
    <row r="7" spans="1:10" x14ac:dyDescent="0.25">
      <c r="A7" s="22" t="s">
        <v>134</v>
      </c>
      <c r="B7" s="22">
        <v>3</v>
      </c>
      <c r="C7" s="1">
        <f>Land!J14</f>
        <v>0.2372051424113942</v>
      </c>
    </row>
    <row r="8" spans="1:10" x14ac:dyDescent="0.25">
      <c r="A8" s="22" t="s">
        <v>135</v>
      </c>
      <c r="B8" s="22">
        <v>4</v>
      </c>
      <c r="C8" s="1">
        <f>Land!J15</f>
        <v>0.17635805210270342</v>
      </c>
    </row>
    <row r="9" spans="1:10" x14ac:dyDescent="0.25">
      <c r="A9" s="22" t="s">
        <v>175</v>
      </c>
      <c r="B9" s="22">
        <v>5</v>
      </c>
      <c r="C9" s="1">
        <f>Land!J17</f>
        <v>0.30050246751749771</v>
      </c>
    </row>
    <row r="10" spans="1:10" x14ac:dyDescent="0.25">
      <c r="A10" s="22" t="s">
        <v>176</v>
      </c>
      <c r="B10" s="22">
        <v>6</v>
      </c>
      <c r="C10" s="1">
        <f>Land!J18</f>
        <v>0.27779475392485875</v>
      </c>
    </row>
    <row r="11" spans="1:10" x14ac:dyDescent="0.25">
      <c r="A11" s="22" t="s">
        <v>177</v>
      </c>
      <c r="B11" s="22">
        <v>7</v>
      </c>
      <c r="C11" s="1">
        <f>Land!J19</f>
        <v>0.27201966576203268</v>
      </c>
    </row>
    <row r="12" spans="1:10" x14ac:dyDescent="0.25">
      <c r="A12" s="22" t="s">
        <v>178</v>
      </c>
      <c r="B12" s="22">
        <v>8</v>
      </c>
      <c r="C12" s="1">
        <f>Land!J22</f>
        <v>0.28133610294910177</v>
      </c>
    </row>
    <row r="13" spans="1:10" x14ac:dyDescent="0.25">
      <c r="A13" s="22" t="s">
        <v>179</v>
      </c>
      <c r="B13" s="22">
        <v>9</v>
      </c>
      <c r="C13" s="1">
        <f>Land!J23</f>
        <v>0.10085280794806559</v>
      </c>
    </row>
    <row r="14" spans="1:10" x14ac:dyDescent="0.25">
      <c r="A14" s="22" t="s">
        <v>180</v>
      </c>
      <c r="B14" s="22">
        <v>10</v>
      </c>
      <c r="C14" s="1">
        <f>Land!J21</f>
        <v>0.26205608931261554</v>
      </c>
    </row>
    <row r="15" spans="1:10" x14ac:dyDescent="0.25">
      <c r="A15" s="22"/>
      <c r="B15" s="22"/>
    </row>
    <row r="16" spans="1:10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2"/>
      <c r="B20" s="22"/>
    </row>
    <row r="21" spans="1:2" x14ac:dyDescent="0.25">
      <c r="A21" s="22"/>
      <c r="B21" s="22"/>
    </row>
    <row r="22" spans="1:2" x14ac:dyDescent="0.25">
      <c r="A22" s="22"/>
      <c r="B22" s="22"/>
    </row>
    <row r="23" spans="1:2" x14ac:dyDescent="0.25">
      <c r="A23" s="22"/>
      <c r="B23" s="22"/>
    </row>
    <row r="24" spans="1:2" x14ac:dyDescent="0.25">
      <c r="A24" s="22"/>
      <c r="B24" s="22"/>
    </row>
    <row r="25" spans="1:2" x14ac:dyDescent="0.25">
      <c r="A25" s="22"/>
      <c r="B25" s="22"/>
    </row>
    <row r="26" spans="1:2" x14ac:dyDescent="0.25">
      <c r="A26" s="22"/>
      <c r="B26" s="22"/>
    </row>
    <row r="27" spans="1:2" x14ac:dyDescent="0.25">
      <c r="A27" s="22"/>
      <c r="B27" s="22"/>
    </row>
    <row r="28" spans="1:2" x14ac:dyDescent="0.25">
      <c r="A28" s="22"/>
      <c r="B28" s="22"/>
    </row>
    <row r="29" spans="1:2" x14ac:dyDescent="0.25">
      <c r="A29" s="22"/>
      <c r="B29" s="22"/>
    </row>
    <row r="30" spans="1:2" x14ac:dyDescent="0.25">
      <c r="A30" s="22"/>
      <c r="B30" s="22"/>
    </row>
    <row r="31" spans="1:2" x14ac:dyDescent="0.25">
      <c r="A31" s="22"/>
      <c r="B31" s="22"/>
    </row>
    <row r="32" spans="1:2" x14ac:dyDescent="0.25">
      <c r="A32" s="22"/>
      <c r="B32" s="2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baseColWidth="10" defaultColWidth="9.140625" defaultRowHeight="15" x14ac:dyDescent="0.25"/>
  <cols>
    <col min="1" max="1" width="35.42578125" style="2" bestFit="1" customWidth="1"/>
    <col min="2" max="2" width="3" style="22" bestFit="1" customWidth="1"/>
    <col min="3" max="32" width="6.85546875" style="2" customWidth="1"/>
    <col min="33" max="16384" width="9.140625" style="2"/>
  </cols>
  <sheetData>
    <row r="1" spans="1:32" x14ac:dyDescent="0.25">
      <c r="A1" s="2" t="s">
        <v>165</v>
      </c>
      <c r="C1" s="2" t="s">
        <v>125</v>
      </c>
      <c r="D1" s="2" t="s">
        <v>126</v>
      </c>
    </row>
    <row r="2" spans="1:32" x14ac:dyDescent="0.25">
      <c r="A2" s="2" t="s">
        <v>127</v>
      </c>
      <c r="C2" s="2" t="s">
        <v>128</v>
      </c>
      <c r="D2" s="2" t="s">
        <v>232</v>
      </c>
    </row>
    <row r="4" spans="1:32" s="22" customFormat="1" x14ac:dyDescent="0.25">
      <c r="A4" s="22" t="s">
        <v>151</v>
      </c>
      <c r="B4" s="22" t="s">
        <v>129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>
        <v>13</v>
      </c>
      <c r="P4" s="22">
        <v>14</v>
      </c>
      <c r="Q4" s="22">
        <v>15</v>
      </c>
      <c r="R4" s="22">
        <v>16</v>
      </c>
      <c r="S4" s="22">
        <v>17</v>
      </c>
      <c r="T4" s="22">
        <v>18</v>
      </c>
      <c r="U4" s="22">
        <v>19</v>
      </c>
      <c r="V4" s="22">
        <v>20</v>
      </c>
      <c r="W4" s="22">
        <v>21</v>
      </c>
      <c r="X4" s="22">
        <v>22</v>
      </c>
      <c r="Y4" s="22">
        <v>23</v>
      </c>
      <c r="Z4" s="22">
        <v>24</v>
      </c>
      <c r="AA4" s="22">
        <v>25</v>
      </c>
      <c r="AB4" s="22">
        <v>26</v>
      </c>
      <c r="AC4" s="22">
        <v>27</v>
      </c>
      <c r="AD4" s="22">
        <v>28</v>
      </c>
      <c r="AE4" s="22">
        <v>29</v>
      </c>
      <c r="AF4" s="22">
        <v>30</v>
      </c>
    </row>
    <row r="5" spans="1:32" x14ac:dyDescent="0.25">
      <c r="A5" s="2" t="s">
        <v>130</v>
      </c>
      <c r="B5" s="22">
        <v>1</v>
      </c>
      <c r="C5" s="2">
        <v>0</v>
      </c>
    </row>
    <row r="6" spans="1:32" x14ac:dyDescent="0.25">
      <c r="A6" s="2" t="s">
        <v>131</v>
      </c>
      <c r="B6" s="22">
        <v>2</v>
      </c>
      <c r="C6" s="2">
        <f>TC_land!F5</f>
        <v>0.28432032474094499</v>
      </c>
      <c r="D6" s="2">
        <v>0</v>
      </c>
    </row>
    <row r="7" spans="1:32" x14ac:dyDescent="0.25">
      <c r="A7" s="2" t="s">
        <v>132</v>
      </c>
      <c r="B7" s="22">
        <v>3</v>
      </c>
      <c r="C7" s="2">
        <f>1-C6</f>
        <v>0.71567967525905507</v>
      </c>
      <c r="E7" s="2">
        <v>0</v>
      </c>
    </row>
    <row r="8" spans="1:32" x14ac:dyDescent="0.25">
      <c r="A8" s="2" t="s">
        <v>133</v>
      </c>
      <c r="B8" s="22">
        <v>4</v>
      </c>
      <c r="D8" s="2">
        <f>TC_land!F9</f>
        <v>0.15405859576369413</v>
      </c>
      <c r="F8" s="2">
        <v>0</v>
      </c>
    </row>
    <row r="9" spans="1:32" x14ac:dyDescent="0.25">
      <c r="A9" s="2" t="s">
        <v>134</v>
      </c>
      <c r="B9" s="22">
        <v>5</v>
      </c>
      <c r="D9" s="2">
        <f>TC_land!F10</f>
        <v>0.11620887436092731</v>
      </c>
      <c r="G9" s="2">
        <v>0</v>
      </c>
    </row>
    <row r="10" spans="1:32" x14ac:dyDescent="0.25">
      <c r="A10" s="2" t="s">
        <v>135</v>
      </c>
      <c r="B10" s="22">
        <v>6</v>
      </c>
      <c r="D10" s="2">
        <f>TC_land!F11</f>
        <v>0.1067293945861803</v>
      </c>
      <c r="H10" s="2">
        <v>0</v>
      </c>
    </row>
    <row r="11" spans="1:32" x14ac:dyDescent="0.25">
      <c r="A11" s="2" t="s">
        <v>138</v>
      </c>
      <c r="B11" s="22">
        <v>7</v>
      </c>
      <c r="D11" s="2">
        <f>TC_land!F12</f>
        <v>0.13011383903886053</v>
      </c>
      <c r="I11" s="2">
        <v>0</v>
      </c>
    </row>
    <row r="12" spans="1:32" x14ac:dyDescent="0.25">
      <c r="A12" s="2" t="s">
        <v>137</v>
      </c>
      <c r="B12" s="22">
        <v>8</v>
      </c>
      <c r="D12" s="2">
        <f>TC_land!F13</f>
        <v>9.629889793762865E-2</v>
      </c>
      <c r="J12" s="2">
        <v>0</v>
      </c>
    </row>
    <row r="13" spans="1:32" x14ac:dyDescent="0.25">
      <c r="A13" s="2" t="s">
        <v>136</v>
      </c>
      <c r="B13" s="22">
        <v>9</v>
      </c>
      <c r="D13" s="2">
        <f>TC_land!F14</f>
        <v>0.16793430362994843</v>
      </c>
      <c r="K13" s="2">
        <v>0</v>
      </c>
    </row>
    <row r="14" spans="1:32" x14ac:dyDescent="0.25">
      <c r="A14" s="2" t="s">
        <v>139</v>
      </c>
      <c r="B14" s="22">
        <v>10</v>
      </c>
      <c r="D14" s="2">
        <f>TC_land!F15</f>
        <v>0.10434247521843826</v>
      </c>
      <c r="L14" s="2">
        <v>0</v>
      </c>
    </row>
    <row r="15" spans="1:32" x14ac:dyDescent="0.25">
      <c r="A15" s="2" t="s">
        <v>140</v>
      </c>
      <c r="B15" s="22">
        <v>11</v>
      </c>
      <c r="D15" s="2">
        <f>TC_land!F16</f>
        <v>0.10911631395392236</v>
      </c>
      <c r="M15" s="2">
        <v>0</v>
      </c>
    </row>
    <row r="16" spans="1:32" x14ac:dyDescent="0.25">
      <c r="A16" s="2" t="s">
        <v>141</v>
      </c>
      <c r="B16" s="22">
        <v>12</v>
      </c>
      <c r="D16" s="2">
        <f>1-SUM(D8:D15)</f>
        <v>1.5197305510399994E-2</v>
      </c>
      <c r="N16" s="2">
        <v>0</v>
      </c>
    </row>
    <row r="17" spans="1:30" x14ac:dyDescent="0.25">
      <c r="A17" s="2" t="s">
        <v>142</v>
      </c>
      <c r="B17" s="22">
        <v>13</v>
      </c>
      <c r="F17" s="2">
        <f>TC_land!F19</f>
        <v>0.15</v>
      </c>
      <c r="O17" s="2">
        <v>0</v>
      </c>
    </row>
    <row r="18" spans="1:30" x14ac:dyDescent="0.25">
      <c r="A18" s="2" t="s">
        <v>143</v>
      </c>
      <c r="B18" s="22">
        <v>14</v>
      </c>
      <c r="G18" s="2">
        <f>TC_land!F20</f>
        <v>0.5</v>
      </c>
      <c r="P18" s="2">
        <v>0</v>
      </c>
    </row>
    <row r="19" spans="1:30" x14ac:dyDescent="0.25">
      <c r="A19" s="2" t="s">
        <v>144</v>
      </c>
      <c r="B19" s="22">
        <v>15</v>
      </c>
      <c r="H19" s="2">
        <f>TC_land!F21</f>
        <v>0.15</v>
      </c>
      <c r="Q19" s="2">
        <v>0</v>
      </c>
    </row>
    <row r="20" spans="1:30" x14ac:dyDescent="0.25">
      <c r="A20" s="2" t="s">
        <v>145</v>
      </c>
      <c r="B20" s="22">
        <v>16</v>
      </c>
      <c r="I20" s="2">
        <f>TC_land!F22</f>
        <v>0.5</v>
      </c>
      <c r="R20" s="2">
        <v>0</v>
      </c>
    </row>
    <row r="21" spans="1:30" x14ac:dyDescent="0.25">
      <c r="A21" s="2" t="s">
        <v>146</v>
      </c>
      <c r="B21" s="22">
        <v>17</v>
      </c>
      <c r="J21" s="2">
        <f>TC_land!F23</f>
        <v>0.5</v>
      </c>
      <c r="S21" s="2">
        <v>0</v>
      </c>
    </row>
    <row r="22" spans="1:30" x14ac:dyDescent="0.25">
      <c r="A22" s="2" t="s">
        <v>147</v>
      </c>
      <c r="B22" s="22">
        <v>18</v>
      </c>
      <c r="K22" s="2">
        <f>TC_land!F24</f>
        <v>0.5</v>
      </c>
      <c r="T22" s="2">
        <v>0</v>
      </c>
    </row>
    <row r="23" spans="1:30" x14ac:dyDescent="0.25">
      <c r="A23" s="2" t="s">
        <v>148</v>
      </c>
      <c r="B23" s="22">
        <v>19</v>
      </c>
      <c r="L23" s="2">
        <f>TC_land!F25</f>
        <v>0.5</v>
      </c>
      <c r="U23" s="2">
        <v>0</v>
      </c>
    </row>
    <row r="24" spans="1:30" x14ac:dyDescent="0.25">
      <c r="A24" s="2" t="s">
        <v>149</v>
      </c>
      <c r="B24" s="22">
        <v>20</v>
      </c>
      <c r="M24" s="2">
        <v>0</v>
      </c>
      <c r="V24" s="2">
        <v>0</v>
      </c>
    </row>
    <row r="25" spans="1:30" x14ac:dyDescent="0.25">
      <c r="A25" s="2" t="s">
        <v>150</v>
      </c>
      <c r="B25" s="22">
        <v>21</v>
      </c>
      <c r="N25" s="2">
        <v>0</v>
      </c>
      <c r="W25" s="2">
        <v>0</v>
      </c>
    </row>
    <row r="26" spans="1:30" x14ac:dyDescent="0.25">
      <c r="A26" s="2" t="s">
        <v>152</v>
      </c>
      <c r="B26" s="22">
        <v>22</v>
      </c>
      <c r="F26" s="2">
        <f>1-F17</f>
        <v>0.85</v>
      </c>
      <c r="X26" s="2">
        <v>0</v>
      </c>
    </row>
    <row r="27" spans="1:30" x14ac:dyDescent="0.25">
      <c r="A27" s="2" t="s">
        <v>153</v>
      </c>
      <c r="B27" s="22">
        <v>23</v>
      </c>
      <c r="G27" s="2">
        <f>1-G18</f>
        <v>0.5</v>
      </c>
      <c r="Y27" s="2">
        <v>0</v>
      </c>
    </row>
    <row r="28" spans="1:30" x14ac:dyDescent="0.25">
      <c r="A28" s="2" t="s">
        <v>154</v>
      </c>
      <c r="B28" s="22">
        <v>24</v>
      </c>
      <c r="H28" s="2">
        <f>1-H19</f>
        <v>0.85</v>
      </c>
      <c r="Z28" s="2">
        <v>0</v>
      </c>
    </row>
    <row r="29" spans="1:30" x14ac:dyDescent="0.25">
      <c r="A29" s="2" t="s">
        <v>155</v>
      </c>
      <c r="B29" s="22">
        <v>25</v>
      </c>
      <c r="I29" s="2">
        <f>1-I20</f>
        <v>0.5</v>
      </c>
      <c r="AA29" s="2">
        <v>0</v>
      </c>
    </row>
    <row r="30" spans="1:30" x14ac:dyDescent="0.25">
      <c r="A30" s="2" t="s">
        <v>156</v>
      </c>
      <c r="B30" s="22">
        <v>26</v>
      </c>
      <c r="J30" s="2">
        <f>1-J21</f>
        <v>0.5</v>
      </c>
      <c r="AB30" s="2">
        <v>0</v>
      </c>
    </row>
    <row r="31" spans="1:30" x14ac:dyDescent="0.25">
      <c r="A31" s="2" t="s">
        <v>157</v>
      </c>
      <c r="B31" s="22">
        <v>27</v>
      </c>
      <c r="K31" s="2">
        <f>1-K22</f>
        <v>0.5</v>
      </c>
      <c r="AC31" s="2">
        <v>0</v>
      </c>
    </row>
    <row r="32" spans="1:30" x14ac:dyDescent="0.25">
      <c r="A32" s="2" t="s">
        <v>158</v>
      </c>
      <c r="B32" s="22">
        <v>28</v>
      </c>
      <c r="L32" s="2">
        <f>1-L23</f>
        <v>0.5</v>
      </c>
      <c r="AD32" s="2">
        <v>0</v>
      </c>
    </row>
    <row r="33" spans="1:32" x14ac:dyDescent="0.25">
      <c r="A33" s="2" t="s">
        <v>159</v>
      </c>
      <c r="B33" s="22">
        <v>29</v>
      </c>
      <c r="M33" s="2">
        <f>1-M24</f>
        <v>1</v>
      </c>
      <c r="AE33" s="2">
        <v>0</v>
      </c>
    </row>
    <row r="34" spans="1:32" x14ac:dyDescent="0.25">
      <c r="A34" s="2" t="s">
        <v>160</v>
      </c>
      <c r="B34" s="22">
        <v>30</v>
      </c>
      <c r="N34" s="2">
        <f>1-N25</f>
        <v>1</v>
      </c>
      <c r="AF34" s="2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7" sqref="F17"/>
    </sheetView>
  </sheetViews>
  <sheetFormatPr baseColWidth="10" defaultColWidth="9.140625" defaultRowHeight="15" x14ac:dyDescent="0.25"/>
  <cols>
    <col min="1" max="1" width="35.42578125" style="2" bestFit="1" customWidth="1"/>
    <col min="2" max="2" width="3" style="22" bestFit="1" customWidth="1"/>
    <col min="3" max="32" width="6.85546875" style="2" customWidth="1"/>
    <col min="33" max="16384" width="9.140625" style="2"/>
  </cols>
  <sheetData>
    <row r="1" spans="1:32" x14ac:dyDescent="0.25">
      <c r="A1" s="2" t="s">
        <v>165</v>
      </c>
      <c r="C1" s="2" t="s">
        <v>125</v>
      </c>
      <c r="D1" s="2" t="s">
        <v>126</v>
      </c>
    </row>
    <row r="2" spans="1:32" x14ac:dyDescent="0.25">
      <c r="A2" s="2" t="s">
        <v>127</v>
      </c>
      <c r="C2" s="2" t="s">
        <v>128</v>
      </c>
      <c r="D2" s="2" t="s">
        <v>161</v>
      </c>
    </row>
    <row r="4" spans="1:32" s="22" customFormat="1" x14ac:dyDescent="0.25">
      <c r="A4" s="22" t="s">
        <v>151</v>
      </c>
      <c r="B4" s="22" t="s">
        <v>129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>
        <v>13</v>
      </c>
      <c r="P4" s="22">
        <v>14</v>
      </c>
      <c r="Q4" s="22">
        <v>15</v>
      </c>
      <c r="R4" s="22">
        <v>16</v>
      </c>
      <c r="S4" s="22">
        <v>17</v>
      </c>
      <c r="T4" s="22">
        <v>18</v>
      </c>
      <c r="U4" s="22">
        <v>19</v>
      </c>
      <c r="V4" s="22">
        <v>20</v>
      </c>
      <c r="W4" s="22">
        <v>21</v>
      </c>
      <c r="X4" s="22">
        <v>22</v>
      </c>
      <c r="Y4" s="22">
        <v>23</v>
      </c>
      <c r="Z4" s="22">
        <v>24</v>
      </c>
      <c r="AA4" s="22">
        <v>25</v>
      </c>
      <c r="AB4" s="22">
        <v>26</v>
      </c>
      <c r="AC4" s="22">
        <v>27</v>
      </c>
      <c r="AD4" s="22">
        <v>28</v>
      </c>
      <c r="AE4" s="22">
        <v>29</v>
      </c>
      <c r="AF4" s="22">
        <v>30</v>
      </c>
    </row>
    <row r="5" spans="1:32" x14ac:dyDescent="0.25">
      <c r="A5" s="2" t="s">
        <v>130</v>
      </c>
      <c r="B5" s="22">
        <v>1</v>
      </c>
      <c r="C5" s="2">
        <v>0</v>
      </c>
    </row>
    <row r="6" spans="1:32" x14ac:dyDescent="0.25">
      <c r="A6" s="2" t="s">
        <v>131</v>
      </c>
      <c r="B6" s="22">
        <v>2</v>
      </c>
      <c r="C6" s="2">
        <f>TC_land!G5</f>
        <v>0.28543698235195547</v>
      </c>
      <c r="D6" s="2">
        <v>0</v>
      </c>
    </row>
    <row r="7" spans="1:32" x14ac:dyDescent="0.25">
      <c r="A7" s="2" t="s">
        <v>132</v>
      </c>
      <c r="B7" s="22">
        <v>3</v>
      </c>
      <c r="C7" s="2">
        <f>1-C6</f>
        <v>0.71456301764804453</v>
      </c>
      <c r="E7" s="2">
        <v>0</v>
      </c>
    </row>
    <row r="8" spans="1:32" x14ac:dyDescent="0.25">
      <c r="A8" s="2" t="s">
        <v>133</v>
      </c>
      <c r="B8" s="22">
        <v>4</v>
      </c>
      <c r="D8" s="2">
        <f>TC_land!G9</f>
        <v>0.15482001162760653</v>
      </c>
      <c r="F8" s="2">
        <v>0</v>
      </c>
    </row>
    <row r="9" spans="1:32" x14ac:dyDescent="0.25">
      <c r="A9" s="2" t="s">
        <v>134</v>
      </c>
      <c r="B9" s="22">
        <v>5</v>
      </c>
      <c r="D9" s="2">
        <f>TC_land!G10</f>
        <v>0.11678322258231144</v>
      </c>
      <c r="G9" s="2">
        <v>0</v>
      </c>
    </row>
    <row r="10" spans="1:32" x14ac:dyDescent="0.25">
      <c r="A10" s="2" t="s">
        <v>135</v>
      </c>
      <c r="B10" s="22">
        <v>6</v>
      </c>
      <c r="D10" s="2">
        <f>TC_land!G11</f>
        <v>0.10725689163222853</v>
      </c>
      <c r="H10" s="2">
        <v>0</v>
      </c>
    </row>
    <row r="11" spans="1:32" x14ac:dyDescent="0.25">
      <c r="A11" s="2" t="s">
        <v>138</v>
      </c>
      <c r="B11" s="22">
        <v>7</v>
      </c>
      <c r="D11" s="2">
        <f>TC_land!G12</f>
        <v>0.13075691085622732</v>
      </c>
      <c r="I11" s="2">
        <v>0</v>
      </c>
    </row>
    <row r="12" spans="1:32" x14ac:dyDescent="0.25">
      <c r="A12" s="2" t="s">
        <v>137</v>
      </c>
      <c r="B12" s="22">
        <v>8</v>
      </c>
      <c r="D12" s="2">
        <f>TC_land!G13</f>
        <v>9.6774843523160667E-2</v>
      </c>
      <c r="J12" s="2">
        <v>0</v>
      </c>
    </row>
    <row r="13" spans="1:32" x14ac:dyDescent="0.25">
      <c r="A13" s="2" t="s">
        <v>136</v>
      </c>
      <c r="B13" s="22">
        <v>9</v>
      </c>
      <c r="D13" s="2">
        <f>TC_land!G14</f>
        <v>0.16876429849161173</v>
      </c>
      <c r="K13" s="2">
        <v>0</v>
      </c>
    </row>
    <row r="14" spans="1:32" x14ac:dyDescent="0.25">
      <c r="A14" s="2" t="s">
        <v>139</v>
      </c>
      <c r="B14" s="22">
        <v>10</v>
      </c>
      <c r="D14" s="2">
        <f>TC_land!G15</f>
        <v>0.10485817520594866</v>
      </c>
      <c r="L14" s="2">
        <v>0</v>
      </c>
    </row>
    <row r="15" spans="1:32" x14ac:dyDescent="0.25">
      <c r="A15" s="2" t="s">
        <v>140</v>
      </c>
      <c r="B15" s="22">
        <v>11</v>
      </c>
      <c r="D15" s="2">
        <f>TC_land!G16</f>
        <v>0.10965560805850839</v>
      </c>
      <c r="M15" s="2">
        <v>0</v>
      </c>
    </row>
    <row r="16" spans="1:32" x14ac:dyDescent="0.25">
      <c r="A16" s="2" t="s">
        <v>141</v>
      </c>
      <c r="B16" s="22">
        <v>12</v>
      </c>
      <c r="D16" s="2">
        <f>1-SUM(D8:D15)</f>
        <v>1.0330038022396737E-2</v>
      </c>
      <c r="N16" s="2">
        <v>0</v>
      </c>
    </row>
    <row r="17" spans="1:30" x14ac:dyDescent="0.25">
      <c r="A17" s="2" t="s">
        <v>142</v>
      </c>
      <c r="B17" s="22">
        <v>13</v>
      </c>
      <c r="F17" s="2">
        <f>TC_land!G19</f>
        <v>0.32500000000000001</v>
      </c>
      <c r="O17" s="2">
        <v>0</v>
      </c>
    </row>
    <row r="18" spans="1:30" x14ac:dyDescent="0.25">
      <c r="A18" s="2" t="s">
        <v>143</v>
      </c>
      <c r="B18" s="22">
        <v>14</v>
      </c>
      <c r="G18" s="2">
        <f>TC_land!G20</f>
        <v>0.65</v>
      </c>
      <c r="P18" s="2">
        <v>0</v>
      </c>
    </row>
    <row r="19" spans="1:30" x14ac:dyDescent="0.25">
      <c r="A19" s="2" t="s">
        <v>144</v>
      </c>
      <c r="B19" s="22">
        <v>15</v>
      </c>
      <c r="H19" s="2">
        <f>TC_land!G21</f>
        <v>0.32500000000000001</v>
      </c>
      <c r="Q19" s="2">
        <v>0</v>
      </c>
    </row>
    <row r="20" spans="1:30" x14ac:dyDescent="0.25">
      <c r="A20" s="2" t="s">
        <v>145</v>
      </c>
      <c r="B20" s="22">
        <v>16</v>
      </c>
      <c r="I20" s="2">
        <f>TC_land!G22</f>
        <v>0.5</v>
      </c>
      <c r="R20" s="2">
        <v>0</v>
      </c>
    </row>
    <row r="21" spans="1:30" x14ac:dyDescent="0.25">
      <c r="A21" s="2" t="s">
        <v>146</v>
      </c>
      <c r="B21" s="22">
        <v>17</v>
      </c>
      <c r="J21" s="2">
        <f>TC_land!G23</f>
        <v>0.5</v>
      </c>
      <c r="S21" s="2">
        <v>0</v>
      </c>
    </row>
    <row r="22" spans="1:30" x14ac:dyDescent="0.25">
      <c r="A22" s="2" t="s">
        <v>147</v>
      </c>
      <c r="B22" s="22">
        <v>18</v>
      </c>
      <c r="K22" s="2">
        <f>TC_land!G24</f>
        <v>0.5</v>
      </c>
      <c r="T22" s="2">
        <v>0</v>
      </c>
    </row>
    <row r="23" spans="1:30" x14ac:dyDescent="0.25">
      <c r="A23" s="2" t="s">
        <v>148</v>
      </c>
      <c r="B23" s="22">
        <v>19</v>
      </c>
      <c r="L23" s="2">
        <f>TC_land!G25</f>
        <v>0.5</v>
      </c>
      <c r="U23" s="2">
        <v>0</v>
      </c>
    </row>
    <row r="24" spans="1:30" x14ac:dyDescent="0.25">
      <c r="A24" s="2" t="s">
        <v>149</v>
      </c>
      <c r="B24" s="22">
        <v>20</v>
      </c>
      <c r="M24" s="2">
        <v>0</v>
      </c>
      <c r="V24" s="2">
        <v>0</v>
      </c>
    </row>
    <row r="25" spans="1:30" x14ac:dyDescent="0.25">
      <c r="A25" s="2" t="s">
        <v>150</v>
      </c>
      <c r="B25" s="22">
        <v>21</v>
      </c>
      <c r="N25" s="2">
        <v>0</v>
      </c>
      <c r="W25" s="2">
        <v>0</v>
      </c>
    </row>
    <row r="26" spans="1:30" x14ac:dyDescent="0.25">
      <c r="A26" s="2" t="s">
        <v>152</v>
      </c>
      <c r="B26" s="22">
        <v>22</v>
      </c>
      <c r="F26" s="2">
        <f>1-F17</f>
        <v>0.67500000000000004</v>
      </c>
      <c r="X26" s="2">
        <v>0</v>
      </c>
    </row>
    <row r="27" spans="1:30" x14ac:dyDescent="0.25">
      <c r="A27" s="2" t="s">
        <v>153</v>
      </c>
      <c r="B27" s="22">
        <v>23</v>
      </c>
      <c r="G27" s="2">
        <f>1-G18</f>
        <v>0.35</v>
      </c>
      <c r="Y27" s="2">
        <v>0</v>
      </c>
    </row>
    <row r="28" spans="1:30" x14ac:dyDescent="0.25">
      <c r="A28" s="2" t="s">
        <v>154</v>
      </c>
      <c r="B28" s="22">
        <v>24</v>
      </c>
      <c r="H28" s="2">
        <f>1-H19</f>
        <v>0.67500000000000004</v>
      </c>
      <c r="Z28" s="2">
        <v>0</v>
      </c>
    </row>
    <row r="29" spans="1:30" x14ac:dyDescent="0.25">
      <c r="A29" s="2" t="s">
        <v>155</v>
      </c>
      <c r="B29" s="22">
        <v>25</v>
      </c>
      <c r="I29" s="2">
        <f>1-I20</f>
        <v>0.5</v>
      </c>
      <c r="AA29" s="2">
        <v>0</v>
      </c>
    </row>
    <row r="30" spans="1:30" x14ac:dyDescent="0.25">
      <c r="A30" s="2" t="s">
        <v>156</v>
      </c>
      <c r="B30" s="22">
        <v>26</v>
      </c>
      <c r="J30" s="2">
        <f>1-J21</f>
        <v>0.5</v>
      </c>
      <c r="AB30" s="2">
        <v>0</v>
      </c>
    </row>
    <row r="31" spans="1:30" x14ac:dyDescent="0.25">
      <c r="A31" s="2" t="s">
        <v>157</v>
      </c>
      <c r="B31" s="22">
        <v>27</v>
      </c>
      <c r="K31" s="2">
        <f>1-K22</f>
        <v>0.5</v>
      </c>
      <c r="AC31" s="2">
        <v>0</v>
      </c>
    </row>
    <row r="32" spans="1:30" x14ac:dyDescent="0.25">
      <c r="A32" s="2" t="s">
        <v>158</v>
      </c>
      <c r="B32" s="22">
        <v>28</v>
      </c>
      <c r="L32" s="2">
        <f>1-L23</f>
        <v>0.5</v>
      </c>
      <c r="AD32" s="2">
        <v>0</v>
      </c>
    </row>
    <row r="33" spans="1:32" x14ac:dyDescent="0.25">
      <c r="A33" s="2" t="s">
        <v>159</v>
      </c>
      <c r="B33" s="22">
        <v>29</v>
      </c>
      <c r="M33" s="2">
        <f>1-M24</f>
        <v>1</v>
      </c>
      <c r="AE33" s="2">
        <v>0</v>
      </c>
    </row>
    <row r="34" spans="1:32" x14ac:dyDescent="0.25">
      <c r="A34" s="2" t="s">
        <v>160</v>
      </c>
      <c r="B34" s="22">
        <v>30</v>
      </c>
      <c r="N34" s="2">
        <f>1-N25</f>
        <v>1</v>
      </c>
      <c r="AF34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C69" sqref="C69:I72"/>
    </sheetView>
  </sheetViews>
  <sheetFormatPr baseColWidth="10" defaultRowHeight="15" x14ac:dyDescent="0.25"/>
  <cols>
    <col min="1" max="1" width="41.140625" bestFit="1" customWidth="1"/>
    <col min="2" max="2" width="6.140625" bestFit="1" customWidth="1"/>
    <col min="3" max="3" width="12" bestFit="1" customWidth="1"/>
    <col min="12" max="12" width="95.7109375" customWidth="1"/>
  </cols>
  <sheetData>
    <row r="1" spans="1:12" ht="21.75" customHeight="1" x14ac:dyDescent="0.25">
      <c r="A1" s="83" t="s">
        <v>240</v>
      </c>
      <c r="B1" s="4"/>
      <c r="C1" s="4"/>
      <c r="D1" s="4"/>
      <c r="E1" s="28" t="s">
        <v>347</v>
      </c>
      <c r="F1" s="4"/>
      <c r="G1" s="28" t="s">
        <v>348</v>
      </c>
      <c r="H1" s="36"/>
      <c r="J1" s="23"/>
      <c r="K1" s="11"/>
    </row>
    <row r="2" spans="1:12" x14ac:dyDescent="0.25">
      <c r="A2" t="s">
        <v>37</v>
      </c>
      <c r="B2" t="s">
        <v>36</v>
      </c>
      <c r="C2" s="2" t="s">
        <v>41</v>
      </c>
      <c r="D2" s="2" t="s">
        <v>38</v>
      </c>
      <c r="E2" s="2" t="s">
        <v>253</v>
      </c>
      <c r="F2" s="1" t="s">
        <v>254</v>
      </c>
      <c r="G2" s="2" t="s">
        <v>255</v>
      </c>
      <c r="H2" s="2" t="s">
        <v>256</v>
      </c>
      <c r="I2" s="10" t="s">
        <v>53</v>
      </c>
      <c r="J2" s="10" t="s">
        <v>54</v>
      </c>
      <c r="K2" s="2" t="s">
        <v>55</v>
      </c>
      <c r="L2" s="2" t="s">
        <v>4</v>
      </c>
    </row>
    <row r="3" spans="1:12" x14ac:dyDescent="0.25">
      <c r="A3" t="s">
        <v>235</v>
      </c>
      <c r="B3" t="s">
        <v>73</v>
      </c>
      <c r="C3" s="37">
        <f>-D3</f>
        <v>-4.4999999999999997E-3</v>
      </c>
      <c r="D3" s="6">
        <v>4.4999999999999997E-3</v>
      </c>
      <c r="E3" s="38">
        <f>F3+C3*F3</f>
        <v>1354.6764000000001</v>
      </c>
      <c r="F3" s="39">
        <v>1360.8</v>
      </c>
      <c r="G3" s="38">
        <f>F3+D3*F3</f>
        <v>1366.9235999999999</v>
      </c>
      <c r="H3" s="22">
        <v>3</v>
      </c>
      <c r="I3" s="10"/>
      <c r="J3" s="10"/>
      <c r="K3" s="2"/>
      <c r="L3" t="s">
        <v>305</v>
      </c>
    </row>
    <row r="4" spans="1:12" x14ac:dyDescent="0.25">
      <c r="A4" t="s">
        <v>243</v>
      </c>
      <c r="B4" s="1" t="s">
        <v>6</v>
      </c>
      <c r="C4" s="37">
        <f>-D4</f>
        <v>-5.9999999999999995E-4</v>
      </c>
      <c r="D4" s="6">
        <v>5.9999999999999995E-4</v>
      </c>
      <c r="E4" s="38">
        <f>F4+C4*F4</f>
        <v>6374173.2000000002</v>
      </c>
      <c r="F4" s="39">
        <v>6378000</v>
      </c>
      <c r="G4" s="38">
        <f>F4+D4*F4</f>
        <v>6381826.7999999998</v>
      </c>
      <c r="H4" s="22">
        <v>3</v>
      </c>
      <c r="I4" s="10"/>
      <c r="J4" s="10"/>
      <c r="K4" s="2"/>
      <c r="L4" t="s">
        <v>5</v>
      </c>
    </row>
    <row r="5" spans="1:12" x14ac:dyDescent="0.25">
      <c r="A5" t="s">
        <v>242</v>
      </c>
      <c r="B5" t="s">
        <v>7</v>
      </c>
      <c r="C5" s="2"/>
      <c r="D5" s="2"/>
      <c r="E5" s="38">
        <f>E4^2*PI()</f>
        <v>127643173357608.55</v>
      </c>
      <c r="F5" s="38">
        <f>F4^2*PI()</f>
        <v>127796483130631.38</v>
      </c>
      <c r="G5" s="38">
        <f>G4^2*PI()</f>
        <v>127949884917122.05</v>
      </c>
      <c r="H5" s="22">
        <v>3</v>
      </c>
      <c r="I5" s="10"/>
      <c r="J5" s="10"/>
      <c r="K5" s="2"/>
      <c r="L5" s="2"/>
    </row>
    <row r="6" spans="1:12" x14ac:dyDescent="0.25">
      <c r="A6" t="s">
        <v>241</v>
      </c>
      <c r="B6" s="1" t="s">
        <v>7</v>
      </c>
      <c r="C6" s="29"/>
      <c r="D6" s="29"/>
      <c r="E6" s="40">
        <f>4*E5</f>
        <v>510572693430434.19</v>
      </c>
      <c r="F6" s="40">
        <f>4*F5</f>
        <v>511185932522525.5</v>
      </c>
      <c r="G6" s="40">
        <f>4*G5</f>
        <v>511799539668488.19</v>
      </c>
      <c r="H6" s="41">
        <v>3</v>
      </c>
      <c r="I6" s="17">
        <v>-90</v>
      </c>
      <c r="J6" s="17">
        <v>90</v>
      </c>
      <c r="K6" s="2">
        <f>((I6-J6)/180*PI()-SIN(J6/180*PI())*COS(J6/180*PI())+SIN(I6/180*PI())*COS(I6/180*PI()))/(2*PI()*(SIN(I6/180*PI())-SIN(J6/180*PI())))</f>
        <v>0.25</v>
      </c>
      <c r="L6" t="s">
        <v>304</v>
      </c>
    </row>
    <row r="7" spans="1:12" x14ac:dyDescent="0.25">
      <c r="B7" s="1"/>
      <c r="C7" s="29"/>
      <c r="D7" s="29"/>
      <c r="E7" s="40"/>
      <c r="F7" s="40"/>
      <c r="G7" s="40"/>
      <c r="H7" s="41"/>
      <c r="I7" s="30"/>
      <c r="J7" s="30"/>
      <c r="K7" s="2"/>
    </row>
    <row r="8" spans="1:12" x14ac:dyDescent="0.25">
      <c r="A8" t="s">
        <v>170</v>
      </c>
      <c r="B8" t="s">
        <v>8</v>
      </c>
      <c r="C8" s="2"/>
      <c r="D8" s="2"/>
      <c r="E8" s="38">
        <f>E3*E5</f>
        <v>1.7291519456866106E+17</v>
      </c>
      <c r="F8" s="38">
        <f>F3*F5</f>
        <v>1.7390545424416317E+17</v>
      </c>
      <c r="G8" s="38">
        <f>G3*G5</f>
        <v>1.7489771731049814E+17</v>
      </c>
      <c r="H8" s="22">
        <v>3</v>
      </c>
      <c r="I8" s="10"/>
      <c r="J8" s="10"/>
      <c r="K8" s="2"/>
      <c r="L8" s="2"/>
    </row>
    <row r="9" spans="1:12" x14ac:dyDescent="0.25">
      <c r="A9" t="s">
        <v>236</v>
      </c>
      <c r="B9" s="1" t="s">
        <v>10</v>
      </c>
      <c r="C9" s="31">
        <f>-D9</f>
        <v>-0.05</v>
      </c>
      <c r="D9" s="12">
        <v>0.05</v>
      </c>
      <c r="E9" s="38">
        <f>F9+C9*F9</f>
        <v>0.28499999999999998</v>
      </c>
      <c r="F9" s="39">
        <v>0.3</v>
      </c>
      <c r="G9" s="38">
        <f>F9+D9*F9</f>
        <v>0.315</v>
      </c>
      <c r="H9" s="22">
        <v>3</v>
      </c>
      <c r="I9" s="10"/>
      <c r="J9" s="10"/>
      <c r="K9" s="2"/>
      <c r="L9" t="s">
        <v>264</v>
      </c>
    </row>
    <row r="10" spans="1:12" x14ac:dyDescent="0.25">
      <c r="A10" t="s">
        <v>237</v>
      </c>
      <c r="B10" s="1" t="s">
        <v>10</v>
      </c>
      <c r="C10" s="31">
        <f>-D10</f>
        <v>-0.16284000000000001</v>
      </c>
      <c r="D10" s="12">
        <v>0.16284000000000001</v>
      </c>
      <c r="E10" s="38">
        <f>F10+C10*F10</f>
        <v>0.18216601599999999</v>
      </c>
      <c r="F10" s="39">
        <v>0.21759999999999999</v>
      </c>
      <c r="G10" s="38">
        <f>F10+D10*F10</f>
        <v>0.25303398399999999</v>
      </c>
      <c r="H10" s="22">
        <v>3</v>
      </c>
      <c r="I10" s="10"/>
      <c r="J10" s="10"/>
      <c r="K10" s="2"/>
      <c r="L10" t="s">
        <v>264</v>
      </c>
    </row>
    <row r="11" spans="1:12" x14ac:dyDescent="0.25">
      <c r="A11" t="s">
        <v>238</v>
      </c>
      <c r="B11" s="1" t="s">
        <v>10</v>
      </c>
      <c r="E11" s="38">
        <f>1-E10-E9</f>
        <v>0.53283398400000004</v>
      </c>
      <c r="F11" s="38">
        <f>1-F10-F9</f>
        <v>0.4824</v>
      </c>
      <c r="G11" s="38">
        <f>1-G10-G9</f>
        <v>0.43196601600000001</v>
      </c>
      <c r="H11" s="22">
        <v>6</v>
      </c>
      <c r="I11" s="10"/>
      <c r="J11" s="10"/>
      <c r="K11" s="2"/>
    </row>
    <row r="12" spans="1:12" x14ac:dyDescent="0.25">
      <c r="A12" t="s">
        <v>239</v>
      </c>
      <c r="B12" s="1" t="s">
        <v>8</v>
      </c>
      <c r="E12" s="38">
        <f>E11*E8</f>
        <v>9.2135092016154832E+16</v>
      </c>
      <c r="F12" s="38">
        <f>F11*F8</f>
        <v>8.3891991127384304E+16</v>
      </c>
      <c r="G12" s="38">
        <f>G11*G8</f>
        <v>7.5549870154110112E+16</v>
      </c>
      <c r="H12" s="1"/>
      <c r="I12" s="10"/>
      <c r="J12" s="10"/>
      <c r="K12" s="2"/>
    </row>
    <row r="13" spans="1:12" x14ac:dyDescent="0.25">
      <c r="B13" s="1"/>
      <c r="I13" s="10"/>
      <c r="J13" s="10"/>
      <c r="K13" s="2"/>
    </row>
    <row r="14" spans="1:12" x14ac:dyDescent="0.25">
      <c r="E14" s="31"/>
      <c r="F14" s="31"/>
      <c r="G14" s="31"/>
      <c r="H14" s="41"/>
      <c r="I14" s="35"/>
      <c r="J14" s="10"/>
      <c r="K14" s="2"/>
    </row>
    <row r="15" spans="1:12" x14ac:dyDescent="0.25">
      <c r="E15" s="7"/>
      <c r="F15" s="7"/>
      <c r="G15" s="7"/>
      <c r="H15" s="41"/>
      <c r="J15" s="10"/>
      <c r="K15" s="2"/>
    </row>
    <row r="16" spans="1:12" x14ac:dyDescent="0.25">
      <c r="E16" s="31"/>
      <c r="F16" s="31"/>
      <c r="G16" s="31"/>
      <c r="H16" s="41"/>
      <c r="J16" s="10"/>
      <c r="K16" s="2"/>
    </row>
    <row r="17" spans="1:8" x14ac:dyDescent="0.25">
      <c r="E17" s="31"/>
      <c r="F17" s="31"/>
      <c r="G17" s="31"/>
      <c r="H17" s="41"/>
    </row>
    <row r="18" spans="1:8" x14ac:dyDescent="0.25">
      <c r="E18" s="1"/>
      <c r="F18" s="1"/>
      <c r="G18" s="1"/>
      <c r="H18" s="22"/>
    </row>
    <row r="23" spans="1:8" x14ac:dyDescent="0.25">
      <c r="A23" t="s">
        <v>261</v>
      </c>
    </row>
    <row r="25" spans="1:8" x14ac:dyDescent="0.25">
      <c r="A25" t="s">
        <v>244</v>
      </c>
    </row>
    <row r="26" spans="1:8" x14ac:dyDescent="0.25">
      <c r="A26" s="22" t="s">
        <v>151</v>
      </c>
      <c r="B26" s="22" t="s">
        <v>129</v>
      </c>
      <c r="C26">
        <v>1</v>
      </c>
      <c r="D26">
        <v>2</v>
      </c>
      <c r="E26">
        <v>3</v>
      </c>
      <c r="F26">
        <v>4</v>
      </c>
    </row>
    <row r="27" spans="1:8" x14ac:dyDescent="0.25">
      <c r="A27" s="2" t="s">
        <v>245</v>
      </c>
      <c r="B27" s="22">
        <v>1</v>
      </c>
      <c r="C27" s="32">
        <v>0</v>
      </c>
      <c r="D27" s="32"/>
      <c r="E27" s="32"/>
      <c r="F27" s="32"/>
    </row>
    <row r="28" spans="1:8" x14ac:dyDescent="0.25">
      <c r="A28" s="2" t="s">
        <v>246</v>
      </c>
      <c r="B28" s="22">
        <v>2</v>
      </c>
      <c r="C28" s="33">
        <f>E9</f>
        <v>0.28499999999999998</v>
      </c>
      <c r="D28" s="32">
        <v>0</v>
      </c>
      <c r="E28" s="32"/>
      <c r="F28" s="32"/>
    </row>
    <row r="29" spans="1:8" x14ac:dyDescent="0.25">
      <c r="A29" s="2" t="s">
        <v>247</v>
      </c>
      <c r="B29" s="22">
        <v>3</v>
      </c>
      <c r="C29" s="33">
        <f>E10</f>
        <v>0.18216601599999999</v>
      </c>
      <c r="D29" s="32"/>
      <c r="E29" s="32">
        <v>0</v>
      </c>
      <c r="F29" s="32"/>
    </row>
    <row r="30" spans="1:8" x14ac:dyDescent="0.25">
      <c r="A30" s="2" t="s">
        <v>248</v>
      </c>
      <c r="B30" s="22">
        <v>4</v>
      </c>
      <c r="C30" s="32">
        <f>E11</f>
        <v>0.53283398400000004</v>
      </c>
      <c r="D30" s="32"/>
      <c r="E30" s="32"/>
      <c r="F30" s="32">
        <v>0</v>
      </c>
    </row>
    <row r="34" spans="1:6" x14ac:dyDescent="0.25">
      <c r="A34" t="s">
        <v>249</v>
      </c>
    </row>
    <row r="35" spans="1:6" x14ac:dyDescent="0.25">
      <c r="A35" s="22" t="s">
        <v>151</v>
      </c>
      <c r="B35" s="22" t="s">
        <v>129</v>
      </c>
      <c r="C35">
        <v>1</v>
      </c>
      <c r="D35">
        <v>2</v>
      </c>
      <c r="E35">
        <v>3</v>
      </c>
      <c r="F35">
        <v>4</v>
      </c>
    </row>
    <row r="36" spans="1:6" x14ac:dyDescent="0.25">
      <c r="A36" s="2" t="s">
        <v>245</v>
      </c>
      <c r="B36" s="22">
        <v>1</v>
      </c>
      <c r="C36" s="32">
        <v>0</v>
      </c>
      <c r="D36" s="32"/>
      <c r="E36" s="32"/>
      <c r="F36" s="32"/>
    </row>
    <row r="37" spans="1:6" x14ac:dyDescent="0.25">
      <c r="A37" s="2" t="s">
        <v>246</v>
      </c>
      <c r="B37" s="22">
        <v>2</v>
      </c>
      <c r="C37" s="33">
        <f>F9</f>
        <v>0.3</v>
      </c>
      <c r="D37" s="32">
        <v>0</v>
      </c>
      <c r="E37" s="32"/>
      <c r="F37" s="32"/>
    </row>
    <row r="38" spans="1:6" x14ac:dyDescent="0.25">
      <c r="A38" s="2" t="s">
        <v>247</v>
      </c>
      <c r="B38" s="22">
        <v>3</v>
      </c>
      <c r="C38" s="33">
        <f>F10</f>
        <v>0.21759999999999999</v>
      </c>
      <c r="D38" s="32"/>
      <c r="E38" s="32">
        <v>0</v>
      </c>
      <c r="F38" s="32"/>
    </row>
    <row r="39" spans="1:6" x14ac:dyDescent="0.25">
      <c r="A39" s="2" t="s">
        <v>248</v>
      </c>
      <c r="B39" s="22">
        <v>4</v>
      </c>
      <c r="C39" s="33">
        <f>F11</f>
        <v>0.4824</v>
      </c>
      <c r="D39" s="32"/>
      <c r="E39" s="32"/>
      <c r="F39" s="32">
        <v>0</v>
      </c>
    </row>
    <row r="43" spans="1:6" x14ac:dyDescent="0.25">
      <c r="A43" t="s">
        <v>250</v>
      </c>
    </row>
    <row r="44" spans="1:6" x14ac:dyDescent="0.25">
      <c r="A44" s="22" t="s">
        <v>151</v>
      </c>
      <c r="B44" s="22" t="s">
        <v>129</v>
      </c>
      <c r="C44">
        <v>1</v>
      </c>
      <c r="D44">
        <v>2</v>
      </c>
      <c r="E44">
        <v>3</v>
      </c>
      <c r="F44">
        <v>4</v>
      </c>
    </row>
    <row r="45" spans="1:6" x14ac:dyDescent="0.25">
      <c r="A45" s="2" t="s">
        <v>245</v>
      </c>
      <c r="B45" s="22">
        <v>1</v>
      </c>
      <c r="C45" s="32">
        <v>0</v>
      </c>
      <c r="D45" s="32"/>
      <c r="E45" s="32"/>
      <c r="F45" s="32"/>
    </row>
    <row r="46" spans="1:6" x14ac:dyDescent="0.25">
      <c r="A46" s="2" t="s">
        <v>246</v>
      </c>
      <c r="B46" s="22">
        <v>2</v>
      </c>
      <c r="C46" s="33">
        <f>G9</f>
        <v>0.315</v>
      </c>
      <c r="D46" s="32">
        <v>0</v>
      </c>
      <c r="E46" s="32"/>
      <c r="F46" s="32"/>
    </row>
    <row r="47" spans="1:6" x14ac:dyDescent="0.25">
      <c r="A47" s="2" t="s">
        <v>247</v>
      </c>
      <c r="B47" s="22">
        <v>3</v>
      </c>
      <c r="C47" s="33">
        <f>G10</f>
        <v>0.25303398399999999</v>
      </c>
      <c r="D47" s="32"/>
      <c r="E47" s="32">
        <v>0</v>
      </c>
      <c r="F47" s="32"/>
    </row>
    <row r="48" spans="1:6" x14ac:dyDescent="0.25">
      <c r="A48" s="2" t="s">
        <v>248</v>
      </c>
      <c r="B48" s="22">
        <v>4</v>
      </c>
      <c r="C48" s="33">
        <f>G11</f>
        <v>0.43196601600000001</v>
      </c>
      <c r="D48" s="32"/>
      <c r="E48" s="32"/>
      <c r="F48" s="32">
        <v>0</v>
      </c>
    </row>
    <row r="50" spans="1:9" x14ac:dyDescent="0.25">
      <c r="C50" s="22"/>
      <c r="D50" s="22"/>
      <c r="E50" s="22"/>
      <c r="F50" s="22"/>
      <c r="G50" s="22"/>
      <c r="H50" s="22"/>
      <c r="I50" s="22"/>
    </row>
    <row r="51" spans="1:9" x14ac:dyDescent="0.25">
      <c r="A51" s="2" t="s">
        <v>260</v>
      </c>
      <c r="C51" s="22"/>
      <c r="D51" s="22"/>
      <c r="E51" s="22"/>
      <c r="F51" s="22"/>
      <c r="G51" s="22"/>
      <c r="H51" s="22"/>
      <c r="I51" s="22"/>
    </row>
    <row r="52" spans="1:9" x14ac:dyDescent="0.25">
      <c r="A52" t="s">
        <v>251</v>
      </c>
      <c r="C52" s="22"/>
      <c r="D52" s="22"/>
      <c r="E52" s="22"/>
      <c r="F52" s="22"/>
      <c r="G52" s="22"/>
      <c r="H52" s="22"/>
      <c r="I52" s="22"/>
    </row>
    <row r="53" spans="1:9" x14ac:dyDescent="0.25">
      <c r="A53" s="22" t="s">
        <v>151</v>
      </c>
      <c r="B53" s="22" t="s">
        <v>129</v>
      </c>
      <c r="C53">
        <v>1</v>
      </c>
      <c r="D53">
        <v>2</v>
      </c>
      <c r="E53">
        <v>3</v>
      </c>
      <c r="F53">
        <v>4</v>
      </c>
    </row>
    <row r="54" spans="1:9" x14ac:dyDescent="0.25">
      <c r="A54" s="2" t="s">
        <v>245</v>
      </c>
      <c r="B54" s="22">
        <v>1</v>
      </c>
      <c r="C54" s="32">
        <v>0</v>
      </c>
      <c r="D54" s="32"/>
      <c r="E54" s="32"/>
      <c r="F54" s="32"/>
    </row>
    <row r="55" spans="1:9" x14ac:dyDescent="0.25">
      <c r="A55" s="2" t="s">
        <v>246</v>
      </c>
      <c r="B55" s="22">
        <v>2</v>
      </c>
      <c r="C55" s="33">
        <f>H9</f>
        <v>3</v>
      </c>
      <c r="D55" s="32">
        <v>0</v>
      </c>
      <c r="E55" s="32"/>
      <c r="F55" s="32"/>
    </row>
    <row r="56" spans="1:9" x14ac:dyDescent="0.25">
      <c r="A56" s="2" t="s">
        <v>247</v>
      </c>
      <c r="B56" s="22">
        <v>3</v>
      </c>
      <c r="C56" s="33">
        <f>H10</f>
        <v>3</v>
      </c>
      <c r="D56" s="32"/>
      <c r="E56" s="32">
        <v>0</v>
      </c>
      <c r="F56" s="32"/>
    </row>
    <row r="57" spans="1:9" x14ac:dyDescent="0.25">
      <c r="A57" s="2" t="s">
        <v>248</v>
      </c>
      <c r="B57" s="22">
        <v>4</v>
      </c>
      <c r="C57" s="33">
        <f>H11</f>
        <v>6</v>
      </c>
      <c r="D57" s="32"/>
      <c r="E57" s="32"/>
      <c r="F57" s="32">
        <v>0</v>
      </c>
    </row>
    <row r="59" spans="1:9" x14ac:dyDescent="0.25">
      <c r="A59" s="2" t="s">
        <v>259</v>
      </c>
    </row>
    <row r="60" spans="1:9" x14ac:dyDescent="0.25">
      <c r="A60" s="2" t="s">
        <v>252</v>
      </c>
      <c r="C60" t="s">
        <v>253</v>
      </c>
      <c r="D60" t="s">
        <v>254</v>
      </c>
      <c r="E60" t="s">
        <v>255</v>
      </c>
      <c r="F60" t="s">
        <v>256</v>
      </c>
    </row>
    <row r="61" spans="1:9" x14ac:dyDescent="0.25">
      <c r="A61" s="2" t="s">
        <v>245</v>
      </c>
      <c r="B61" s="22">
        <v>1</v>
      </c>
      <c r="C61" s="33">
        <f>E8</f>
        <v>1.7291519456866106E+17</v>
      </c>
      <c r="D61" s="33">
        <f>F8</f>
        <v>1.7390545424416317E+17</v>
      </c>
      <c r="E61" s="33">
        <f>G8</f>
        <v>1.7489771731049814E+17</v>
      </c>
      <c r="F61" s="42">
        <f>H8</f>
        <v>3</v>
      </c>
    </row>
    <row r="62" spans="1:9" x14ac:dyDescent="0.25">
      <c r="A62" s="2" t="s">
        <v>246</v>
      </c>
      <c r="B62" s="22">
        <v>2</v>
      </c>
      <c r="C62" s="32"/>
      <c r="D62" s="32"/>
      <c r="E62" s="32"/>
      <c r="F62" s="32"/>
    </row>
    <row r="63" spans="1:9" x14ac:dyDescent="0.25">
      <c r="A63" s="2" t="s">
        <v>247</v>
      </c>
      <c r="B63" s="22">
        <v>3</v>
      </c>
      <c r="C63" s="32"/>
      <c r="D63" s="32"/>
      <c r="E63" s="32"/>
      <c r="F63" s="32"/>
    </row>
    <row r="64" spans="1:9" x14ac:dyDescent="0.25">
      <c r="A64" s="2" t="s">
        <v>248</v>
      </c>
      <c r="B64" s="22">
        <v>4</v>
      </c>
      <c r="C64" s="32">
        <v>0</v>
      </c>
      <c r="D64" s="32">
        <v>0</v>
      </c>
      <c r="E64" s="32">
        <v>0</v>
      </c>
      <c r="F64" s="32">
        <v>0</v>
      </c>
    </row>
    <row r="66" spans="1:10" x14ac:dyDescent="0.25">
      <c r="A66" s="2" t="s">
        <v>258</v>
      </c>
    </row>
    <row r="67" spans="1:10" x14ac:dyDescent="0.25">
      <c r="B67" t="s">
        <v>569</v>
      </c>
      <c r="C67" s="2">
        <v>1.3500000000000001E-3</v>
      </c>
      <c r="D67" s="2">
        <v>0.01</v>
      </c>
      <c r="E67" s="2">
        <v>0.25</v>
      </c>
      <c r="F67" s="2">
        <v>0.5</v>
      </c>
      <c r="G67" s="2">
        <v>0.75</v>
      </c>
      <c r="H67" s="2">
        <v>0.99</v>
      </c>
      <c r="I67" s="2">
        <v>0.99865000000000004</v>
      </c>
    </row>
    <row r="68" spans="1:10" x14ac:dyDescent="0.25">
      <c r="A68" t="s">
        <v>257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</row>
    <row r="69" spans="1:10" x14ac:dyDescent="0.25">
      <c r="A69" s="2" t="s">
        <v>245</v>
      </c>
      <c r="B69" s="22">
        <v>1</v>
      </c>
      <c r="C69" s="78">
        <v>1.7291411023847971E+17</v>
      </c>
      <c r="D69" s="78">
        <v>1.7313359199563302E+17</v>
      </c>
      <c r="E69" s="78">
        <v>1.7368310188040275E+17</v>
      </c>
      <c r="F69" s="78">
        <v>1.7390440234778765E+17</v>
      </c>
      <c r="G69" s="78">
        <v>1.7412825974551859E+17</v>
      </c>
      <c r="H69" s="78">
        <v>1.7467746430002035E+17</v>
      </c>
      <c r="I69" s="79">
        <v>1.748902787966905E+17</v>
      </c>
      <c r="J69" s="43"/>
    </row>
    <row r="70" spans="1:10" x14ac:dyDescent="0.25">
      <c r="A70" s="2" t="s">
        <v>246</v>
      </c>
      <c r="B70" s="22">
        <v>2</v>
      </c>
      <c r="C70" s="78">
        <v>4.9582918139413296E+16</v>
      </c>
      <c r="D70" s="78">
        <v>5.0148995696115744E+16</v>
      </c>
      <c r="E70" s="78">
        <v>5.1584496503716496E+16</v>
      </c>
      <c r="F70" s="78">
        <v>5.217193285805984E+16</v>
      </c>
      <c r="G70" s="78">
        <v>5.2761047017917632E+16</v>
      </c>
      <c r="H70" s="78">
        <v>5.4196820887074544E+16</v>
      </c>
      <c r="I70" s="79">
        <v>5.4837457653165848E+16</v>
      </c>
      <c r="J70" s="43"/>
    </row>
    <row r="71" spans="1:10" x14ac:dyDescent="0.25">
      <c r="A71" s="2" t="s">
        <v>247</v>
      </c>
      <c r="B71" s="22">
        <v>3</v>
      </c>
      <c r="C71" s="78">
        <v>3.168751742608294E+16</v>
      </c>
      <c r="D71" s="78">
        <v>3.3062645178988584E+16</v>
      </c>
      <c r="E71" s="78">
        <v>3.6435502769602608E+16</v>
      </c>
      <c r="F71" s="78">
        <v>3.7853634524746208E+16</v>
      </c>
      <c r="G71" s="78">
        <v>3.9228516094203832E+16</v>
      </c>
      <c r="H71" s="78">
        <v>4.2613297599229656E+16</v>
      </c>
      <c r="I71" s="79">
        <v>4.3985005321544128E+16</v>
      </c>
      <c r="J71" s="43"/>
    </row>
    <row r="72" spans="1:10" x14ac:dyDescent="0.25">
      <c r="A72" s="2" t="s">
        <v>248</v>
      </c>
      <c r="B72" s="22">
        <v>4</v>
      </c>
      <c r="C72" s="78">
        <v>7.7274979753290432E+16</v>
      </c>
      <c r="D72" s="78">
        <v>7.867723089391888E+16</v>
      </c>
      <c r="E72" s="78">
        <v>8.2385951511135648E+16</v>
      </c>
      <c r="F72" s="78">
        <v>8.3885302204514704E+16</v>
      </c>
      <c r="G72" s="78">
        <v>8.540340358454592E+16</v>
      </c>
      <c r="H72" s="78">
        <v>8.9091790244401072E+16</v>
      </c>
      <c r="I72" s="79">
        <v>9.067151814196432E+16</v>
      </c>
      <c r="J72" s="43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24" sqref="M24"/>
    </sheetView>
  </sheetViews>
  <sheetFormatPr baseColWidth="10" defaultColWidth="9.140625" defaultRowHeight="15" x14ac:dyDescent="0.25"/>
  <cols>
    <col min="1" max="1" width="35.42578125" style="2" bestFit="1" customWidth="1"/>
    <col min="2" max="2" width="3" style="22" bestFit="1" customWidth="1"/>
    <col min="3" max="32" width="6.85546875" style="2" customWidth="1"/>
    <col min="33" max="16384" width="9.140625" style="2"/>
  </cols>
  <sheetData>
    <row r="1" spans="1:32" x14ac:dyDescent="0.25">
      <c r="A1" s="2" t="s">
        <v>165</v>
      </c>
      <c r="C1" s="2" t="s">
        <v>125</v>
      </c>
      <c r="D1" s="2" t="s">
        <v>126</v>
      </c>
    </row>
    <row r="2" spans="1:32" x14ac:dyDescent="0.25">
      <c r="A2" s="2" t="s">
        <v>127</v>
      </c>
      <c r="C2" s="2" t="s">
        <v>128</v>
      </c>
      <c r="D2" s="2" t="s">
        <v>161</v>
      </c>
    </row>
    <row r="4" spans="1:32" s="22" customFormat="1" x14ac:dyDescent="0.25">
      <c r="A4" s="22" t="s">
        <v>151</v>
      </c>
      <c r="B4" s="22" t="s">
        <v>129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>
        <v>13</v>
      </c>
      <c r="P4" s="22">
        <v>14</v>
      </c>
      <c r="Q4" s="22">
        <v>15</v>
      </c>
      <c r="R4" s="22">
        <v>16</v>
      </c>
      <c r="S4" s="22">
        <v>17</v>
      </c>
      <c r="T4" s="22">
        <v>18</v>
      </c>
      <c r="U4" s="22">
        <v>19</v>
      </c>
      <c r="V4" s="22">
        <v>20</v>
      </c>
      <c r="W4" s="22">
        <v>21</v>
      </c>
      <c r="X4" s="22">
        <v>22</v>
      </c>
      <c r="Y4" s="22">
        <v>23</v>
      </c>
      <c r="Z4" s="22">
        <v>24</v>
      </c>
      <c r="AA4" s="22">
        <v>25</v>
      </c>
      <c r="AB4" s="22">
        <v>26</v>
      </c>
      <c r="AC4" s="22">
        <v>27</v>
      </c>
      <c r="AD4" s="22">
        <v>28</v>
      </c>
      <c r="AE4" s="22">
        <v>29</v>
      </c>
      <c r="AF4" s="22">
        <v>30</v>
      </c>
    </row>
    <row r="5" spans="1:32" x14ac:dyDescent="0.25">
      <c r="A5" s="2" t="s">
        <v>130</v>
      </c>
      <c r="B5" s="22">
        <v>1</v>
      </c>
      <c r="C5" s="2">
        <v>0</v>
      </c>
    </row>
    <row r="6" spans="1:32" x14ac:dyDescent="0.25">
      <c r="A6" s="2" t="s">
        <v>131</v>
      </c>
      <c r="B6" s="22">
        <v>2</v>
      </c>
      <c r="C6" s="2">
        <f>TC_land!H5</f>
        <v>0.28655075792954982</v>
      </c>
      <c r="D6" s="2">
        <v>0</v>
      </c>
    </row>
    <row r="7" spans="1:32" x14ac:dyDescent="0.25">
      <c r="A7" s="2" t="s">
        <v>132</v>
      </c>
      <c r="B7" s="22">
        <v>3</v>
      </c>
      <c r="C7" s="2">
        <f>1-C6</f>
        <v>0.71344924207045013</v>
      </c>
      <c r="E7" s="2">
        <v>0</v>
      </c>
    </row>
    <row r="8" spans="1:32" x14ac:dyDescent="0.25">
      <c r="A8" s="2" t="s">
        <v>133</v>
      </c>
      <c r="B8" s="22">
        <v>4</v>
      </c>
      <c r="D8" s="2">
        <f>TC_land!H9</f>
        <v>0.15557368983720646</v>
      </c>
      <c r="F8" s="2">
        <v>0</v>
      </c>
    </row>
    <row r="9" spans="1:32" x14ac:dyDescent="0.25">
      <c r="A9" s="2" t="s">
        <v>134</v>
      </c>
      <c r="B9" s="22">
        <v>5</v>
      </c>
      <c r="D9" s="2">
        <f>TC_land!H10</f>
        <v>0.11735173416671084</v>
      </c>
      <c r="G9" s="2">
        <v>0</v>
      </c>
    </row>
    <row r="10" spans="1:32" x14ac:dyDescent="0.25">
      <c r="A10" s="2" t="s">
        <v>135</v>
      </c>
      <c r="B10" s="22">
        <v>6</v>
      </c>
      <c r="D10" s="2">
        <f>TC_land!H11</f>
        <v>0.10777902815193807</v>
      </c>
      <c r="H10" s="2">
        <v>0</v>
      </c>
    </row>
    <row r="11" spans="1:32" x14ac:dyDescent="0.25">
      <c r="A11" s="2" t="s">
        <v>138</v>
      </c>
      <c r="B11" s="22">
        <v>7</v>
      </c>
      <c r="D11" s="2">
        <f>TC_land!H12</f>
        <v>0.13139344765422201</v>
      </c>
      <c r="I11" s="2">
        <v>0</v>
      </c>
    </row>
    <row r="12" spans="1:32" x14ac:dyDescent="0.25">
      <c r="A12" s="2" t="s">
        <v>137</v>
      </c>
      <c r="B12" s="22">
        <v>8</v>
      </c>
      <c r="D12" s="2">
        <f>TC_land!H13</f>
        <v>9.7245952458201224E-2</v>
      </c>
      <c r="J12" s="2">
        <v>0</v>
      </c>
    </row>
    <row r="13" spans="1:32" x14ac:dyDescent="0.25">
      <c r="A13" s="2" t="s">
        <v>136</v>
      </c>
      <c r="B13" s="22">
        <v>9</v>
      </c>
      <c r="D13" s="2">
        <f>TC_land!H14</f>
        <v>0.16958585878601015</v>
      </c>
      <c r="K13" s="2">
        <v>0</v>
      </c>
    </row>
    <row r="14" spans="1:32" x14ac:dyDescent="0.25">
      <c r="A14" s="2" t="s">
        <v>139</v>
      </c>
      <c r="B14" s="22">
        <v>10</v>
      </c>
      <c r="D14" s="2">
        <f>TC_land!H15</f>
        <v>0.105368634551096</v>
      </c>
      <c r="L14" s="2">
        <v>0</v>
      </c>
    </row>
    <row r="15" spans="1:32" x14ac:dyDescent="0.25">
      <c r="A15" s="2" t="s">
        <v>140</v>
      </c>
      <c r="B15" s="22">
        <v>11</v>
      </c>
      <c r="D15" s="2">
        <f>TC_land!H16</f>
        <v>0.11018942175278013</v>
      </c>
      <c r="M15" s="2">
        <v>0</v>
      </c>
    </row>
    <row r="16" spans="1:32" x14ac:dyDescent="0.25">
      <c r="A16" s="2" t="s">
        <v>141</v>
      </c>
      <c r="B16" s="22">
        <v>12</v>
      </c>
      <c r="D16" s="2">
        <f>1-SUM(D8:D15)</f>
        <v>5.5122326418350909E-3</v>
      </c>
      <c r="N16" s="2">
        <v>0</v>
      </c>
    </row>
    <row r="17" spans="1:30" x14ac:dyDescent="0.25">
      <c r="A17" s="2" t="s">
        <v>142</v>
      </c>
      <c r="B17" s="22">
        <v>13</v>
      </c>
      <c r="F17" s="2">
        <f>TC_land!H19</f>
        <v>0.5</v>
      </c>
      <c r="O17" s="2">
        <v>0</v>
      </c>
    </row>
    <row r="18" spans="1:30" x14ac:dyDescent="0.25">
      <c r="A18" s="2" t="s">
        <v>143</v>
      </c>
      <c r="B18" s="22">
        <v>14</v>
      </c>
      <c r="G18" s="2">
        <f>TC_land!H20</f>
        <v>0.8</v>
      </c>
      <c r="P18" s="2">
        <v>0</v>
      </c>
    </row>
    <row r="19" spans="1:30" x14ac:dyDescent="0.25">
      <c r="A19" s="2" t="s">
        <v>144</v>
      </c>
      <c r="B19" s="22">
        <v>15</v>
      </c>
      <c r="H19" s="2">
        <f>TC_land!H21</f>
        <v>0.5</v>
      </c>
      <c r="Q19" s="2">
        <v>0</v>
      </c>
    </row>
    <row r="20" spans="1:30" x14ac:dyDescent="0.25">
      <c r="A20" s="2" t="s">
        <v>145</v>
      </c>
      <c r="B20" s="22">
        <v>16</v>
      </c>
      <c r="I20" s="2">
        <f>TC_land!H22</f>
        <v>0.5</v>
      </c>
      <c r="R20" s="2">
        <v>0</v>
      </c>
    </row>
    <row r="21" spans="1:30" x14ac:dyDescent="0.25">
      <c r="A21" s="2" t="s">
        <v>146</v>
      </c>
      <c r="B21" s="22">
        <v>17</v>
      </c>
      <c r="J21" s="2">
        <f>TC_land!H23</f>
        <v>0.5</v>
      </c>
      <c r="S21" s="2">
        <v>0</v>
      </c>
    </row>
    <row r="22" spans="1:30" x14ac:dyDescent="0.25">
      <c r="A22" s="2" t="s">
        <v>147</v>
      </c>
      <c r="B22" s="22">
        <v>18</v>
      </c>
      <c r="K22" s="2">
        <f>TC_land!H24</f>
        <v>0.5</v>
      </c>
      <c r="T22" s="2">
        <v>0</v>
      </c>
    </row>
    <row r="23" spans="1:30" x14ac:dyDescent="0.25">
      <c r="A23" s="2" t="s">
        <v>148</v>
      </c>
      <c r="B23" s="22">
        <v>19</v>
      </c>
      <c r="L23" s="2">
        <f>TC_land!H25</f>
        <v>0.5</v>
      </c>
      <c r="U23" s="2">
        <v>0</v>
      </c>
    </row>
    <row r="24" spans="1:30" x14ac:dyDescent="0.25">
      <c r="A24" s="2" t="s">
        <v>149</v>
      </c>
      <c r="B24" s="22">
        <v>20</v>
      </c>
      <c r="M24" s="2">
        <v>0</v>
      </c>
      <c r="V24" s="2">
        <v>0</v>
      </c>
    </row>
    <row r="25" spans="1:30" x14ac:dyDescent="0.25">
      <c r="A25" s="2" t="s">
        <v>150</v>
      </c>
      <c r="B25" s="22">
        <v>21</v>
      </c>
      <c r="N25" s="2">
        <v>0</v>
      </c>
      <c r="W25" s="2">
        <v>0</v>
      </c>
    </row>
    <row r="26" spans="1:30" x14ac:dyDescent="0.25">
      <c r="A26" s="2" t="s">
        <v>152</v>
      </c>
      <c r="B26" s="22">
        <v>22</v>
      </c>
      <c r="F26" s="2">
        <f>1-F17</f>
        <v>0.5</v>
      </c>
      <c r="X26" s="2">
        <v>0</v>
      </c>
    </row>
    <row r="27" spans="1:30" x14ac:dyDescent="0.25">
      <c r="A27" s="2" t="s">
        <v>153</v>
      </c>
      <c r="B27" s="22">
        <v>23</v>
      </c>
      <c r="G27" s="2">
        <f>1-G18</f>
        <v>0.19999999999999996</v>
      </c>
      <c r="Y27" s="2">
        <v>0</v>
      </c>
    </row>
    <row r="28" spans="1:30" x14ac:dyDescent="0.25">
      <c r="A28" s="2" t="s">
        <v>154</v>
      </c>
      <c r="B28" s="22">
        <v>24</v>
      </c>
      <c r="H28" s="2">
        <f>1-H19</f>
        <v>0.5</v>
      </c>
      <c r="Z28" s="2">
        <v>0</v>
      </c>
    </row>
    <row r="29" spans="1:30" x14ac:dyDescent="0.25">
      <c r="A29" s="2" t="s">
        <v>155</v>
      </c>
      <c r="B29" s="22">
        <v>25</v>
      </c>
      <c r="I29" s="2">
        <f>1-I20</f>
        <v>0.5</v>
      </c>
      <c r="AA29" s="2">
        <v>0</v>
      </c>
    </row>
    <row r="30" spans="1:30" x14ac:dyDescent="0.25">
      <c r="A30" s="2" t="s">
        <v>156</v>
      </c>
      <c r="B30" s="22">
        <v>26</v>
      </c>
      <c r="J30" s="2">
        <f>1-J21</f>
        <v>0.5</v>
      </c>
      <c r="AB30" s="2">
        <v>0</v>
      </c>
    </row>
    <row r="31" spans="1:30" x14ac:dyDescent="0.25">
      <c r="A31" s="2" t="s">
        <v>157</v>
      </c>
      <c r="B31" s="22">
        <v>27</v>
      </c>
      <c r="K31" s="2">
        <f>1-K22</f>
        <v>0.5</v>
      </c>
      <c r="AC31" s="2">
        <v>0</v>
      </c>
    </row>
    <row r="32" spans="1:30" x14ac:dyDescent="0.25">
      <c r="A32" s="2" t="s">
        <v>158</v>
      </c>
      <c r="B32" s="22">
        <v>28</v>
      </c>
      <c r="L32" s="2">
        <f>1-L23</f>
        <v>0.5</v>
      </c>
      <c r="AD32" s="2">
        <v>0</v>
      </c>
    </row>
    <row r="33" spans="1:32" x14ac:dyDescent="0.25">
      <c r="A33" s="2" t="s">
        <v>159</v>
      </c>
      <c r="B33" s="22">
        <v>29</v>
      </c>
      <c r="M33" s="2">
        <f>1-M24</f>
        <v>1</v>
      </c>
      <c r="AE33" s="2">
        <v>0</v>
      </c>
    </row>
    <row r="34" spans="1:32" x14ac:dyDescent="0.25">
      <c r="A34" s="2" t="s">
        <v>160</v>
      </c>
      <c r="B34" s="22">
        <v>30</v>
      </c>
      <c r="N34" s="2">
        <f>1-N25</f>
        <v>1</v>
      </c>
      <c r="AF34" s="2"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" sqref="F1:N3"/>
    </sheetView>
  </sheetViews>
  <sheetFormatPr baseColWidth="10" defaultColWidth="9.140625" defaultRowHeight="15" x14ac:dyDescent="0.25"/>
  <cols>
    <col min="1" max="1" width="35.42578125" style="22" bestFit="1" customWidth="1"/>
    <col min="2" max="2" width="3.5703125" style="22" bestFit="1" customWidth="1"/>
    <col min="3" max="32" width="6.85546875" style="22" customWidth="1"/>
    <col min="33" max="16384" width="9.140625" style="22"/>
  </cols>
  <sheetData>
    <row r="1" spans="1:33" x14ac:dyDescent="0.25">
      <c r="A1" s="22" t="s">
        <v>165</v>
      </c>
      <c r="C1" s="22" t="s">
        <v>125</v>
      </c>
      <c r="D1" s="22" t="s">
        <v>126</v>
      </c>
    </row>
    <row r="2" spans="1:33" x14ac:dyDescent="0.25">
      <c r="A2" s="22" t="s">
        <v>127</v>
      </c>
      <c r="C2" s="22" t="s">
        <v>128</v>
      </c>
      <c r="D2" s="22" t="s">
        <v>161</v>
      </c>
    </row>
    <row r="4" spans="1:33" x14ac:dyDescent="0.25">
      <c r="A4" s="22" t="s">
        <v>151</v>
      </c>
      <c r="B4" s="22" t="s">
        <v>129</v>
      </c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>
        <v>13</v>
      </c>
      <c r="P4" s="22">
        <v>14</v>
      </c>
      <c r="Q4" s="22">
        <v>15</v>
      </c>
      <c r="R4" s="22">
        <v>16</v>
      </c>
      <c r="S4" s="22">
        <v>17</v>
      </c>
      <c r="T4" s="22">
        <v>18</v>
      </c>
      <c r="U4" s="22">
        <v>19</v>
      </c>
      <c r="V4" s="22">
        <v>20</v>
      </c>
      <c r="W4" s="22">
        <v>21</v>
      </c>
      <c r="X4" s="22">
        <v>22</v>
      </c>
      <c r="Y4" s="22">
        <v>23</v>
      </c>
      <c r="Z4" s="22">
        <v>24</v>
      </c>
      <c r="AA4" s="22">
        <v>25</v>
      </c>
      <c r="AB4" s="22">
        <v>26</v>
      </c>
      <c r="AC4" s="22">
        <v>27</v>
      </c>
      <c r="AD4" s="22">
        <v>28</v>
      </c>
      <c r="AE4" s="22">
        <v>29</v>
      </c>
      <c r="AF4" s="22">
        <v>30</v>
      </c>
    </row>
    <row r="5" spans="1:33" x14ac:dyDescent="0.25">
      <c r="A5" s="22" t="s">
        <v>130</v>
      </c>
      <c r="B5" s="22">
        <v>1</v>
      </c>
      <c r="C5" s="22">
        <v>0</v>
      </c>
      <c r="AG5" s="2"/>
    </row>
    <row r="6" spans="1:33" x14ac:dyDescent="0.25">
      <c r="A6" s="22" t="s">
        <v>131</v>
      </c>
      <c r="B6" s="22">
        <v>2</v>
      </c>
      <c r="C6" s="22">
        <v>3</v>
      </c>
      <c r="D6" s="22">
        <v>0</v>
      </c>
      <c r="AG6" s="2"/>
    </row>
    <row r="7" spans="1:33" x14ac:dyDescent="0.25">
      <c r="A7" s="22" t="s">
        <v>132</v>
      </c>
      <c r="B7" s="22">
        <v>3</v>
      </c>
      <c r="C7" s="22">
        <v>6</v>
      </c>
      <c r="E7" s="22">
        <v>0</v>
      </c>
      <c r="AG7" s="2"/>
    </row>
    <row r="8" spans="1:33" x14ac:dyDescent="0.25">
      <c r="A8" s="22" t="s">
        <v>133</v>
      </c>
      <c r="B8" s="22">
        <v>4</v>
      </c>
      <c r="D8" s="22">
        <v>3</v>
      </c>
      <c r="F8" s="22">
        <v>0</v>
      </c>
      <c r="AG8" s="2"/>
    </row>
    <row r="9" spans="1:33" x14ac:dyDescent="0.25">
      <c r="A9" s="22" t="s">
        <v>134</v>
      </c>
      <c r="B9" s="22">
        <v>5</v>
      </c>
      <c r="D9" s="22">
        <v>3</v>
      </c>
      <c r="G9" s="22">
        <v>0</v>
      </c>
      <c r="AG9" s="2"/>
    </row>
    <row r="10" spans="1:33" x14ac:dyDescent="0.25">
      <c r="A10" s="22" t="s">
        <v>135</v>
      </c>
      <c r="B10" s="22">
        <v>6</v>
      </c>
      <c r="D10" s="22">
        <v>3</v>
      </c>
      <c r="H10" s="22">
        <v>0</v>
      </c>
      <c r="AG10" s="2"/>
    </row>
    <row r="11" spans="1:33" x14ac:dyDescent="0.25">
      <c r="A11" s="22" t="s">
        <v>138</v>
      </c>
      <c r="B11" s="22">
        <v>7</v>
      </c>
      <c r="D11" s="22">
        <v>3</v>
      </c>
      <c r="I11" s="22">
        <v>0</v>
      </c>
      <c r="AG11" s="2"/>
    </row>
    <row r="12" spans="1:33" x14ac:dyDescent="0.25">
      <c r="A12" s="22" t="s">
        <v>137</v>
      </c>
      <c r="B12" s="22">
        <v>8</v>
      </c>
      <c r="D12" s="22">
        <v>3</v>
      </c>
      <c r="J12" s="22">
        <v>0</v>
      </c>
      <c r="AG12" s="2"/>
    </row>
    <row r="13" spans="1:33" x14ac:dyDescent="0.25">
      <c r="A13" s="22" t="s">
        <v>136</v>
      </c>
      <c r="B13" s="22">
        <v>9</v>
      </c>
      <c r="D13" s="22">
        <v>3</v>
      </c>
      <c r="K13" s="22">
        <v>0</v>
      </c>
      <c r="AG13" s="2"/>
    </row>
    <row r="14" spans="1:33" x14ac:dyDescent="0.25">
      <c r="A14" s="22" t="s">
        <v>139</v>
      </c>
      <c r="B14" s="22">
        <v>10</v>
      </c>
      <c r="D14" s="22">
        <v>3</v>
      </c>
      <c r="L14" s="22">
        <v>0</v>
      </c>
      <c r="AG14" s="2"/>
    </row>
    <row r="15" spans="1:33" x14ac:dyDescent="0.25">
      <c r="A15" s="22" t="s">
        <v>140</v>
      </c>
      <c r="B15" s="22">
        <v>11</v>
      </c>
      <c r="D15" s="22">
        <v>3</v>
      </c>
      <c r="M15" s="22">
        <v>0</v>
      </c>
      <c r="AG15" s="2"/>
    </row>
    <row r="16" spans="1:33" x14ac:dyDescent="0.25">
      <c r="A16" s="22" t="s">
        <v>141</v>
      </c>
      <c r="B16" s="22">
        <v>12</v>
      </c>
      <c r="D16" s="22">
        <v>6</v>
      </c>
      <c r="N16" s="22">
        <v>0</v>
      </c>
      <c r="AG16" s="2"/>
    </row>
    <row r="17" spans="1:33" x14ac:dyDescent="0.25">
      <c r="A17" s="22" t="s">
        <v>142</v>
      </c>
      <c r="B17" s="22">
        <v>13</v>
      </c>
      <c r="F17" s="22">
        <v>5</v>
      </c>
      <c r="O17" s="22">
        <v>0</v>
      </c>
      <c r="AG17" s="2"/>
    </row>
    <row r="18" spans="1:33" x14ac:dyDescent="0.25">
      <c r="A18" s="22" t="s">
        <v>143</v>
      </c>
      <c r="B18" s="22">
        <v>14</v>
      </c>
      <c r="G18" s="22">
        <v>5</v>
      </c>
      <c r="P18" s="22">
        <v>0</v>
      </c>
      <c r="AG18" s="2"/>
    </row>
    <row r="19" spans="1:33" x14ac:dyDescent="0.25">
      <c r="A19" s="22" t="s">
        <v>144</v>
      </c>
      <c r="B19" s="22">
        <v>15</v>
      </c>
      <c r="H19" s="22">
        <v>5</v>
      </c>
      <c r="Q19" s="22">
        <v>0</v>
      </c>
      <c r="AG19" s="2"/>
    </row>
    <row r="20" spans="1:33" x14ac:dyDescent="0.25">
      <c r="A20" s="22" t="s">
        <v>145</v>
      </c>
      <c r="B20" s="22">
        <v>16</v>
      </c>
      <c r="I20" s="22">
        <v>5</v>
      </c>
      <c r="R20" s="22">
        <v>0</v>
      </c>
      <c r="AG20" s="2"/>
    </row>
    <row r="21" spans="1:33" x14ac:dyDescent="0.25">
      <c r="A21" s="22" t="s">
        <v>146</v>
      </c>
      <c r="B21" s="22">
        <v>17</v>
      </c>
      <c r="J21" s="22">
        <v>5</v>
      </c>
      <c r="S21" s="22">
        <v>0</v>
      </c>
      <c r="AG21" s="2"/>
    </row>
    <row r="22" spans="1:33" x14ac:dyDescent="0.25">
      <c r="A22" s="22" t="s">
        <v>147</v>
      </c>
      <c r="B22" s="22">
        <v>18</v>
      </c>
      <c r="K22" s="22">
        <v>5</v>
      </c>
      <c r="T22" s="22">
        <v>0</v>
      </c>
      <c r="AG22" s="2"/>
    </row>
    <row r="23" spans="1:33" x14ac:dyDescent="0.25">
      <c r="A23" s="22" t="s">
        <v>148</v>
      </c>
      <c r="B23" s="22">
        <v>19</v>
      </c>
      <c r="L23" s="22">
        <v>5</v>
      </c>
      <c r="U23" s="22">
        <v>0</v>
      </c>
      <c r="AG23" s="2"/>
    </row>
    <row r="24" spans="1:33" x14ac:dyDescent="0.25">
      <c r="A24" s="22" t="s">
        <v>149</v>
      </c>
      <c r="B24" s="22">
        <v>20</v>
      </c>
      <c r="M24" s="22">
        <v>2</v>
      </c>
      <c r="V24" s="22">
        <v>0</v>
      </c>
      <c r="AG24" s="2"/>
    </row>
    <row r="25" spans="1:33" x14ac:dyDescent="0.25">
      <c r="A25" s="22" t="s">
        <v>150</v>
      </c>
      <c r="B25" s="22">
        <v>21</v>
      </c>
      <c r="N25" s="22">
        <v>2</v>
      </c>
      <c r="W25" s="22">
        <v>0</v>
      </c>
      <c r="AG25" s="2"/>
    </row>
    <row r="26" spans="1:33" x14ac:dyDescent="0.25">
      <c r="A26" s="22" t="s">
        <v>152</v>
      </c>
      <c r="B26" s="22">
        <v>22</v>
      </c>
      <c r="F26" s="22">
        <v>6</v>
      </c>
      <c r="X26" s="22">
        <v>0</v>
      </c>
      <c r="AG26" s="2"/>
    </row>
    <row r="27" spans="1:33" x14ac:dyDescent="0.25">
      <c r="A27" s="22" t="s">
        <v>153</v>
      </c>
      <c r="B27" s="22">
        <v>23</v>
      </c>
      <c r="G27" s="22">
        <v>6</v>
      </c>
      <c r="Y27" s="22">
        <v>0</v>
      </c>
      <c r="AG27" s="2"/>
    </row>
    <row r="28" spans="1:33" x14ac:dyDescent="0.25">
      <c r="A28" s="22" t="s">
        <v>154</v>
      </c>
      <c r="B28" s="22">
        <v>24</v>
      </c>
      <c r="H28" s="22">
        <v>6</v>
      </c>
      <c r="Z28" s="22">
        <v>0</v>
      </c>
      <c r="AG28" s="2"/>
    </row>
    <row r="29" spans="1:33" x14ac:dyDescent="0.25">
      <c r="A29" s="22" t="s">
        <v>155</v>
      </c>
      <c r="B29" s="22">
        <v>25</v>
      </c>
      <c r="I29" s="22">
        <v>6</v>
      </c>
      <c r="AA29" s="22">
        <v>0</v>
      </c>
      <c r="AG29" s="2"/>
    </row>
    <row r="30" spans="1:33" x14ac:dyDescent="0.25">
      <c r="A30" s="22" t="s">
        <v>156</v>
      </c>
      <c r="B30" s="22">
        <v>26</v>
      </c>
      <c r="J30" s="22">
        <v>6</v>
      </c>
      <c r="AB30" s="22">
        <v>0</v>
      </c>
      <c r="AG30" s="2"/>
    </row>
    <row r="31" spans="1:33" x14ac:dyDescent="0.25">
      <c r="A31" s="22" t="s">
        <v>157</v>
      </c>
      <c r="B31" s="22">
        <v>27</v>
      </c>
      <c r="K31" s="22">
        <v>6</v>
      </c>
      <c r="AC31" s="22">
        <v>0</v>
      </c>
      <c r="AG31" s="2"/>
    </row>
    <row r="32" spans="1:33" x14ac:dyDescent="0.25">
      <c r="A32" s="22" t="s">
        <v>158</v>
      </c>
      <c r="B32" s="22">
        <v>28</v>
      </c>
      <c r="L32" s="22">
        <v>6</v>
      </c>
      <c r="AD32" s="22">
        <v>0</v>
      </c>
      <c r="AG32" s="2"/>
    </row>
    <row r="33" spans="1:33" x14ac:dyDescent="0.25">
      <c r="A33" s="22" t="s">
        <v>159</v>
      </c>
      <c r="B33" s="22">
        <v>29</v>
      </c>
      <c r="M33" s="22">
        <v>6</v>
      </c>
      <c r="AE33" s="22">
        <v>0</v>
      </c>
      <c r="AG33" s="2"/>
    </row>
    <row r="34" spans="1:33" x14ac:dyDescent="0.25">
      <c r="A34" s="22" t="s">
        <v>160</v>
      </c>
      <c r="B34" s="22">
        <v>30</v>
      </c>
      <c r="N34" s="22">
        <v>6</v>
      </c>
      <c r="AF34" s="22">
        <v>0</v>
      </c>
      <c r="AG34" s="2"/>
    </row>
    <row r="35" spans="1:33" x14ac:dyDescent="0.25">
      <c r="A35" s="2"/>
      <c r="AG35" s="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baseColWidth="10" defaultRowHeight="15" x14ac:dyDescent="0.25"/>
  <cols>
    <col min="1" max="1" width="37.85546875" bestFit="1" customWidth="1"/>
    <col min="2" max="2" width="3.5703125" bestFit="1" customWidth="1"/>
  </cols>
  <sheetData>
    <row r="1" spans="1:13" x14ac:dyDescent="0.25">
      <c r="A1" t="s">
        <v>581</v>
      </c>
      <c r="J1" s="22"/>
      <c r="K1" s="22"/>
      <c r="L1" s="22"/>
      <c r="M1" s="22"/>
    </row>
    <row r="2" spans="1:13" x14ac:dyDescent="0.25">
      <c r="G2" s="22"/>
      <c r="H2" s="22"/>
      <c r="J2" s="22"/>
      <c r="K2" s="22"/>
      <c r="L2" s="22"/>
      <c r="M2" s="22"/>
    </row>
    <row r="3" spans="1:13" x14ac:dyDescent="0.25">
      <c r="C3" t="s">
        <v>39</v>
      </c>
      <c r="D3" t="s">
        <v>77</v>
      </c>
      <c r="E3" t="s">
        <v>40</v>
      </c>
      <c r="F3" t="s">
        <v>166</v>
      </c>
      <c r="G3" s="22"/>
      <c r="H3" s="22"/>
      <c r="I3" s="22"/>
      <c r="J3" s="22"/>
      <c r="K3" s="22"/>
      <c r="L3" s="22"/>
      <c r="M3" s="22"/>
    </row>
    <row r="4" spans="1:13" x14ac:dyDescent="0.25">
      <c r="A4" t="s">
        <v>37</v>
      </c>
      <c r="B4" t="s">
        <v>129</v>
      </c>
      <c r="C4" t="s">
        <v>167</v>
      </c>
      <c r="D4" t="s">
        <v>167</v>
      </c>
      <c r="E4" t="s">
        <v>167</v>
      </c>
      <c r="F4" t="s">
        <v>10</v>
      </c>
      <c r="G4" s="22"/>
      <c r="H4" s="22"/>
      <c r="I4" s="22"/>
      <c r="L4" s="22"/>
      <c r="M4" s="22"/>
    </row>
    <row r="5" spans="1:13" x14ac:dyDescent="0.25">
      <c r="A5" s="22" t="s">
        <v>130</v>
      </c>
      <c r="B5" s="22">
        <v>1</v>
      </c>
      <c r="C5" s="1">
        <f>Land!E7</f>
        <v>510572693430434.19</v>
      </c>
      <c r="D5" s="1">
        <f>Land!F7</f>
        <v>511185932522525.5</v>
      </c>
      <c r="E5" s="1">
        <f>Land!G7</f>
        <v>511799539668488.19</v>
      </c>
      <c r="F5">
        <v>3</v>
      </c>
      <c r="J5" s="22"/>
    </row>
    <row r="6" spans="1:13" x14ac:dyDescent="0.25">
      <c r="A6" s="22" t="s">
        <v>131</v>
      </c>
      <c r="B6" s="22">
        <v>2</v>
      </c>
    </row>
    <row r="7" spans="1:13" x14ac:dyDescent="0.25">
      <c r="A7" s="22" t="s">
        <v>132</v>
      </c>
      <c r="B7" s="22">
        <v>3</v>
      </c>
    </row>
    <row r="8" spans="1:13" x14ac:dyDescent="0.25">
      <c r="A8" s="22" t="s">
        <v>133</v>
      </c>
      <c r="B8" s="22">
        <v>4</v>
      </c>
    </row>
    <row r="9" spans="1:13" x14ac:dyDescent="0.25">
      <c r="A9" s="22" t="s">
        <v>134</v>
      </c>
      <c r="B9" s="22">
        <v>5</v>
      </c>
    </row>
    <row r="10" spans="1:13" x14ac:dyDescent="0.25">
      <c r="A10" s="22" t="s">
        <v>135</v>
      </c>
      <c r="B10" s="22">
        <v>6</v>
      </c>
    </row>
    <row r="11" spans="1:13" x14ac:dyDescent="0.25">
      <c r="A11" s="22" t="s">
        <v>138</v>
      </c>
      <c r="B11" s="22">
        <v>7</v>
      </c>
    </row>
    <row r="12" spans="1:13" x14ac:dyDescent="0.25">
      <c r="A12" s="22" t="s">
        <v>137</v>
      </c>
      <c r="B12" s="22">
        <v>8</v>
      </c>
    </row>
    <row r="13" spans="1:13" x14ac:dyDescent="0.25">
      <c r="A13" s="22" t="s">
        <v>136</v>
      </c>
      <c r="B13" s="22">
        <v>9</v>
      </c>
    </row>
    <row r="14" spans="1:13" x14ac:dyDescent="0.25">
      <c r="A14" s="22" t="s">
        <v>139</v>
      </c>
      <c r="B14" s="22">
        <v>10</v>
      </c>
    </row>
    <row r="15" spans="1:13" x14ac:dyDescent="0.25">
      <c r="A15" s="22" t="s">
        <v>140</v>
      </c>
      <c r="B15" s="22">
        <v>11</v>
      </c>
    </row>
    <row r="16" spans="1:13" x14ac:dyDescent="0.25">
      <c r="A16" s="22" t="s">
        <v>141</v>
      </c>
      <c r="B16" s="22">
        <v>12</v>
      </c>
    </row>
    <row r="17" spans="1:2" x14ac:dyDescent="0.25">
      <c r="A17" s="22" t="s">
        <v>142</v>
      </c>
      <c r="B17" s="22">
        <v>13</v>
      </c>
    </row>
    <row r="18" spans="1:2" x14ac:dyDescent="0.25">
      <c r="A18" s="22" t="s">
        <v>143</v>
      </c>
      <c r="B18" s="22">
        <v>14</v>
      </c>
    </row>
    <row r="19" spans="1:2" x14ac:dyDescent="0.25">
      <c r="A19" s="22" t="s">
        <v>144</v>
      </c>
      <c r="B19" s="22">
        <v>15</v>
      </c>
    </row>
    <row r="20" spans="1:2" x14ac:dyDescent="0.25">
      <c r="A20" s="22" t="s">
        <v>145</v>
      </c>
      <c r="B20" s="22">
        <v>16</v>
      </c>
    </row>
    <row r="21" spans="1:2" x14ac:dyDescent="0.25">
      <c r="A21" s="22" t="s">
        <v>146</v>
      </c>
      <c r="B21" s="22">
        <v>17</v>
      </c>
    </row>
    <row r="22" spans="1:2" x14ac:dyDescent="0.25">
      <c r="A22" s="22" t="s">
        <v>147</v>
      </c>
      <c r="B22" s="22">
        <v>18</v>
      </c>
    </row>
    <row r="23" spans="1:2" x14ac:dyDescent="0.25">
      <c r="A23" s="22" t="s">
        <v>148</v>
      </c>
      <c r="B23" s="22">
        <v>19</v>
      </c>
    </row>
    <row r="24" spans="1:2" x14ac:dyDescent="0.25">
      <c r="A24" s="22" t="s">
        <v>149</v>
      </c>
      <c r="B24" s="22">
        <v>20</v>
      </c>
    </row>
    <row r="25" spans="1:2" x14ac:dyDescent="0.25">
      <c r="A25" s="22" t="s">
        <v>150</v>
      </c>
      <c r="B25" s="22">
        <v>21</v>
      </c>
    </row>
    <row r="26" spans="1:2" x14ac:dyDescent="0.25">
      <c r="A26" s="22" t="s">
        <v>152</v>
      </c>
      <c r="B26" s="22">
        <v>22</v>
      </c>
    </row>
    <row r="27" spans="1:2" x14ac:dyDescent="0.25">
      <c r="A27" s="22" t="s">
        <v>153</v>
      </c>
      <c r="B27" s="22">
        <v>23</v>
      </c>
    </row>
    <row r="28" spans="1:2" x14ac:dyDescent="0.25">
      <c r="A28" s="22" t="s">
        <v>154</v>
      </c>
      <c r="B28" s="22">
        <v>24</v>
      </c>
    </row>
    <row r="29" spans="1:2" x14ac:dyDescent="0.25">
      <c r="A29" s="22" t="s">
        <v>155</v>
      </c>
      <c r="B29" s="22">
        <v>25</v>
      </c>
    </row>
    <row r="30" spans="1:2" x14ac:dyDescent="0.25">
      <c r="A30" s="22" t="s">
        <v>156</v>
      </c>
      <c r="B30" s="22">
        <v>26</v>
      </c>
    </row>
    <row r="31" spans="1:2" x14ac:dyDescent="0.25">
      <c r="A31" s="22" t="s">
        <v>157</v>
      </c>
      <c r="B31" s="22">
        <v>27</v>
      </c>
    </row>
    <row r="32" spans="1:2" x14ac:dyDescent="0.25">
      <c r="A32" s="22" t="s">
        <v>158</v>
      </c>
      <c r="B32" s="22">
        <v>28</v>
      </c>
    </row>
    <row r="33" spans="1:6" x14ac:dyDescent="0.25">
      <c r="A33" s="22" t="s">
        <v>159</v>
      </c>
      <c r="B33" s="22">
        <v>29</v>
      </c>
    </row>
    <row r="34" spans="1:6" x14ac:dyDescent="0.25">
      <c r="A34" s="22" t="s">
        <v>160</v>
      </c>
      <c r="B34" s="22">
        <v>30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2"/>
      <c r="B35" s="22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A2" workbookViewId="0">
      <selection activeCell="B5" sqref="B5"/>
    </sheetView>
  </sheetViews>
  <sheetFormatPr baseColWidth="10" defaultColWidth="9.140625" defaultRowHeight="15" x14ac:dyDescent="0.25"/>
  <cols>
    <col min="2" max="2" width="17.7109375" bestFit="1" customWidth="1"/>
    <col min="3" max="3" width="11.85546875" bestFit="1" customWidth="1"/>
    <col min="11" max="11" width="11.85546875" bestFit="1" customWidth="1"/>
  </cols>
  <sheetData>
    <row r="3" spans="1:8" x14ac:dyDescent="0.25">
      <c r="A3" t="s">
        <v>34</v>
      </c>
    </row>
    <row r="4" spans="1:8" x14ac:dyDescent="0.25">
      <c r="A4">
        <v>1</v>
      </c>
      <c r="B4" t="s">
        <v>16</v>
      </c>
      <c r="C4">
        <v>41868</v>
      </c>
      <c r="D4" t="s">
        <v>15</v>
      </c>
      <c r="G4" t="s">
        <v>20</v>
      </c>
      <c r="H4" t="s">
        <v>21</v>
      </c>
    </row>
    <row r="5" spans="1:8" x14ac:dyDescent="0.25">
      <c r="A5">
        <v>1</v>
      </c>
      <c r="B5" t="s">
        <v>17</v>
      </c>
      <c r="C5">
        <f>C4*1000*10^9</f>
        <v>4.1868E+16</v>
      </c>
      <c r="D5" t="s">
        <v>11</v>
      </c>
      <c r="G5" t="s">
        <v>22</v>
      </c>
      <c r="H5" t="s">
        <v>23</v>
      </c>
    </row>
    <row r="6" spans="1:8" x14ac:dyDescent="0.25">
      <c r="A6">
        <v>1</v>
      </c>
      <c r="B6" t="s">
        <v>19</v>
      </c>
      <c r="C6">
        <f>C4*1000*1000000000000</f>
        <v>4.1868E+19</v>
      </c>
      <c r="D6" t="s">
        <v>11</v>
      </c>
      <c r="G6" t="s">
        <v>24</v>
      </c>
      <c r="H6" t="s">
        <v>25</v>
      </c>
    </row>
    <row r="7" spans="1:8" x14ac:dyDescent="0.25">
      <c r="A7">
        <v>1</v>
      </c>
      <c r="B7" t="s">
        <v>11</v>
      </c>
      <c r="C7" s="1">
        <v>7.7799999999999995E-8</v>
      </c>
      <c r="D7" t="s">
        <v>33</v>
      </c>
      <c r="G7" t="s">
        <v>26</v>
      </c>
      <c r="H7" t="s">
        <v>27</v>
      </c>
    </row>
    <row r="8" spans="1:8" x14ac:dyDescent="0.25">
      <c r="G8" t="s">
        <v>28</v>
      </c>
      <c r="H8" t="s">
        <v>30</v>
      </c>
    </row>
    <row r="9" spans="1:8" x14ac:dyDescent="0.25">
      <c r="A9" t="s">
        <v>13</v>
      </c>
      <c r="G9" t="s">
        <v>29</v>
      </c>
      <c r="H9" t="s">
        <v>31</v>
      </c>
    </row>
    <row r="10" spans="1:8" x14ac:dyDescent="0.25">
      <c r="A10">
        <v>1</v>
      </c>
      <c r="B10" t="s">
        <v>14</v>
      </c>
      <c r="C10">
        <v>29000</v>
      </c>
      <c r="D10" t="s">
        <v>15</v>
      </c>
    </row>
    <row r="11" spans="1:8" x14ac:dyDescent="0.25">
      <c r="A11">
        <v>1</v>
      </c>
      <c r="B11" t="s">
        <v>32</v>
      </c>
      <c r="C11">
        <f>C10*1000*1000*10^9</f>
        <v>2.9E+19</v>
      </c>
      <c r="D11" t="s">
        <v>11</v>
      </c>
    </row>
    <row r="12" spans="1:8" x14ac:dyDescent="0.25">
      <c r="A12">
        <v>1</v>
      </c>
      <c r="B12" t="s">
        <v>11</v>
      </c>
      <c r="C12" s="1">
        <v>1.1000000000000001E-7</v>
      </c>
      <c r="D12" t="s">
        <v>33</v>
      </c>
    </row>
    <row r="14" spans="1:8" x14ac:dyDescent="0.25">
      <c r="A14" t="s">
        <v>35</v>
      </c>
    </row>
    <row r="15" spans="1:8" x14ac:dyDescent="0.25">
      <c r="A15">
        <v>1</v>
      </c>
      <c r="B15" t="s">
        <v>18</v>
      </c>
      <c r="C15">
        <v>31736</v>
      </c>
      <c r="D15" t="s">
        <v>15</v>
      </c>
    </row>
    <row r="16" spans="1:8" x14ac:dyDescent="0.25">
      <c r="A16">
        <v>1</v>
      </c>
      <c r="B16" t="s">
        <v>12</v>
      </c>
      <c r="C16">
        <f>C15*10^12*1000</f>
        <v>3.1736E+19</v>
      </c>
      <c r="D16" t="s">
        <v>11</v>
      </c>
    </row>
    <row r="17" spans="1:14" x14ac:dyDescent="0.25">
      <c r="A17">
        <v>1</v>
      </c>
      <c r="B17" t="s">
        <v>11</v>
      </c>
      <c r="C17" s="1">
        <v>5.5600000000000002E-8</v>
      </c>
      <c r="D17" t="s">
        <v>33</v>
      </c>
    </row>
    <row r="23" spans="1:14" x14ac:dyDescent="0.25">
      <c r="B23" t="s">
        <v>42</v>
      </c>
    </row>
    <row r="24" spans="1:14" x14ac:dyDescent="0.25">
      <c r="A24">
        <v>85</v>
      </c>
      <c r="B24" t="s">
        <v>43</v>
      </c>
      <c r="C24">
        <f>A24*10^18/(3600*24*365)</f>
        <v>2695332318619.9897</v>
      </c>
      <c r="D24" t="s">
        <v>8</v>
      </c>
      <c r="E24" t="s">
        <v>44</v>
      </c>
      <c r="H24" t="s">
        <v>46</v>
      </c>
      <c r="L24" t="s">
        <v>48</v>
      </c>
      <c r="N24" t="s">
        <v>47</v>
      </c>
    </row>
    <row r="25" spans="1:14" x14ac:dyDescent="0.25">
      <c r="A25">
        <v>60</v>
      </c>
      <c r="B25" t="s">
        <v>43</v>
      </c>
      <c r="C25">
        <f>A25*10^18/(3600*24*365)</f>
        <v>1902587519025.8752</v>
      </c>
      <c r="D25" t="s">
        <v>8</v>
      </c>
      <c r="E25" t="s">
        <v>45</v>
      </c>
      <c r="H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1" sqref="E71"/>
    </sheetView>
  </sheetViews>
  <sheetFormatPr baseColWidth="10" defaultRowHeight="15" x14ac:dyDescent="0.25"/>
  <cols>
    <col min="1" max="1" width="42" bestFit="1" customWidth="1"/>
    <col min="2" max="2" width="7.7109375" bestFit="1" customWidth="1"/>
    <col min="3" max="3" width="7.28515625" bestFit="1" customWidth="1"/>
    <col min="4" max="4" width="6.7109375" bestFit="1" customWidth="1"/>
    <col min="5" max="5" width="11" bestFit="1" customWidth="1"/>
    <col min="6" max="6" width="9.28515625" bestFit="1" customWidth="1"/>
    <col min="7" max="7" width="10" bestFit="1" customWidth="1"/>
    <col min="8" max="8" width="7.85546875" style="10" bestFit="1" customWidth="1"/>
    <col min="9" max="9" width="5.42578125" style="10" bestFit="1" customWidth="1"/>
    <col min="10" max="10" width="11" style="2" bestFit="1" customWidth="1"/>
    <col min="11" max="13" width="8.5703125" style="1" customWidth="1"/>
    <col min="14" max="16" width="11" style="1" customWidth="1"/>
    <col min="17" max="17" width="37.5703125" customWidth="1"/>
    <col min="19" max="19" width="11.42578125" style="24"/>
  </cols>
  <sheetData>
    <row r="1" spans="1:27" ht="32.25" customHeight="1" x14ac:dyDescent="0.25">
      <c r="A1" s="83" t="s">
        <v>49</v>
      </c>
      <c r="B1" s="4"/>
      <c r="C1" s="4"/>
      <c r="D1" s="4"/>
      <c r="E1" s="9" t="s">
        <v>79</v>
      </c>
      <c r="F1" s="4"/>
      <c r="G1" s="9" t="s">
        <v>80</v>
      </c>
      <c r="H1"/>
      <c r="I1" s="23"/>
      <c r="J1" s="11"/>
      <c r="K1" s="119" t="s">
        <v>78</v>
      </c>
      <c r="L1" s="119"/>
      <c r="M1" s="119"/>
      <c r="N1" s="120" t="s">
        <v>81</v>
      </c>
      <c r="O1" s="120"/>
      <c r="P1" s="120"/>
      <c r="S1" s="24" t="s">
        <v>171</v>
      </c>
      <c r="U1" t="s">
        <v>59</v>
      </c>
    </row>
    <row r="2" spans="1:27" x14ac:dyDescent="0.25">
      <c r="A2" t="s">
        <v>37</v>
      </c>
      <c r="B2" t="s">
        <v>36</v>
      </c>
      <c r="C2" s="2" t="s">
        <v>41</v>
      </c>
      <c r="D2" s="2" t="s">
        <v>38</v>
      </c>
      <c r="E2" s="2" t="s">
        <v>253</v>
      </c>
      <c r="F2" s="1" t="s">
        <v>254</v>
      </c>
      <c r="G2" s="2" t="s">
        <v>255</v>
      </c>
      <c r="H2" s="10" t="s">
        <v>53</v>
      </c>
      <c r="I2" s="10" t="s">
        <v>54</v>
      </c>
      <c r="J2" s="2" t="s">
        <v>55</v>
      </c>
      <c r="K2" s="2" t="s">
        <v>253</v>
      </c>
      <c r="L2" s="1" t="s">
        <v>254</v>
      </c>
      <c r="M2" s="2" t="s">
        <v>255</v>
      </c>
      <c r="N2" s="2" t="s">
        <v>253</v>
      </c>
      <c r="O2" s="1" t="s">
        <v>254</v>
      </c>
      <c r="P2" s="2" t="s">
        <v>255</v>
      </c>
      <c r="Q2" s="2" t="s">
        <v>4</v>
      </c>
      <c r="S2" s="24" t="s">
        <v>172</v>
      </c>
      <c r="V2" t="s">
        <v>0</v>
      </c>
      <c r="W2" t="s">
        <v>70</v>
      </c>
      <c r="X2" t="s">
        <v>71</v>
      </c>
      <c r="Y2" t="s">
        <v>74</v>
      </c>
      <c r="Z2" t="s">
        <v>72</v>
      </c>
    </row>
    <row r="3" spans="1:27" x14ac:dyDescent="0.25">
      <c r="A3" t="s">
        <v>170</v>
      </c>
      <c r="B3" t="s">
        <v>8</v>
      </c>
      <c r="C3" s="2"/>
      <c r="D3" s="2"/>
      <c r="E3" s="1">
        <f>Solar!C69</f>
        <v>1.7291411023847971E+17</v>
      </c>
      <c r="F3" s="1">
        <f>Solar!F69</f>
        <v>1.7390440234778765E+17</v>
      </c>
      <c r="G3" s="1">
        <f>Solar!I69</f>
        <v>1.748902787966905E+17</v>
      </c>
      <c r="Q3" s="2" t="s">
        <v>262</v>
      </c>
    </row>
    <row r="4" spans="1:27" x14ac:dyDescent="0.25">
      <c r="A4" t="s">
        <v>75</v>
      </c>
      <c r="B4" t="s">
        <v>8</v>
      </c>
      <c r="C4" s="2"/>
      <c r="D4" s="2"/>
      <c r="E4" s="1">
        <f>Solar!C72</f>
        <v>7.7274979753290432E+16</v>
      </c>
      <c r="F4" s="1">
        <f>Solar!F72</f>
        <v>8.3885302204514704E+16</v>
      </c>
      <c r="G4" s="1">
        <f>Solar!I72</f>
        <v>9.067151814196432E+16</v>
      </c>
      <c r="Q4" s="2" t="s">
        <v>262</v>
      </c>
    </row>
    <row r="5" spans="1:27" x14ac:dyDescent="0.25">
      <c r="A5" t="s">
        <v>101</v>
      </c>
      <c r="B5" t="s">
        <v>7</v>
      </c>
      <c r="C5" s="2"/>
      <c r="D5" s="2"/>
      <c r="E5" s="1">
        <f>Solar!E5</f>
        <v>127643173357608.55</v>
      </c>
      <c r="F5" s="1">
        <f>Solar!F5</f>
        <v>127796483130631.38</v>
      </c>
      <c r="G5" s="1">
        <f>Solar!G5</f>
        <v>127949884917122.05</v>
      </c>
      <c r="Q5" s="2" t="s">
        <v>262</v>
      </c>
    </row>
    <row r="6" spans="1:27" x14ac:dyDescent="0.25">
      <c r="A6" t="s">
        <v>76</v>
      </c>
      <c r="B6" t="s">
        <v>73</v>
      </c>
      <c r="C6" s="2"/>
      <c r="D6" s="2"/>
      <c r="E6" s="1">
        <f>E4/E5</f>
        <v>605.39845352163695</v>
      </c>
      <c r="F6" s="1">
        <f>F4/F5</f>
        <v>656.39757957007771</v>
      </c>
      <c r="G6" s="1">
        <f>G4/G5</f>
        <v>708.64868851344158</v>
      </c>
      <c r="Q6" s="2"/>
    </row>
    <row r="7" spans="1:27" x14ac:dyDescent="0.25">
      <c r="A7" t="s">
        <v>102</v>
      </c>
      <c r="B7" s="1" t="s">
        <v>7</v>
      </c>
      <c r="C7" s="29"/>
      <c r="D7" s="29"/>
      <c r="E7" s="7">
        <f>Solar!E6</f>
        <v>510572693430434.19</v>
      </c>
      <c r="F7" s="7">
        <f>Solar!F6</f>
        <v>511185932522525.5</v>
      </c>
      <c r="G7" s="7">
        <f>Solar!G6</f>
        <v>511799539668488.19</v>
      </c>
      <c r="H7" s="17">
        <v>-90</v>
      </c>
      <c r="I7" s="17">
        <v>90</v>
      </c>
      <c r="J7" s="2">
        <f>((H7-I7)/180*PI()-SIN(I7/180*PI())*COS(I7/180*PI())+SIN(H7/180*PI())*COS(H7/180*PI()))/(2*PI()*(SIN(H7/180*PI())-SIN(I7/180*PI())))</f>
        <v>0.25</v>
      </c>
      <c r="K7" s="1">
        <f>$E$6*J7</f>
        <v>151.34961338040924</v>
      </c>
      <c r="L7" s="1">
        <f>$F$6*J7</f>
        <v>164.09939489251943</v>
      </c>
      <c r="M7" s="1">
        <f>$G$6*J7</f>
        <v>177.1621721283604</v>
      </c>
      <c r="N7" s="1">
        <f t="shared" ref="N7:P8" si="0">K7*E7</f>
        <v>7.7274979753290432E+16</v>
      </c>
      <c r="O7" s="1">
        <f t="shared" si="0"/>
        <v>8.3885302204514704E+16</v>
      </c>
      <c r="P7" s="1">
        <f t="shared" si="0"/>
        <v>9.067151814196432E+16</v>
      </c>
      <c r="Q7" s="2" t="s">
        <v>262</v>
      </c>
      <c r="U7" t="s">
        <v>60</v>
      </c>
      <c r="V7" s="1">
        <f>F7</f>
        <v>511185932522525.5</v>
      </c>
      <c r="Z7" s="3">
        <f>V7/$V$7</f>
        <v>1</v>
      </c>
    </row>
    <row r="8" spans="1:27" x14ac:dyDescent="0.25">
      <c r="A8" t="s">
        <v>131</v>
      </c>
      <c r="B8" t="s">
        <v>7</v>
      </c>
      <c r="C8" s="29">
        <f>-D8</f>
        <v>-5.1070454619129403E-3</v>
      </c>
      <c r="D8" s="29">
        <f>(G8-F8)/F8</f>
        <v>5.1070454619129403E-3</v>
      </c>
      <c r="E8" s="1">
        <f>F8+C8*F8</f>
        <v>145166194000000</v>
      </c>
      <c r="F8" s="5">
        <v>145911370000000</v>
      </c>
      <c r="G8" s="5">
        <v>146656546000000</v>
      </c>
      <c r="H8" s="17">
        <v>-90</v>
      </c>
      <c r="I8" s="17">
        <v>90</v>
      </c>
      <c r="J8" s="2">
        <f>((H8-I8)/180*PI()-SIN(I8/180*PI())*COS(I8/180*PI())+SIN(H8/180*PI())*COS(H8/180*PI()))/(2*PI()*(SIN(H8/180*PI())-SIN(I8/180*PI())))</f>
        <v>0.25</v>
      </c>
      <c r="K8" s="1">
        <f>$E$6*J8</f>
        <v>151.34961338040924</v>
      </c>
      <c r="L8" s="1">
        <f>$F$6*J8</f>
        <v>164.09939489251943</v>
      </c>
      <c r="M8" s="1">
        <f>$G$6*J8</f>
        <v>177.1621721283604</v>
      </c>
      <c r="N8" s="1">
        <f t="shared" si="0"/>
        <v>2.1970847337805484E+16</v>
      </c>
      <c r="O8" s="1">
        <f t="shared" si="0"/>
        <v>2.3943967524938512E+16</v>
      </c>
      <c r="P8" s="1">
        <f t="shared" si="0"/>
        <v>2.5981992246202804E+16</v>
      </c>
      <c r="Q8" t="s">
        <v>450</v>
      </c>
      <c r="U8" t="s">
        <v>61</v>
      </c>
      <c r="X8" s="1">
        <f>F13</f>
        <v>22590000000000</v>
      </c>
      <c r="Y8" s="1">
        <f>F31</f>
        <v>7341750000000</v>
      </c>
      <c r="Z8" s="3">
        <f>X8/$V$7</f>
        <v>4.4191356926678665E-2</v>
      </c>
      <c r="AA8" s="3" t="e">
        <f>Y8/#REF!</f>
        <v>#REF!</v>
      </c>
    </row>
    <row r="9" spans="1:27" x14ac:dyDescent="0.25">
      <c r="A9" t="s">
        <v>131</v>
      </c>
      <c r="B9" t="s">
        <v>7</v>
      </c>
      <c r="C9" s="29"/>
      <c r="D9" s="29"/>
      <c r="E9" s="1">
        <f>E8</f>
        <v>145166194000000</v>
      </c>
      <c r="F9" s="1">
        <f>F8</f>
        <v>145911370000000</v>
      </c>
      <c r="G9" s="1">
        <f>G8</f>
        <v>146656546000000</v>
      </c>
      <c r="H9" s="30"/>
      <c r="I9" s="30"/>
      <c r="X9" s="1"/>
      <c r="Y9" s="1"/>
      <c r="Z9" s="3"/>
      <c r="AA9" s="3"/>
    </row>
    <row r="10" spans="1:27" x14ac:dyDescent="0.25">
      <c r="U10" t="s">
        <v>63</v>
      </c>
      <c r="X10" s="1">
        <f>F15</f>
        <v>15650000000000</v>
      </c>
      <c r="Y10" s="1">
        <f>F35</f>
        <v>5086250000000</v>
      </c>
      <c r="Z10" s="3">
        <f t="shared" ref="Z10:Z16" si="1">X10/$V$7</f>
        <v>3.061508348395401E-2</v>
      </c>
      <c r="AA10" s="3" t="e">
        <f>Y10/#REF!</f>
        <v>#REF!</v>
      </c>
    </row>
    <row r="11" spans="1:27" s="18" customFormat="1" x14ac:dyDescent="0.25">
      <c r="A11" s="18" t="s">
        <v>56</v>
      </c>
      <c r="H11" s="19"/>
      <c r="I11" s="19"/>
      <c r="J11" s="20"/>
      <c r="K11" s="8"/>
      <c r="L11" s="8"/>
      <c r="M11" s="8"/>
      <c r="N11" s="8"/>
      <c r="O11" s="8"/>
      <c r="P11" s="8"/>
      <c r="S11" s="25"/>
      <c r="U11" s="18" t="s">
        <v>64</v>
      </c>
      <c r="X11" s="8">
        <f>F17</f>
        <v>19078920000000</v>
      </c>
      <c r="Y11" s="8">
        <f>F38</f>
        <v>9539460000000</v>
      </c>
      <c r="Z11" s="21">
        <f t="shared" si="1"/>
        <v>3.7322858056465166E-2</v>
      </c>
      <c r="AA11" s="21" t="e">
        <f>Y11/#REF!</f>
        <v>#REF!</v>
      </c>
    </row>
    <row r="12" spans="1:27" x14ac:dyDescent="0.25">
      <c r="A12" t="s">
        <v>103</v>
      </c>
      <c r="B12" t="s">
        <v>7</v>
      </c>
      <c r="E12" s="1">
        <f>SUM(E13:E15)</f>
        <v>54727200000000</v>
      </c>
      <c r="F12" s="1">
        <f>SUM(F13:F15)</f>
        <v>55280000000000</v>
      </c>
      <c r="G12" s="1">
        <f>SUM(G13:G15)</f>
        <v>55832800000000</v>
      </c>
      <c r="H12" s="17">
        <v>-30</v>
      </c>
      <c r="I12" s="17">
        <v>70</v>
      </c>
      <c r="J12" s="2">
        <f>((H12-I12)/180*PI()-SIN(I12/180*PI())*COS(I12/180*PI())+SIN(H12/180*PI())*COS(H12/180*PI()))/(2*PI()*(SIN(H12/180*PI())-SIN(I12/180*PI())))</f>
        <v>0.27634044703809196</v>
      </c>
      <c r="K12" s="1">
        <f>$E$6*J12</f>
        <v>167.2960792823387</v>
      </c>
      <c r="L12" s="1">
        <f>$F$6*J12</f>
        <v>181.38920057311682</v>
      </c>
      <c r="M12" s="1">
        <f>$G$6*J12</f>
        <v>195.82829537676204</v>
      </c>
      <c r="N12" s="1">
        <f t="shared" ref="N12:P15" si="2">K12*E12</f>
        <v>9155645990100406</v>
      </c>
      <c r="O12" s="1">
        <f t="shared" si="2"/>
        <v>1.0027195007681898E+16</v>
      </c>
      <c r="P12" s="1">
        <f t="shared" si="2"/>
        <v>1.093364205011168E+16</v>
      </c>
      <c r="S12" s="24">
        <f>O12/$F$3</f>
        <v>5.7659236179822104E-2</v>
      </c>
      <c r="U12" t="s">
        <v>69</v>
      </c>
      <c r="X12" s="1">
        <f>F18</f>
        <v>14120550000000</v>
      </c>
      <c r="Y12" s="1">
        <f>F40</f>
        <v>7060275000000</v>
      </c>
      <c r="Z12" s="3">
        <f t="shared" si="1"/>
        <v>2.7623119302833662E-2</v>
      </c>
      <c r="AA12" s="3" t="e">
        <f>Y12/#REF!</f>
        <v>#REF!</v>
      </c>
    </row>
    <row r="13" spans="1:27" x14ac:dyDescent="0.25">
      <c r="A13" t="s">
        <v>50</v>
      </c>
      <c r="B13" t="s">
        <v>7</v>
      </c>
      <c r="C13" s="6">
        <f>-D13</f>
        <v>-0.01</v>
      </c>
      <c r="D13" s="6">
        <v>0.01</v>
      </c>
      <c r="E13" s="1">
        <f>F13+C13*F13</f>
        <v>22364100000000</v>
      </c>
      <c r="F13" s="5">
        <v>22590000000000</v>
      </c>
      <c r="G13" s="1">
        <f>F13+D13*F13</f>
        <v>22815900000000</v>
      </c>
      <c r="H13" s="17">
        <v>-30</v>
      </c>
      <c r="I13" s="17">
        <v>30</v>
      </c>
      <c r="J13" s="2">
        <f>((H13-I13)/180*PI()-SIN(I13/180*PI())*COS(I13/180*PI())+SIN(H13/180*PI())*COS(H13/180*PI()))/(2*PI()*(SIN(H13/180*PI())-SIN(I13/180*PI())))</f>
        <v>0.30449889052211471</v>
      </c>
      <c r="K13" s="1">
        <f>$E$6*J13</f>
        <v>184.34315742114248</v>
      </c>
      <c r="L13" s="1">
        <f>$F$6*J13</f>
        <v>199.87233472049016</v>
      </c>
      <c r="M13" s="1">
        <f>$G$6*J13</f>
        <v>215.78273942229461</v>
      </c>
      <c r="N13" s="1">
        <f t="shared" si="2"/>
        <v>4122668806882172.5</v>
      </c>
      <c r="O13" s="1">
        <f t="shared" si="2"/>
        <v>4515116041335873</v>
      </c>
      <c r="P13" s="1">
        <f t="shared" si="2"/>
        <v>4923277404385132</v>
      </c>
      <c r="Q13" t="s">
        <v>448</v>
      </c>
      <c r="S13" s="24">
        <f t="shared" ref="S13:S25" si="3">O13/$F$3</f>
        <v>2.5963207258584461E-2</v>
      </c>
      <c r="U13" t="s">
        <v>68</v>
      </c>
      <c r="X13" s="1">
        <f>F19</f>
        <v>24624630000000</v>
      </c>
      <c r="Y13" s="1">
        <f>F42</f>
        <v>12312315000000</v>
      </c>
      <c r="Z13" s="3">
        <f t="shared" si="1"/>
        <v>4.8171572090190316E-2</v>
      </c>
      <c r="AA13" s="3" t="e">
        <f>Y13/#REF!</f>
        <v>#REF!</v>
      </c>
    </row>
    <row r="14" spans="1:27" x14ac:dyDescent="0.25">
      <c r="A14" t="s">
        <v>51</v>
      </c>
      <c r="B14" t="s">
        <v>7</v>
      </c>
      <c r="C14" s="6">
        <f t="shared" ref="C14:C19" si="4">-D14</f>
        <v>-0.01</v>
      </c>
      <c r="D14" s="6">
        <v>0.01</v>
      </c>
      <c r="E14" s="1">
        <f>F14+C14*F14</f>
        <v>16869600000000</v>
      </c>
      <c r="F14" s="5">
        <v>17040000000000</v>
      </c>
      <c r="G14" s="1">
        <f>F14+D14*F14</f>
        <v>17210400000000</v>
      </c>
      <c r="H14" s="17">
        <v>25</v>
      </c>
      <c r="I14" s="17">
        <v>60</v>
      </c>
      <c r="J14" s="2">
        <f>((H14-I14)/180*PI()-SIN(I14/180*PI())*COS(I14/180*PI())+SIN(H14/180*PI())*COS(H14/180*PI()))/(2*PI()*(SIN(H14/180*PI())-SIN(I14/180*PI())))</f>
        <v>0.2372051424113942</v>
      </c>
      <c r="K14" s="1">
        <f>$E$6*J14</f>
        <v>143.6036263832377</v>
      </c>
      <c r="L14" s="1">
        <f>$F$6*J14</f>
        <v>155.70088134041475</v>
      </c>
      <c r="M14" s="1">
        <f>$G$6*J14</f>
        <v>168.09511307847865</v>
      </c>
      <c r="N14" s="1">
        <f t="shared" si="2"/>
        <v>2422535735634666.5</v>
      </c>
      <c r="O14" s="1">
        <f t="shared" si="2"/>
        <v>2653143018040667.5</v>
      </c>
      <c r="P14" s="1">
        <f t="shared" si="2"/>
        <v>2892984134125849</v>
      </c>
      <c r="Q14" t="s">
        <v>448</v>
      </c>
      <c r="S14" s="24">
        <f t="shared" si="3"/>
        <v>1.5256330387397004E-2</v>
      </c>
      <c r="U14" t="s">
        <v>65</v>
      </c>
      <c r="X14" s="1">
        <f>F21</f>
        <v>1507270000000</v>
      </c>
      <c r="Y14">
        <v>0</v>
      </c>
      <c r="Z14" s="3">
        <f t="shared" si="1"/>
        <v>2.9485748806938892E-3</v>
      </c>
      <c r="AA14" s="3" t="e">
        <f>Y14/#REF!</f>
        <v>#REF!</v>
      </c>
    </row>
    <row r="15" spans="1:27" x14ac:dyDescent="0.25">
      <c r="A15" t="s">
        <v>52</v>
      </c>
      <c r="B15" t="s">
        <v>7</v>
      </c>
      <c r="C15" s="6">
        <f t="shared" si="4"/>
        <v>-0.01</v>
      </c>
      <c r="D15" s="6">
        <v>0.01</v>
      </c>
      <c r="E15" s="1">
        <f>F15+C15*F15</f>
        <v>15493500000000</v>
      </c>
      <c r="F15" s="5">
        <v>15650000000000</v>
      </c>
      <c r="G15" s="1">
        <f>F15+D15*F15</f>
        <v>15806500000000</v>
      </c>
      <c r="H15" s="17">
        <v>45</v>
      </c>
      <c r="I15" s="17">
        <v>70</v>
      </c>
      <c r="J15" s="2">
        <f>((H15-I15)/180*PI()-SIN(I15/180*PI())*COS(I15/180*PI())+SIN(H15/180*PI())*COS(H15/180*PI()))/(2*PI()*(SIN(H15/180*PI())-SIN(I15/180*PI())))</f>
        <v>0.17635805210270342</v>
      </c>
      <c r="K15" s="1">
        <f>$E$6*J15</f>
        <v>106.76689200906492</v>
      </c>
      <c r="L15" s="1">
        <f>$F$6*J15</f>
        <v>115.76099853790818</v>
      </c>
      <c r="M15" s="1">
        <f>$G$6*J15</f>
        <v>124.97590233136597</v>
      </c>
      <c r="N15" s="1">
        <f t="shared" si="2"/>
        <v>1654192841342447.3</v>
      </c>
      <c r="O15" s="1">
        <f t="shared" si="2"/>
        <v>1811659627118263</v>
      </c>
      <c r="P15" s="1">
        <f t="shared" si="2"/>
        <v>1975431600200736.3</v>
      </c>
      <c r="Q15" t="s">
        <v>448</v>
      </c>
      <c r="S15" s="24">
        <f t="shared" si="3"/>
        <v>1.0417560468050511E-2</v>
      </c>
      <c r="U15" t="s">
        <v>66</v>
      </c>
      <c r="X15" s="1">
        <f>F22</f>
        <v>15300000000000</v>
      </c>
      <c r="Y15" s="1">
        <f>F44</f>
        <v>7650000000000</v>
      </c>
      <c r="Z15" s="3">
        <f t="shared" si="1"/>
        <v>2.9930401105718617E-2</v>
      </c>
      <c r="AA15" s="3" t="e">
        <f>Y15/#REF!</f>
        <v>#REF!</v>
      </c>
    </row>
    <row r="16" spans="1:27" x14ac:dyDescent="0.25">
      <c r="U16" t="s">
        <v>67</v>
      </c>
      <c r="X16" s="1">
        <f>F23</f>
        <v>16000000000000</v>
      </c>
      <c r="Y16">
        <v>0</v>
      </c>
      <c r="Z16" s="3">
        <f t="shared" si="1"/>
        <v>3.1299765862189403E-2</v>
      </c>
      <c r="AA16" s="3" t="e">
        <f>Y16/#REF!</f>
        <v>#REF!</v>
      </c>
    </row>
    <row r="17" spans="1:27" x14ac:dyDescent="0.25">
      <c r="A17" t="s">
        <v>104</v>
      </c>
      <c r="B17" t="s">
        <v>7</v>
      </c>
      <c r="C17" s="6">
        <f t="shared" si="4"/>
        <v>-0.01</v>
      </c>
      <c r="D17" s="6">
        <v>0.01</v>
      </c>
      <c r="E17" s="1">
        <f>F17+C17*F17</f>
        <v>18888130800000</v>
      </c>
      <c r="F17" s="5">
        <v>19078920000000</v>
      </c>
      <c r="G17" s="1">
        <f>F17+D17*F17</f>
        <v>19269709200000</v>
      </c>
      <c r="H17" s="17">
        <v>-40</v>
      </c>
      <c r="I17" s="17">
        <v>15</v>
      </c>
      <c r="J17" s="2">
        <f>((H17-I17)/180*PI()-SIN(I17/180*PI())*COS(I17/180*PI())+SIN(H17/180*PI())*COS(H17/180*PI()))/(2*PI()*(SIN(H17/180*PI())-SIN(I17/180*PI())))</f>
        <v>0.30050246751749771</v>
      </c>
      <c r="K17" s="1">
        <f>$E$6*J17</f>
        <v>181.92372911452907</v>
      </c>
      <c r="L17" s="1">
        <f>$F$6*J17</f>
        <v>197.24909233332139</v>
      </c>
      <c r="M17" s="1">
        <f>$G$6*J17</f>
        <v>212.95067950132784</v>
      </c>
      <c r="N17" s="1">
        <f t="shared" ref="N17:P19" si="5">K17*E17</f>
        <v>3436199191138993</v>
      </c>
      <c r="O17" s="1">
        <f t="shared" si="5"/>
        <v>3763299652700052</v>
      </c>
      <c r="P17" s="1">
        <f t="shared" si="5"/>
        <v>4103497667932988.5</v>
      </c>
      <c r="Q17" t="s">
        <v>448</v>
      </c>
      <c r="S17" s="24">
        <f t="shared" si="3"/>
        <v>2.164004822128603E-2</v>
      </c>
      <c r="Y17" s="1">
        <f>SUM(Y8:Y16)</f>
        <v>48990050000000</v>
      </c>
      <c r="AA17" s="3" t="e">
        <f>Y17/#REF!</f>
        <v>#REF!</v>
      </c>
    </row>
    <row r="18" spans="1:27" x14ac:dyDescent="0.25">
      <c r="A18" t="s">
        <v>105</v>
      </c>
      <c r="B18" t="s">
        <v>7</v>
      </c>
      <c r="C18" s="6">
        <f t="shared" si="4"/>
        <v>-0.01</v>
      </c>
      <c r="D18" s="6">
        <v>0.01</v>
      </c>
      <c r="E18" s="1">
        <f>F18+C18*F18</f>
        <v>13979344500000</v>
      </c>
      <c r="F18" s="5">
        <v>14120550000000</v>
      </c>
      <c r="G18" s="1">
        <f>F18+D18*F18</f>
        <v>14261755500000</v>
      </c>
      <c r="H18" s="17">
        <v>-55</v>
      </c>
      <c r="I18" s="17">
        <v>55</v>
      </c>
      <c r="J18" s="2">
        <f>((H18-I18)/180*PI()-SIN(I18/180*PI())*COS(I18/180*PI())+SIN(H18/180*PI())*COS(H18/180*PI()))/(2*PI()*(SIN(H18/180*PI())-SIN(I18/180*PI())))</f>
        <v>0.27779475392485875</v>
      </c>
      <c r="K18" s="1">
        <f>$E$6*J18</f>
        <v>168.17651442253319</v>
      </c>
      <c r="L18" s="1">
        <f>$F$6*J18</f>
        <v>182.34380409354262</v>
      </c>
      <c r="M18" s="1">
        <f>$G$6*J18</f>
        <v>196.85888804476539</v>
      </c>
      <c r="N18" s="1">
        <f t="shared" si="5"/>
        <v>2350997431921810</v>
      </c>
      <c r="O18" s="1">
        <f t="shared" si="5"/>
        <v>2574794802893073</v>
      </c>
      <c r="P18" s="1">
        <f t="shared" si="5"/>
        <v>2807553329296317</v>
      </c>
      <c r="Q18" t="s">
        <v>448</v>
      </c>
      <c r="S18" s="24">
        <f t="shared" si="3"/>
        <v>1.4805805765306599E-2</v>
      </c>
    </row>
    <row r="19" spans="1:27" x14ac:dyDescent="0.25">
      <c r="A19" t="s">
        <v>106</v>
      </c>
      <c r="B19" t="s">
        <v>7</v>
      </c>
      <c r="C19" s="6">
        <f t="shared" si="4"/>
        <v>-0.01</v>
      </c>
      <c r="D19" s="6">
        <v>0.01</v>
      </c>
      <c r="E19" s="1">
        <f>F19+C19*F19</f>
        <v>24378383700000</v>
      </c>
      <c r="F19" s="5">
        <v>24624630000000</v>
      </c>
      <c r="G19" s="1">
        <f>F19+D19*F19</f>
        <v>24870876300000</v>
      </c>
      <c r="H19" s="17">
        <v>-40</v>
      </c>
      <c r="I19" s="17">
        <v>75</v>
      </c>
      <c r="J19" s="2">
        <f>((H19-I19)/180*PI()-SIN(I19/180*PI())*COS(I19/180*PI())+SIN(H19/180*PI())*COS(H19/180*PI()))/(2*PI()*(SIN(H19/180*PI())-SIN(I19/180*PI())))</f>
        <v>0.27201966576203268</v>
      </c>
      <c r="K19" s="1">
        <f>$E$6*J19</f>
        <v>164.68028497980717</v>
      </c>
      <c r="L19" s="1">
        <f>$F$6*J19</f>
        <v>178.5530502016598</v>
      </c>
      <c r="M19" s="1">
        <f>$G$6*J19</f>
        <v>192.76637939212918</v>
      </c>
      <c r="N19" s="1">
        <f t="shared" si="5"/>
        <v>4014639175063086</v>
      </c>
      <c r="O19" s="1">
        <f t="shared" si="5"/>
        <v>4396802796587298</v>
      </c>
      <c r="P19" s="1">
        <f t="shared" si="5"/>
        <v>4794268776660514</v>
      </c>
      <c r="Q19" t="s">
        <v>448</v>
      </c>
      <c r="S19" s="24">
        <f t="shared" si="3"/>
        <v>2.5282872297816977E-2</v>
      </c>
    </row>
    <row r="21" spans="1:27" x14ac:dyDescent="0.25">
      <c r="A21" t="s">
        <v>307</v>
      </c>
      <c r="B21" t="s">
        <v>7</v>
      </c>
      <c r="E21" s="1">
        <f>E8-E12-E17-E18-E19-E22-E23</f>
        <v>2206135000000</v>
      </c>
      <c r="F21" s="1">
        <f>F8-F12-F17-F18-F19-F22-F23</f>
        <v>1507270000000</v>
      </c>
      <c r="G21" s="1">
        <f>G8-G12-G17-G18-G19-G22-G23</f>
        <v>808405000000</v>
      </c>
      <c r="H21" s="17">
        <v>-60</v>
      </c>
      <c r="I21" s="17">
        <v>80</v>
      </c>
      <c r="J21" s="2">
        <f>((H21-I21)/180*PI()-SIN(I21/180*PI())*COS(I21/180*PI())+SIN(H21/180*PI())*COS(H21/180*PI()))/(2*PI()*(SIN(H21/180*PI())-SIN(I21/180*PI())))</f>
        <v>0.26205608931261554</v>
      </c>
      <c r="K21" s="1">
        <f>$E$6*J21</f>
        <v>158.64835120578542</v>
      </c>
      <c r="L21" s="1">
        <f>$F$6*J21</f>
        <v>172.01298273640094</v>
      </c>
      <c r="M21" s="1">
        <f>$G$6*J21</f>
        <v>185.70570400834632</v>
      </c>
      <c r="N21" s="1">
        <f t="shared" ref="N21:P23" si="6">K21*E21</f>
        <v>349999680287375.44</v>
      </c>
      <c r="O21" s="1">
        <f t="shared" si="6"/>
        <v>259270008489095.06</v>
      </c>
      <c r="P21" s="1">
        <f t="shared" si="6"/>
        <v>150125419648867.22</v>
      </c>
      <c r="S21" s="24">
        <f t="shared" si="3"/>
        <v>1.4908766252540668E-3</v>
      </c>
    </row>
    <row r="22" spans="1:27" x14ac:dyDescent="0.25">
      <c r="A22" t="s">
        <v>107</v>
      </c>
      <c r="B22" t="s">
        <v>7</v>
      </c>
      <c r="C22" s="6">
        <f>-D22</f>
        <v>-0.01</v>
      </c>
      <c r="D22" s="6">
        <v>0.01</v>
      </c>
      <c r="E22" s="1">
        <f>F22+C22*F22</f>
        <v>15147000000000</v>
      </c>
      <c r="F22" s="5">
        <v>15300000000000</v>
      </c>
      <c r="G22" s="1">
        <f>F22+D22*F22</f>
        <v>15453000000000</v>
      </c>
      <c r="H22" s="17">
        <v>15</v>
      </c>
      <c r="I22" s="17">
        <v>40</v>
      </c>
      <c r="J22" s="2">
        <f>((H22-I22)/180*PI()-SIN(I22/180*PI())*COS(I22/180*PI())+SIN(H22/180*PI())*COS(H22/180*PI()))/(2*PI()*(SIN(H22/180*PI())-SIN(I22/180*PI())))</f>
        <v>0.28133610294910177</v>
      </c>
      <c r="K22" s="1">
        <f>$E$6*J22</f>
        <v>170.32044164519027</v>
      </c>
      <c r="L22" s="1">
        <f>$F$6*J22</f>
        <v>184.6683370214686</v>
      </c>
      <c r="M22" s="1">
        <f>$G$6*J22</f>
        <v>199.36846038636355</v>
      </c>
      <c r="N22" s="1">
        <f t="shared" si="6"/>
        <v>2579843729599697</v>
      </c>
      <c r="O22" s="1">
        <f t="shared" si="6"/>
        <v>2825425556428469.5</v>
      </c>
      <c r="P22" s="1">
        <f t="shared" si="6"/>
        <v>3080840818350476</v>
      </c>
      <c r="Q22" t="s">
        <v>308</v>
      </c>
      <c r="S22" s="24">
        <f t="shared" si="3"/>
        <v>1.6247004206241783E-2</v>
      </c>
    </row>
    <row r="23" spans="1:27" x14ac:dyDescent="0.25">
      <c r="A23" t="s">
        <v>306</v>
      </c>
      <c r="B23" t="s">
        <v>7</v>
      </c>
      <c r="C23" s="6">
        <f>-D23</f>
        <v>-0.01</v>
      </c>
      <c r="D23" s="6">
        <v>0.01</v>
      </c>
      <c r="E23" s="1">
        <f>F23+C23*F23</f>
        <v>15840000000000</v>
      </c>
      <c r="F23" s="5">
        <v>16000000000000</v>
      </c>
      <c r="G23" s="1">
        <f>F23+D23*F23</f>
        <v>16160000000000</v>
      </c>
      <c r="H23" s="17">
        <v>62</v>
      </c>
      <c r="I23" s="17">
        <v>90</v>
      </c>
      <c r="J23" s="2">
        <f>((H23-I23)/180*PI()-SIN(I23/180*PI())*COS(I23/180*PI())+SIN(H23/180*PI())*COS(H23/180*PI()))/(2*PI()*(SIN(H23/180*PI())-SIN(I23/180*PI())))</f>
        <v>0.10085280794806559</v>
      </c>
      <c r="K23" s="1">
        <f>$E$6*J23</f>
        <v>61.056133965073563</v>
      </c>
      <c r="L23" s="1">
        <f>$F$6*J23</f>
        <v>66.199539029956142</v>
      </c>
      <c r="M23" s="1">
        <f>$G$6*J23</f>
        <v>71.469210085294677</v>
      </c>
      <c r="N23" s="1">
        <f t="shared" si="6"/>
        <v>967129162006765.25</v>
      </c>
      <c r="O23" s="1">
        <f t="shared" si="6"/>
        <v>1059192624479298.3</v>
      </c>
      <c r="P23" s="1">
        <f t="shared" si="6"/>
        <v>1154942434978362</v>
      </c>
      <c r="Q23" t="s">
        <v>309</v>
      </c>
      <c r="S23" s="24">
        <f t="shared" si="3"/>
        <v>6.0906602143460508E-3</v>
      </c>
    </row>
    <row r="25" spans="1:27" x14ac:dyDescent="0.25">
      <c r="A25" t="s">
        <v>84</v>
      </c>
      <c r="B25" t="s">
        <v>7</v>
      </c>
      <c r="E25" s="1">
        <f>E7-E9</f>
        <v>365406499430434.19</v>
      </c>
      <c r="F25" s="1">
        <f>F7-F9</f>
        <v>365274562522525.5</v>
      </c>
      <c r="G25" s="1">
        <f>G7-G9</f>
        <v>365142993668488.19</v>
      </c>
      <c r="H25" s="17">
        <v>-90</v>
      </c>
      <c r="I25" s="17">
        <v>90</v>
      </c>
      <c r="J25" s="2">
        <f>((H25-I25)/180*PI()-SIN(I25/180*PI())*COS(I25/180*PI())+SIN(H25/180*PI())*COS(H25/180*PI()))/(2*PI()*(SIN(H25/180*PI())-SIN(I25/180*PI())))</f>
        <v>0.25</v>
      </c>
      <c r="K25" s="1">
        <f>$E$6*J25</f>
        <v>151.34961338040924</v>
      </c>
      <c r="L25" s="1">
        <f>$F$6*J25</f>
        <v>164.09939489251943</v>
      </c>
      <c r="M25" s="1">
        <f>$G$6*J25</f>
        <v>177.1621721283604</v>
      </c>
      <c r="N25" s="1">
        <f>K25*E25</f>
        <v>5.5304132415484944E+16</v>
      </c>
      <c r="O25" s="1">
        <f>L25*F25</f>
        <v>5.9941334679576192E+16</v>
      </c>
      <c r="P25" s="1">
        <f>M25*G25</f>
        <v>6.4689525895761512E+16</v>
      </c>
      <c r="Q25" t="s">
        <v>449</v>
      </c>
      <c r="S25" s="24">
        <f t="shared" si="3"/>
        <v>0.34467980034053891</v>
      </c>
      <c r="U25" t="s">
        <v>62</v>
      </c>
      <c r="X25" s="1">
        <f>F14</f>
        <v>17040000000000</v>
      </c>
      <c r="Y25" s="1">
        <f>F33</f>
        <v>11076000000000</v>
      </c>
      <c r="Z25" s="3">
        <f>X25/$V$7</f>
        <v>3.3334250643231714E-2</v>
      </c>
      <c r="AA25" s="3" t="e">
        <f>Y25/#REF!</f>
        <v>#REF!</v>
      </c>
    </row>
    <row r="26" spans="1:27" x14ac:dyDescent="0.25">
      <c r="A26" t="s">
        <v>82</v>
      </c>
      <c r="B26" t="s">
        <v>7</v>
      </c>
      <c r="C26" s="29"/>
      <c r="D26" s="29"/>
      <c r="E26" s="1">
        <f>(E23+E22+E21+E19+E18+E17+E15+E14+E13+E25-E7)</f>
        <v>0</v>
      </c>
      <c r="F26" s="1">
        <f>(F23+F22+F21+F19+F18+F17+F15+F14+F13+F25-F7)</f>
        <v>0</v>
      </c>
      <c r="G26" s="1">
        <f>(G23+G22+G21+G19+G18+G17+G15+G14+G13+G25-G7)</f>
        <v>0</v>
      </c>
      <c r="N26" s="1">
        <f>(N23+N22+N21+N19+N18+N17+N15+N14+N13+N25-N7)</f>
        <v>-72641583928480</v>
      </c>
      <c r="O26" s="1">
        <f>(O23+O22+O21+O19+O18+O17+O15+O14+O13+O25-O7)</f>
        <v>-85263396866416</v>
      </c>
      <c r="P26" s="1">
        <f>(P23+P22+P21+P19+P18+P17+P15+P14+P13+P25-P7)</f>
        <v>-99070660623568</v>
      </c>
    </row>
    <row r="27" spans="1:27" x14ac:dyDescent="0.25">
      <c r="A27" t="s">
        <v>83</v>
      </c>
      <c r="B27" t="s">
        <v>10</v>
      </c>
      <c r="C27" s="29"/>
      <c r="D27" s="29"/>
      <c r="E27" s="1">
        <f>E26/E7</f>
        <v>0</v>
      </c>
      <c r="F27" s="1">
        <f>F26/F7</f>
        <v>0</v>
      </c>
      <c r="G27" s="1">
        <f>G26/G7</f>
        <v>0</v>
      </c>
      <c r="N27" s="1">
        <f>N26/N7</f>
        <v>-9.4004015478744735E-4</v>
      </c>
      <c r="O27" s="1">
        <f>O26/O7</f>
        <v>-1.0164283208820236E-3</v>
      </c>
      <c r="P27" s="1">
        <f>P26/P7</f>
        <v>-1.0926326442274093E-3</v>
      </c>
    </row>
    <row r="28" spans="1:27" x14ac:dyDescent="0.25">
      <c r="G28" s="1"/>
    </row>
    <row r="29" spans="1:27" s="13" customFormat="1" x14ac:dyDescent="0.25">
      <c r="A29" s="13" t="s">
        <v>57</v>
      </c>
      <c r="H29" s="14"/>
      <c r="I29" s="14"/>
      <c r="J29" s="15"/>
      <c r="K29" s="16"/>
      <c r="L29" s="16"/>
      <c r="M29" s="16"/>
      <c r="N29" s="16"/>
      <c r="O29" s="16"/>
      <c r="P29" s="16"/>
      <c r="S29" s="26"/>
    </row>
    <row r="30" spans="1:27" x14ac:dyDescent="0.25">
      <c r="A30" t="s">
        <v>85</v>
      </c>
      <c r="B30" t="s">
        <v>10</v>
      </c>
      <c r="E30" s="12">
        <v>0.15</v>
      </c>
      <c r="F30" s="31">
        <f>(G30+E30)/2</f>
        <v>0.32500000000000001</v>
      </c>
      <c r="G30" s="12">
        <v>0.5</v>
      </c>
      <c r="Q30" t="s">
        <v>9</v>
      </c>
    </row>
    <row r="31" spans="1:27" x14ac:dyDescent="0.25">
      <c r="A31" t="s">
        <v>86</v>
      </c>
      <c r="B31" t="s">
        <v>7</v>
      </c>
      <c r="E31" s="1">
        <f>E30*E13</f>
        <v>3354615000000</v>
      </c>
      <c r="F31" s="7">
        <f>F30*F13</f>
        <v>7341750000000</v>
      </c>
      <c r="G31" s="1">
        <f>G30*G13</f>
        <v>11407950000000</v>
      </c>
      <c r="H31" s="10">
        <f>H13</f>
        <v>-30</v>
      </c>
      <c r="I31" s="10">
        <f>I13</f>
        <v>30</v>
      </c>
      <c r="J31" s="2">
        <f>((H31-I31)/180*PI()-SIN(I31/180*PI())*COS(I31/180*PI())+SIN(H31/180*PI())*COS(H31/180*PI()))/(2*PI()*(SIN(H31/180*PI())-SIN(I31/180*PI())))</f>
        <v>0.30449889052211471</v>
      </c>
      <c r="K31" s="1">
        <f>$E$6*J31</f>
        <v>184.34315742114248</v>
      </c>
      <c r="L31" s="1">
        <f>$F$6*J31</f>
        <v>199.87233472049016</v>
      </c>
      <c r="M31" s="1">
        <f>$G$6*J31</f>
        <v>215.78273942229461</v>
      </c>
      <c r="N31" s="1">
        <f>K31*E31</f>
        <v>618400321032325.88</v>
      </c>
      <c r="O31" s="1">
        <f>L31*F31</f>
        <v>1467412713434158.5</v>
      </c>
      <c r="P31" s="1">
        <f>M31*G31</f>
        <v>2461638702192566</v>
      </c>
      <c r="S31" s="24">
        <f>O31/$F$3</f>
        <v>8.4380423590399486E-3</v>
      </c>
    </row>
    <row r="32" spans="1:27" x14ac:dyDescent="0.25">
      <c r="A32" t="s">
        <v>87</v>
      </c>
      <c r="B32" t="s">
        <v>10</v>
      </c>
      <c r="E32" s="12">
        <v>0.5</v>
      </c>
      <c r="F32" s="31">
        <f>(G32+E32)/2</f>
        <v>0.65</v>
      </c>
      <c r="G32" s="12">
        <v>0.8</v>
      </c>
      <c r="Q32" t="s">
        <v>9</v>
      </c>
    </row>
    <row r="33" spans="1:19" x14ac:dyDescent="0.25">
      <c r="A33" t="s">
        <v>88</v>
      </c>
      <c r="B33" t="s">
        <v>7</v>
      </c>
      <c r="E33" s="1">
        <f>E32*E14</f>
        <v>8434800000000</v>
      </c>
      <c r="F33" s="7">
        <f>F32*F14</f>
        <v>11076000000000</v>
      </c>
      <c r="G33" s="1">
        <f>G32*G14</f>
        <v>13768320000000</v>
      </c>
      <c r="H33" s="10">
        <f>H14</f>
        <v>25</v>
      </c>
      <c r="I33" s="10">
        <f>I14</f>
        <v>60</v>
      </c>
      <c r="J33" s="2">
        <f>((H33-I33)/180*PI()-SIN(I33/180*PI())*COS(I33/180*PI())+SIN(H33/180*PI())*COS(H33/180*PI()))/(2*PI()*(SIN(H33/180*PI())-SIN(I33/180*PI())))</f>
        <v>0.2372051424113942</v>
      </c>
      <c r="K33" s="1">
        <f>$E$6*J33</f>
        <v>143.6036263832377</v>
      </c>
      <c r="L33" s="1">
        <f>$F$6*J33</f>
        <v>155.70088134041475</v>
      </c>
      <c r="M33" s="1">
        <f>$G$6*J33</f>
        <v>168.09511307847865</v>
      </c>
      <c r="N33" s="1">
        <f>K33*E33</f>
        <v>1211267867817333.3</v>
      </c>
      <c r="O33" s="1">
        <f>L33*F33</f>
        <v>1724542961726433.8</v>
      </c>
      <c r="P33" s="1">
        <f>M33*G33</f>
        <v>2314387307300679</v>
      </c>
      <c r="S33" s="24">
        <f>O33/$F$3</f>
        <v>9.9166147518080523E-3</v>
      </c>
    </row>
    <row r="34" spans="1:19" x14ac:dyDescent="0.25">
      <c r="A34" t="s">
        <v>89</v>
      </c>
      <c r="B34" t="s">
        <v>10</v>
      </c>
      <c r="E34" s="12">
        <v>0.15</v>
      </c>
      <c r="F34" s="31">
        <f>(G34+E34)/2</f>
        <v>0.32500000000000001</v>
      </c>
      <c r="G34" s="12">
        <v>0.5</v>
      </c>
      <c r="Q34" t="s">
        <v>9</v>
      </c>
    </row>
    <row r="35" spans="1:19" x14ac:dyDescent="0.25">
      <c r="A35" t="s">
        <v>90</v>
      </c>
      <c r="B35" t="s">
        <v>7</v>
      </c>
      <c r="E35" s="1">
        <f>E34*E15</f>
        <v>2324025000000</v>
      </c>
      <c r="F35" s="7">
        <f>F34*F15</f>
        <v>5086250000000</v>
      </c>
      <c r="G35" s="1">
        <f>G34*G15</f>
        <v>7903250000000</v>
      </c>
      <c r="H35" s="10">
        <f>H15</f>
        <v>45</v>
      </c>
      <c r="I35" s="10">
        <f>I15</f>
        <v>70</v>
      </c>
      <c r="J35" s="2">
        <f>((H35-I35)/180*PI()-SIN(I35/180*PI())*COS(I35/180*PI())+SIN(H35/180*PI())*COS(H35/180*PI()))/(2*PI()*(SIN(H35/180*PI())-SIN(I35/180*PI())))</f>
        <v>0.17635805210270342</v>
      </c>
      <c r="K35" s="1">
        <f>$E$6*J35</f>
        <v>106.76689200906492</v>
      </c>
      <c r="L35" s="1">
        <f>$F$6*J35</f>
        <v>115.76099853790818</v>
      </c>
      <c r="M35" s="1">
        <f>$G$6*J35</f>
        <v>124.97590233136597</v>
      </c>
      <c r="N35" s="1">
        <f>K35*E35</f>
        <v>248128926201367.09</v>
      </c>
      <c r="O35" s="1">
        <f>L35*F35</f>
        <v>588789378813435.5</v>
      </c>
      <c r="P35" s="1">
        <f>M35*G35</f>
        <v>987715800100368.13</v>
      </c>
      <c r="S35" s="24">
        <f>O35/$F$3</f>
        <v>3.3857071521164162E-3</v>
      </c>
    </row>
    <row r="36" spans="1:19" x14ac:dyDescent="0.25">
      <c r="F36" s="31"/>
    </row>
    <row r="37" spans="1:19" x14ac:dyDescent="0.25">
      <c r="A37" t="s">
        <v>91</v>
      </c>
      <c r="B37" t="s">
        <v>10</v>
      </c>
      <c r="E37" s="12">
        <v>0.5</v>
      </c>
      <c r="F37" s="31">
        <f>(G37+E37)/2</f>
        <v>0.5</v>
      </c>
      <c r="G37" s="12">
        <v>0.5</v>
      </c>
      <c r="Q37" t="s">
        <v>553</v>
      </c>
    </row>
    <row r="38" spans="1:19" x14ac:dyDescent="0.25">
      <c r="A38" t="s">
        <v>92</v>
      </c>
      <c r="B38" t="s">
        <v>7</v>
      </c>
      <c r="E38" s="1">
        <f>E37*E17</f>
        <v>9444065400000</v>
      </c>
      <c r="F38" s="7">
        <f>F37*F17</f>
        <v>9539460000000</v>
      </c>
      <c r="G38" s="1">
        <f>G37*G17</f>
        <v>9634854600000</v>
      </c>
      <c r="H38" s="10">
        <f>H17</f>
        <v>-40</v>
      </c>
      <c r="I38" s="10">
        <f>I17</f>
        <v>15</v>
      </c>
      <c r="J38" s="2">
        <f>((H38-I38)/180*PI()-SIN(I38/180*PI())*COS(I38/180*PI())+SIN(H38/180*PI())*COS(H38/180*PI()))/(2*PI()*(SIN(H38/180*PI())-SIN(I38/180*PI())))</f>
        <v>0.30050246751749771</v>
      </c>
      <c r="K38" s="1">
        <f>$E$6*J38</f>
        <v>181.92372911452907</v>
      </c>
      <c r="L38" s="1">
        <f>$F$6*J38</f>
        <v>197.24909233332139</v>
      </c>
      <c r="M38" s="1">
        <f>$G$6*J38</f>
        <v>212.95067950132784</v>
      </c>
      <c r="N38" s="1">
        <f>K38*E38</f>
        <v>1718099595569496.5</v>
      </c>
      <c r="O38" s="1">
        <f>L38*F38</f>
        <v>1881649826350026</v>
      </c>
      <c r="P38" s="1">
        <f>M38*G38</f>
        <v>2051748833966494.3</v>
      </c>
      <c r="S38" s="24">
        <f>O38/$F$3</f>
        <v>1.0820024110643015E-2</v>
      </c>
    </row>
    <row r="39" spans="1:19" x14ac:dyDescent="0.25">
      <c r="A39" t="s">
        <v>93</v>
      </c>
      <c r="B39" t="s">
        <v>10</v>
      </c>
      <c r="E39" s="12">
        <v>0.5</v>
      </c>
      <c r="F39" s="31">
        <f>(G39+E39)/2</f>
        <v>0.5</v>
      </c>
      <c r="G39" s="12">
        <v>0.5</v>
      </c>
      <c r="Q39" t="s">
        <v>553</v>
      </c>
    </row>
    <row r="40" spans="1:19" x14ac:dyDescent="0.25">
      <c r="A40" t="s">
        <v>94</v>
      </c>
      <c r="B40" t="s">
        <v>7</v>
      </c>
      <c r="E40" s="1">
        <f>E39*E18</f>
        <v>6989672250000</v>
      </c>
      <c r="F40" s="7">
        <f>F39*F18</f>
        <v>7060275000000</v>
      </c>
      <c r="G40" s="1">
        <f>G39*G18</f>
        <v>7130877750000</v>
      </c>
      <c r="H40" s="10">
        <f>H18</f>
        <v>-55</v>
      </c>
      <c r="I40" s="10">
        <f>I18</f>
        <v>55</v>
      </c>
      <c r="J40" s="2">
        <f>((H40-I40)/180*PI()-SIN(I40/180*PI())*COS(I40/180*PI())+SIN(H40/180*PI())*COS(H40/180*PI()))/(2*PI()*(SIN(H40/180*PI())-SIN(I40/180*PI())))</f>
        <v>0.27779475392485875</v>
      </c>
      <c r="K40" s="1">
        <f>$E$6*J40</f>
        <v>168.17651442253319</v>
      </c>
      <c r="L40" s="1">
        <f>$F$6*J40</f>
        <v>182.34380409354262</v>
      </c>
      <c r="M40" s="1">
        <f>$G$6*J40</f>
        <v>196.85888804476539</v>
      </c>
      <c r="N40" s="1">
        <f>K40*E40</f>
        <v>1175498715960905</v>
      </c>
      <c r="O40" s="1">
        <f>L40*F40</f>
        <v>1287397401446536.5</v>
      </c>
      <c r="P40" s="1">
        <f>M40*G40</f>
        <v>1403776664648158.5</v>
      </c>
      <c r="S40" s="24">
        <f>O40/$F$3</f>
        <v>7.4029028826532997E-3</v>
      </c>
    </row>
    <row r="41" spans="1:19" x14ac:dyDescent="0.25">
      <c r="A41" t="s">
        <v>95</v>
      </c>
      <c r="B41" t="s">
        <v>10</v>
      </c>
      <c r="E41" s="12">
        <v>0.5</v>
      </c>
      <c r="F41" s="31">
        <f>(G41+E41)/2</f>
        <v>0.5</v>
      </c>
      <c r="G41" s="12">
        <v>0.5</v>
      </c>
      <c r="Q41" t="s">
        <v>553</v>
      </c>
    </row>
    <row r="42" spans="1:19" x14ac:dyDescent="0.25">
      <c r="A42" t="s">
        <v>96</v>
      </c>
      <c r="B42" t="s">
        <v>7</v>
      </c>
      <c r="E42" s="1">
        <f>E41*E19</f>
        <v>12189191850000</v>
      </c>
      <c r="F42" s="7">
        <f>F41*F19</f>
        <v>12312315000000</v>
      </c>
      <c r="G42" s="1">
        <f>G41*G19</f>
        <v>12435438150000</v>
      </c>
      <c r="H42" s="10">
        <f>H19</f>
        <v>-40</v>
      </c>
      <c r="I42" s="10">
        <f>I19</f>
        <v>75</v>
      </c>
      <c r="J42" s="2">
        <f>((H42-I42)/180*PI()-SIN(I42/180*PI())*COS(I42/180*PI())+SIN(H42/180*PI())*COS(H42/180*PI()))/(2*PI()*(SIN(H42/180*PI())-SIN(I42/180*PI())))</f>
        <v>0.27201966576203268</v>
      </c>
      <c r="K42" s="1">
        <f>$E$6*J42</f>
        <v>164.68028497980717</v>
      </c>
      <c r="L42" s="1">
        <f>$F$6*J42</f>
        <v>178.5530502016598</v>
      </c>
      <c r="M42" s="1">
        <f>$G$6*J42</f>
        <v>192.76637939212918</v>
      </c>
      <c r="N42" s="1">
        <f>K42*E42</f>
        <v>2007319587531543</v>
      </c>
      <c r="O42" s="1">
        <f>L42*F42</f>
        <v>2198401398293649</v>
      </c>
      <c r="P42" s="1">
        <f>M42*G42</f>
        <v>2397134388330257</v>
      </c>
      <c r="S42" s="24">
        <f>O42/$F$3</f>
        <v>1.2641436148908489E-2</v>
      </c>
    </row>
    <row r="43" spans="1:19" x14ac:dyDescent="0.25">
      <c r="A43" t="s">
        <v>97</v>
      </c>
      <c r="B43" t="s">
        <v>10</v>
      </c>
      <c r="E43" s="12">
        <v>0.5</v>
      </c>
      <c r="F43" s="31">
        <f>(G43+E43)/2</f>
        <v>0.5</v>
      </c>
      <c r="G43" s="12">
        <v>0.5</v>
      </c>
      <c r="Q43" t="s">
        <v>553</v>
      </c>
    </row>
    <row r="44" spans="1:19" x14ac:dyDescent="0.25">
      <c r="A44" t="s">
        <v>98</v>
      </c>
      <c r="B44" t="s">
        <v>7</v>
      </c>
      <c r="E44" s="1">
        <f>E43*E22</f>
        <v>7573500000000</v>
      </c>
      <c r="F44" s="1">
        <f>F43*F22</f>
        <v>7650000000000</v>
      </c>
      <c r="G44" s="1">
        <f>G43*G22</f>
        <v>7726500000000</v>
      </c>
      <c r="H44" s="10">
        <f>H22</f>
        <v>15</v>
      </c>
      <c r="I44" s="10">
        <f>I22</f>
        <v>40</v>
      </c>
      <c r="J44" s="2">
        <f>((H44-I44)/180*PI()-SIN(I44/180*PI())*COS(I44/180*PI())+SIN(H44/180*PI())*COS(H44/180*PI()))/(2*PI()*(SIN(H44/180*PI())-SIN(I44/180*PI())))</f>
        <v>0.28133610294910177</v>
      </c>
      <c r="K44" s="1">
        <f>$E$6*J44</f>
        <v>170.32044164519027</v>
      </c>
      <c r="L44" s="1">
        <f>$F$6*J44</f>
        <v>184.6683370214686</v>
      </c>
      <c r="M44" s="1">
        <f>$G$6*J44</f>
        <v>199.36846038636355</v>
      </c>
      <c r="N44" s="1">
        <f>K44*E44</f>
        <v>1289921864799848.5</v>
      </c>
      <c r="O44" s="1">
        <f>L44*F44</f>
        <v>1412712778214234.8</v>
      </c>
      <c r="P44" s="1">
        <f>M44*G44</f>
        <v>1540420409175238</v>
      </c>
      <c r="S44" s="24">
        <f>O44/$F$3</f>
        <v>8.1235021031208915E-3</v>
      </c>
    </row>
    <row r="45" spans="1:19" x14ac:dyDescent="0.25">
      <c r="F45" s="31"/>
    </row>
    <row r="46" spans="1:19" x14ac:dyDescent="0.25">
      <c r="A46" t="s">
        <v>99</v>
      </c>
      <c r="B46" t="s">
        <v>7</v>
      </c>
      <c r="E46" s="1">
        <f>E42+E40+E38+E35+E33+E31</f>
        <v>42736369500000</v>
      </c>
      <c r="F46" s="1">
        <f>F42+F40+F38+F35+F33+F31</f>
        <v>52416050000000</v>
      </c>
      <c r="G46" s="1">
        <f>G42+G40+G38+G35+G33+G31</f>
        <v>62280690500000</v>
      </c>
      <c r="J46" s="2">
        <f>L46/$F$6</f>
        <v>0.26589127691718234</v>
      </c>
      <c r="K46" s="1">
        <f t="shared" ref="K46:M47" si="7">N46/E46</f>
        <v>163.29686156689024</v>
      </c>
      <c r="L46" s="1">
        <f t="shared" si="7"/>
        <v>174.53039059723577</v>
      </c>
      <c r="M46" s="1">
        <f t="shared" si="7"/>
        <v>186.51690601501153</v>
      </c>
      <c r="N46" s="1">
        <f>N42+N40+N38+N35+N33+N31</f>
        <v>6978715014112970</v>
      </c>
      <c r="O46" s="1">
        <f>O42+O40+O38+O35+O33+O31</f>
        <v>9148193680064240</v>
      </c>
      <c r="P46" s="1">
        <f>P42+P40+P38+P35+P33+P31</f>
        <v>1.1616401696538522E+16</v>
      </c>
      <c r="S46" s="24">
        <f>O46/$F$3</f>
        <v>5.2604727405169222E-2</v>
      </c>
    </row>
    <row r="47" spans="1:19" x14ac:dyDescent="0.25">
      <c r="A47" t="s">
        <v>100</v>
      </c>
      <c r="B47" t="s">
        <v>7</v>
      </c>
      <c r="E47" s="1">
        <f>E46+E44</f>
        <v>50309869500000</v>
      </c>
      <c r="F47" s="1">
        <f>F46+F44</f>
        <v>60066050000000</v>
      </c>
      <c r="G47" s="1">
        <f>G46+G44</f>
        <v>70007190500000</v>
      </c>
      <c r="J47" s="2">
        <f>L47/$F$6</f>
        <v>0.26785832684212635</v>
      </c>
      <c r="K47" s="1">
        <f t="shared" si="7"/>
        <v>164.35417068439858</v>
      </c>
      <c r="L47" s="1">
        <f t="shared" si="7"/>
        <v>175.82155740686252</v>
      </c>
      <c r="M47" s="1">
        <f t="shared" si="7"/>
        <v>187.93529652805822</v>
      </c>
      <c r="N47" s="1">
        <f>N46+N44</f>
        <v>8268636878912818</v>
      </c>
      <c r="O47" s="1">
        <f>O46+O44</f>
        <v>1.0560906458278474E+16</v>
      </c>
      <c r="P47" s="1">
        <f>P46+P44</f>
        <v>1.315682210571376E+16</v>
      </c>
      <c r="S47" s="24">
        <f>O47/$F$3</f>
        <v>6.0728229508290113E-2</v>
      </c>
    </row>
    <row r="48" spans="1:19" x14ac:dyDescent="0.25">
      <c r="E48" s="1"/>
      <c r="F48" s="1"/>
      <c r="G48" s="1"/>
    </row>
    <row r="50" spans="1:7" x14ac:dyDescent="0.25">
      <c r="A50" t="s">
        <v>108</v>
      </c>
      <c r="B50" t="s">
        <v>113</v>
      </c>
    </row>
    <row r="51" spans="1:7" x14ac:dyDescent="0.25">
      <c r="A51" t="s">
        <v>86</v>
      </c>
      <c r="B51" t="s">
        <v>10</v>
      </c>
      <c r="E51" s="2">
        <f>E31/E8</f>
        <v>2.3108789364554121E-2</v>
      </c>
      <c r="F51" s="2">
        <f>F31/F8</f>
        <v>5.0316503778972128E-2</v>
      </c>
      <c r="G51" s="2">
        <f>G31/G8</f>
        <v>7.7786844918603229E-2</v>
      </c>
    </row>
    <row r="52" spans="1:7" x14ac:dyDescent="0.25">
      <c r="A52" t="s">
        <v>88</v>
      </c>
      <c r="E52" s="2">
        <f>E33/E8</f>
        <v>5.8104437180463653E-2</v>
      </c>
      <c r="F52" s="2">
        <f>F33/F8</f>
        <v>7.5909094678502431E-2</v>
      </c>
      <c r="G52" s="2">
        <f>G33/G8</f>
        <v>9.3881387333368677E-2</v>
      </c>
    </row>
    <row r="53" spans="1:7" x14ac:dyDescent="0.25">
      <c r="A53" t="s">
        <v>90</v>
      </c>
      <c r="E53" s="2">
        <f>E35/E8</f>
        <v>1.6009409187927044E-2</v>
      </c>
      <c r="F53" s="2">
        <f>F35/F8</f>
        <v>3.4858489780474268E-2</v>
      </c>
      <c r="G53" s="2">
        <f>G35/G8</f>
        <v>5.3889514075969036E-2</v>
      </c>
    </row>
    <row r="54" spans="1:7" x14ac:dyDescent="0.25">
      <c r="A54" t="s">
        <v>92</v>
      </c>
      <c r="E54" s="2">
        <f>E38/E8</f>
        <v>6.5056919519430267E-2</v>
      </c>
      <c r="F54" s="2">
        <f>F38/F8</f>
        <v>6.5378455428113658E-2</v>
      </c>
      <c r="G54" s="2">
        <f>G38/G8</f>
        <v>6.5696723827111003E-2</v>
      </c>
    </row>
    <row r="55" spans="1:7" x14ac:dyDescent="0.25">
      <c r="A55" t="s">
        <v>94</v>
      </c>
      <c r="E55" s="2">
        <f>E40/E8</f>
        <v>4.8149448968814325E-2</v>
      </c>
      <c r="F55" s="2">
        <f>F40/F8</f>
        <v>4.8387421761580333E-2</v>
      </c>
      <c r="G55" s="2">
        <f>G40/G8</f>
        <v>4.8622976229100612E-2</v>
      </c>
    </row>
    <row r="56" spans="1:7" x14ac:dyDescent="0.25">
      <c r="A56" t="s">
        <v>96</v>
      </c>
      <c r="E56" s="2">
        <f>E42/E8</f>
        <v>8.3967151814974217E-2</v>
      </c>
      <c r="F56" s="2">
        <f>F42/F8</f>
        <v>8.4382149245805865E-2</v>
      </c>
      <c r="G56" s="2">
        <f>G42/G8</f>
        <v>8.4792929393005076E-2</v>
      </c>
    </row>
    <row r="57" spans="1:7" x14ac:dyDescent="0.25">
      <c r="A57" t="s">
        <v>99</v>
      </c>
      <c r="E57" s="2">
        <f>E46/E8</f>
        <v>0.29439615603616365</v>
      </c>
      <c r="F57" s="2">
        <f>F46/F8</f>
        <v>0.35923211467344868</v>
      </c>
      <c r="G57" s="2">
        <f>G46/G8</f>
        <v>0.4246703757771576</v>
      </c>
    </row>
    <row r="59" spans="1:7" x14ac:dyDescent="0.25">
      <c r="A59" t="s">
        <v>119</v>
      </c>
    </row>
    <row r="60" spans="1:7" x14ac:dyDescent="0.25">
      <c r="A60" t="s">
        <v>86</v>
      </c>
      <c r="E60" s="2">
        <f>E31/E9</f>
        <v>2.3108789364554121E-2</v>
      </c>
      <c r="F60" s="2">
        <f>F31/F9</f>
        <v>5.0316503778972128E-2</v>
      </c>
      <c r="G60" s="2">
        <f>G31/G9</f>
        <v>7.7786844918603229E-2</v>
      </c>
    </row>
    <row r="61" spans="1:7" x14ac:dyDescent="0.25">
      <c r="A61" t="s">
        <v>88</v>
      </c>
      <c r="E61" s="2">
        <f>E33/E9</f>
        <v>5.8104437180463653E-2</v>
      </c>
      <c r="F61" s="2">
        <f>F33/F9</f>
        <v>7.5909094678502431E-2</v>
      </c>
      <c r="G61" s="2">
        <f>G33/G9</f>
        <v>9.3881387333368677E-2</v>
      </c>
    </row>
    <row r="62" spans="1:7" x14ac:dyDescent="0.25">
      <c r="A62" t="s">
        <v>90</v>
      </c>
      <c r="E62" s="2">
        <f>E35/E9</f>
        <v>1.6009409187927044E-2</v>
      </c>
      <c r="F62" s="2">
        <f>F35/F9</f>
        <v>3.4858489780474268E-2</v>
      </c>
      <c r="G62" s="2">
        <f>G35/G9</f>
        <v>5.3889514075969036E-2</v>
      </c>
    </row>
    <row r="63" spans="1:7" x14ac:dyDescent="0.25">
      <c r="A63" t="s">
        <v>92</v>
      </c>
      <c r="E63" s="2">
        <f>E38/E9</f>
        <v>6.5056919519430267E-2</v>
      </c>
      <c r="F63" s="2">
        <f>F38/F9</f>
        <v>6.5378455428113658E-2</v>
      </c>
      <c r="G63" s="2">
        <f>G38/G9</f>
        <v>6.5696723827111003E-2</v>
      </c>
    </row>
    <row r="64" spans="1:7" x14ac:dyDescent="0.25">
      <c r="A64" t="s">
        <v>94</v>
      </c>
      <c r="E64" s="2">
        <f>E40/E9</f>
        <v>4.8149448968814325E-2</v>
      </c>
      <c r="F64" s="2">
        <f>F40/F9</f>
        <v>4.8387421761580333E-2</v>
      </c>
      <c r="G64" s="2">
        <f>G40/G9</f>
        <v>4.8622976229100612E-2</v>
      </c>
    </row>
    <row r="65" spans="1:17" x14ac:dyDescent="0.25">
      <c r="A65" t="s">
        <v>96</v>
      </c>
      <c r="E65" s="2">
        <f>E42/E9</f>
        <v>8.3967151814974217E-2</v>
      </c>
      <c r="F65" s="2">
        <f>F42/F9</f>
        <v>8.4382149245805865E-2</v>
      </c>
      <c r="G65" s="2">
        <f>G42/G9</f>
        <v>8.4792929393005076E-2</v>
      </c>
    </row>
    <row r="66" spans="1:17" x14ac:dyDescent="0.25">
      <c r="A66" t="s">
        <v>120</v>
      </c>
      <c r="E66" s="2">
        <f>E44/E9</f>
        <v>5.2171237609219129E-2</v>
      </c>
      <c r="F66" s="2">
        <f>F44/F9</f>
        <v>5.2429087602974329E-2</v>
      </c>
      <c r="G66" s="2">
        <f>G44/G9</f>
        <v>5.2684317275548002E-2</v>
      </c>
    </row>
    <row r="67" spans="1:17" x14ac:dyDescent="0.25">
      <c r="A67" t="s">
        <v>100</v>
      </c>
      <c r="E67" s="2">
        <f>SUM(E60:E66)</f>
        <v>0.3465673936453828</v>
      </c>
      <c r="F67" s="2">
        <f>SUM(F60:F66)</f>
        <v>0.41166120227642294</v>
      </c>
      <c r="G67" s="2">
        <f>SUM(G60:G66)</f>
        <v>0.47735469305270567</v>
      </c>
    </row>
    <row r="70" spans="1:17" x14ac:dyDescent="0.25">
      <c r="A70" t="s">
        <v>114</v>
      </c>
    </row>
    <row r="71" spans="1:17" x14ac:dyDescent="0.25">
      <c r="A71" t="s">
        <v>115</v>
      </c>
      <c r="B71" t="s">
        <v>7</v>
      </c>
      <c r="E71" s="1">
        <v>48000000000000</v>
      </c>
      <c r="F71" s="1">
        <v>48626000000000</v>
      </c>
      <c r="G71" s="1">
        <v>49281000000000</v>
      </c>
      <c r="K71" s="1">
        <f>K46</f>
        <v>163.29686156689024</v>
      </c>
      <c r="L71" s="1">
        <f>L46</f>
        <v>174.53039059723577</v>
      </c>
      <c r="M71" s="1">
        <f>M46</f>
        <v>186.51690601501153</v>
      </c>
      <c r="N71" s="1">
        <f t="shared" ref="N71:P72" si="8">K71*E71</f>
        <v>7838249355210732</v>
      </c>
      <c r="O71" s="1">
        <f t="shared" si="8"/>
        <v>8486714773181186</v>
      </c>
      <c r="P71" s="1">
        <f t="shared" si="8"/>
        <v>9191739645325784</v>
      </c>
      <c r="Q71" t="s">
        <v>118</v>
      </c>
    </row>
    <row r="72" spans="1:17" x14ac:dyDescent="0.25">
      <c r="A72" t="s">
        <v>116</v>
      </c>
      <c r="B72" t="s">
        <v>7</v>
      </c>
      <c r="E72" s="1">
        <v>3600000000000</v>
      </c>
      <c r="F72" s="1">
        <v>3629000000000</v>
      </c>
      <c r="G72" s="1">
        <v>3650000000000</v>
      </c>
      <c r="K72" s="1">
        <f>K46</f>
        <v>163.29686156689024</v>
      </c>
      <c r="L72" s="1">
        <f>L46</f>
        <v>174.53039059723577</v>
      </c>
      <c r="M72" s="1">
        <f>M46</f>
        <v>186.51690601501153</v>
      </c>
      <c r="N72" s="1">
        <f t="shared" si="8"/>
        <v>587868701640804.88</v>
      </c>
      <c r="O72" s="1">
        <f t="shared" si="8"/>
        <v>633370787477368.63</v>
      </c>
      <c r="P72" s="1">
        <f t="shared" si="8"/>
        <v>680786706954792.13</v>
      </c>
      <c r="Q72" t="s">
        <v>2</v>
      </c>
    </row>
    <row r="73" spans="1:17" x14ac:dyDescent="0.25">
      <c r="A73" t="s">
        <v>117</v>
      </c>
      <c r="B73" t="s">
        <v>7</v>
      </c>
      <c r="E73" s="1">
        <f>E72+E71</f>
        <v>51600000000000</v>
      </c>
      <c r="F73" s="1">
        <f>F72+F71</f>
        <v>52255000000000</v>
      </c>
      <c r="G73" s="1">
        <f>G72+G71</f>
        <v>52931000000000</v>
      </c>
    </row>
    <row r="74" spans="1:17" x14ac:dyDescent="0.25">
      <c r="A74" t="s">
        <v>121</v>
      </c>
      <c r="E74" s="3">
        <f>E73/E8</f>
        <v>0.35545465909232282</v>
      </c>
      <c r="F74" s="3">
        <f>F73/F8</f>
        <v>0.35812836244358476</v>
      </c>
      <c r="G74" s="3">
        <f>G73/G8</f>
        <v>0.36091808680670823</v>
      </c>
    </row>
    <row r="75" spans="1:17" x14ac:dyDescent="0.25">
      <c r="A75" t="s">
        <v>122</v>
      </c>
      <c r="E75" s="3">
        <f>E73/E9</f>
        <v>0.35545465909232282</v>
      </c>
      <c r="F75" s="3">
        <f>F73/F9</f>
        <v>0.35812836244358476</v>
      </c>
      <c r="G75" s="3">
        <f>G73/G9</f>
        <v>0.36091808680670823</v>
      </c>
    </row>
    <row r="76" spans="1:17" x14ac:dyDescent="0.25">
      <c r="A76" t="s">
        <v>124</v>
      </c>
      <c r="E76" s="3">
        <f>E71/E73</f>
        <v>0.93023255813953487</v>
      </c>
      <c r="F76" s="3">
        <f>F71/F73</f>
        <v>0.93055210027748536</v>
      </c>
      <c r="G76" s="3">
        <f>G71/G73</f>
        <v>0.93104230035329016</v>
      </c>
    </row>
    <row r="77" spans="1:17" x14ac:dyDescent="0.25">
      <c r="A77" t="s">
        <v>123</v>
      </c>
      <c r="E77" s="3">
        <f>E72/E73</f>
        <v>6.9767441860465115E-2</v>
      </c>
      <c r="F77" s="3">
        <f>F72/F73</f>
        <v>6.9447899722514597E-2</v>
      </c>
      <c r="G77" s="3">
        <f>G72/G73</f>
        <v>6.8957699646709864E-2</v>
      </c>
    </row>
    <row r="81" spans="5:8" x14ac:dyDescent="0.25">
      <c r="E81" s="1"/>
      <c r="F81" s="1"/>
      <c r="G81" s="1"/>
    </row>
    <row r="82" spans="5:8" x14ac:dyDescent="0.25">
      <c r="E82" s="1"/>
      <c r="F82" s="1"/>
      <c r="G82" s="1"/>
    </row>
    <row r="83" spans="5:8" x14ac:dyDescent="0.25">
      <c r="E83" s="1"/>
      <c r="F83" s="1"/>
      <c r="G83" s="1"/>
    </row>
    <row r="86" spans="5:8" x14ac:dyDescent="0.25">
      <c r="E86" s="1"/>
      <c r="F86" s="1"/>
      <c r="G86" s="1"/>
    </row>
    <row r="87" spans="5:8" x14ac:dyDescent="0.25">
      <c r="E87" s="1"/>
      <c r="F87" s="1"/>
      <c r="G87" s="1"/>
      <c r="H87" s="1"/>
    </row>
    <row r="88" spans="5:8" x14ac:dyDescent="0.25">
      <c r="E88" s="1"/>
      <c r="F88" s="1"/>
      <c r="G88" s="1"/>
      <c r="H88" s="1"/>
    </row>
    <row r="89" spans="5:8" x14ac:dyDescent="0.25">
      <c r="E89" s="1"/>
      <c r="F89" s="1"/>
      <c r="G89" s="1"/>
    </row>
    <row r="91" spans="5:8" x14ac:dyDescent="0.25">
      <c r="E91" s="1"/>
      <c r="F91" s="1"/>
      <c r="G91" s="1"/>
    </row>
    <row r="93" spans="5:8" x14ac:dyDescent="0.25">
      <c r="E93" s="1"/>
      <c r="F93" s="1"/>
      <c r="G93" s="1"/>
    </row>
    <row r="94" spans="5:8" x14ac:dyDescent="0.25">
      <c r="E94" s="3"/>
      <c r="F94" s="3"/>
      <c r="G94" s="3"/>
    </row>
    <row r="95" spans="5:8" x14ac:dyDescent="0.25">
      <c r="E95" s="3"/>
      <c r="F95" s="3"/>
      <c r="G95" s="3"/>
    </row>
    <row r="96" spans="5:8" x14ac:dyDescent="0.25">
      <c r="E96" s="1"/>
      <c r="F96" s="1"/>
      <c r="G96" s="1"/>
    </row>
    <row r="99" spans="5:7" x14ac:dyDescent="0.25">
      <c r="E99" s="1"/>
      <c r="F99" s="1"/>
      <c r="G99" s="1"/>
    </row>
    <row r="100" spans="5:7" x14ac:dyDescent="0.25">
      <c r="E100" s="1"/>
      <c r="F100" s="1"/>
      <c r="G100" s="1"/>
    </row>
  </sheetData>
  <mergeCells count="2">
    <mergeCell ref="K1:M1"/>
    <mergeCell ref="N1:P1"/>
  </mergeCells>
  <conditionalFormatting sqref="N26:P27">
    <cfRule type="colorScale" priority="4">
      <colorScale>
        <cfvo type="num" val="-1E-3"/>
        <cfvo type="num" val="0"/>
        <cfvo type="num" val="1E-3"/>
        <color rgb="FFFFFF00"/>
        <color theme="9"/>
        <color rgb="FFFF0000"/>
      </colorScale>
    </cfRule>
  </conditionalFormatting>
  <conditionalFormatting sqref="G26:G27">
    <cfRule type="colorScale" priority="3">
      <colorScale>
        <cfvo type="num" val="0"/>
        <cfvo type="num" val="0"/>
        <cfvo type="num" val="0"/>
        <color rgb="FFFFFF00"/>
        <color theme="9"/>
        <color rgb="FFFF0000"/>
      </colorScale>
    </cfRule>
  </conditionalFormatting>
  <conditionalFormatting sqref="E26:E27 G26:G27">
    <cfRule type="colorScale" priority="2">
      <colorScale>
        <cfvo type="num" val="-1E-3"/>
        <cfvo type="num" val="0"/>
        <cfvo type="num" val="1E-3"/>
        <color rgb="FFFFFF00"/>
        <color theme="9"/>
        <color rgb="FFFF0000"/>
      </colorScale>
    </cfRule>
  </conditionalFormatting>
  <conditionalFormatting sqref="F26:F27">
    <cfRule type="colorScale" priority="1">
      <colorScale>
        <cfvo type="num" val="-1E-3"/>
        <cfvo type="num" val="0"/>
        <cfvo type="num" val="1E-3"/>
        <color rgb="FFFFFF00"/>
        <color theme="9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:I36"/>
    </sheetView>
  </sheetViews>
  <sheetFormatPr baseColWidth="10" defaultRowHeight="15" x14ac:dyDescent="0.25"/>
  <cols>
    <col min="1" max="1" width="37.85546875" bestFit="1" customWidth="1"/>
    <col min="2" max="2" width="3.5703125" bestFit="1" customWidth="1"/>
    <col min="3" max="3" width="11.5703125" bestFit="1" customWidth="1"/>
    <col min="11" max="13" width="11.85546875" bestFit="1" customWidth="1"/>
  </cols>
  <sheetData>
    <row r="1" spans="1:13" x14ac:dyDescent="0.25">
      <c r="A1" s="84" t="s">
        <v>169</v>
      </c>
      <c r="C1" t="s">
        <v>571</v>
      </c>
      <c r="F1" t="s">
        <v>572</v>
      </c>
      <c r="I1" t="s">
        <v>570</v>
      </c>
      <c r="J1" s="22"/>
      <c r="K1" s="22"/>
      <c r="L1" s="22"/>
      <c r="M1" s="22"/>
    </row>
    <row r="2" spans="1:13" x14ac:dyDescent="0.25">
      <c r="C2" s="121" t="s">
        <v>168</v>
      </c>
      <c r="D2" s="121"/>
      <c r="E2" s="121"/>
      <c r="F2" s="121"/>
      <c r="G2" s="121"/>
      <c r="H2" s="121"/>
      <c r="I2" s="121"/>
      <c r="J2" s="22"/>
      <c r="K2" s="22"/>
      <c r="L2" s="22"/>
      <c r="M2" s="22"/>
    </row>
    <row r="3" spans="1:13" x14ac:dyDescent="0.25">
      <c r="C3" s="2">
        <v>1.3500000000000001E-3</v>
      </c>
      <c r="D3" s="2">
        <v>0.01</v>
      </c>
      <c r="E3" s="2">
        <v>0.25</v>
      </c>
      <c r="F3" s="2">
        <v>0.5</v>
      </c>
      <c r="G3" s="2">
        <v>0.75</v>
      </c>
      <c r="H3" s="2">
        <v>0.99</v>
      </c>
      <c r="I3" s="2">
        <v>0.99865000000000004</v>
      </c>
      <c r="J3" s="22"/>
      <c r="K3" s="22"/>
      <c r="L3" s="22"/>
      <c r="M3" s="22"/>
    </row>
    <row r="4" spans="1:13" x14ac:dyDescent="0.25">
      <c r="A4" t="s">
        <v>37</v>
      </c>
      <c r="B4" t="s">
        <v>129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L4" s="22"/>
      <c r="M4" s="22"/>
    </row>
    <row r="5" spans="1:13" x14ac:dyDescent="0.25">
      <c r="A5" s="22" t="s">
        <v>130</v>
      </c>
      <c r="B5" s="22">
        <v>1</v>
      </c>
      <c r="C5" s="77">
        <v>510576873715641.13</v>
      </c>
      <c r="D5" s="77">
        <v>510712068979198.25</v>
      </c>
      <c r="E5" s="77">
        <v>511048541218811.38</v>
      </c>
      <c r="F5" s="75">
        <v>511186713478940.63</v>
      </c>
      <c r="G5" s="75">
        <v>511324452645759.38</v>
      </c>
      <c r="H5" s="75">
        <v>511661330021923.5</v>
      </c>
      <c r="I5" s="75">
        <v>511801621437249.75</v>
      </c>
      <c r="J5" s="22"/>
    </row>
    <row r="6" spans="1:13" x14ac:dyDescent="0.25">
      <c r="A6" s="22" t="s">
        <v>131</v>
      </c>
      <c r="B6" s="22">
        <v>2</v>
      </c>
      <c r="C6" s="75">
        <v>145322038513571.31</v>
      </c>
      <c r="D6" s="75">
        <v>145452363264660.5</v>
      </c>
      <c r="E6" s="75">
        <v>145777124035130.94</v>
      </c>
      <c r="F6" s="75">
        <v>145910496170412.06</v>
      </c>
      <c r="G6" s="75">
        <v>146044856976566.19</v>
      </c>
      <c r="H6" s="75">
        <v>146373159856146.56</v>
      </c>
      <c r="I6" s="75">
        <v>146499671643942.5</v>
      </c>
    </row>
    <row r="7" spans="1:13" x14ac:dyDescent="0.25">
      <c r="A7" s="22" t="s">
        <v>132</v>
      </c>
      <c r="B7" s="22">
        <v>3</v>
      </c>
      <c r="C7" s="75">
        <v>364555301179591.25</v>
      </c>
      <c r="D7" s="75">
        <v>364720464238311.56</v>
      </c>
      <c r="E7" s="75">
        <v>365114854341524.5</v>
      </c>
      <c r="F7" s="75">
        <v>365276170829567.63</v>
      </c>
      <c r="G7" s="75">
        <v>365435807013175.81</v>
      </c>
      <c r="H7" s="75">
        <v>365833409649662</v>
      </c>
      <c r="I7" s="75">
        <v>365986779950894</v>
      </c>
    </row>
    <row r="8" spans="1:13" x14ac:dyDescent="0.25">
      <c r="A8" s="22" t="s">
        <v>133</v>
      </c>
      <c r="B8" s="22">
        <v>4</v>
      </c>
      <c r="C8" s="75">
        <v>22447254717516.641</v>
      </c>
      <c r="D8" s="75">
        <v>22478779447271.242</v>
      </c>
      <c r="E8" s="75">
        <v>22557881346897.816</v>
      </c>
      <c r="F8" s="75">
        <v>22590032413200.258</v>
      </c>
      <c r="G8" s="75">
        <v>22622319413990.086</v>
      </c>
      <c r="H8" s="75">
        <v>22700950670784.012</v>
      </c>
      <c r="I8" s="75">
        <v>22733376631007.473</v>
      </c>
    </row>
    <row r="9" spans="1:13" x14ac:dyDescent="0.25">
      <c r="A9" s="22" t="s">
        <v>134</v>
      </c>
      <c r="B9" s="22">
        <v>5</v>
      </c>
      <c r="C9" s="75">
        <v>16931542828935.996</v>
      </c>
      <c r="D9" s="75">
        <v>16956171765602.277</v>
      </c>
      <c r="E9" s="75">
        <v>17015734603440.223</v>
      </c>
      <c r="F9" s="75">
        <v>17039919839797.207</v>
      </c>
      <c r="G9" s="75">
        <v>17064436965357.75</v>
      </c>
      <c r="H9" s="75">
        <v>17124172511303.195</v>
      </c>
      <c r="I9" s="75">
        <v>17150190889825.27</v>
      </c>
    </row>
    <row r="10" spans="1:13" x14ac:dyDescent="0.25">
      <c r="A10" s="22" t="s">
        <v>135</v>
      </c>
      <c r="B10" s="22">
        <v>6</v>
      </c>
      <c r="C10" s="75">
        <v>15551892255523.684</v>
      </c>
      <c r="D10" s="75">
        <v>15573376539577.646</v>
      </c>
      <c r="E10" s="75">
        <v>15627626780299</v>
      </c>
      <c r="F10" s="75">
        <v>15650128560805.043</v>
      </c>
      <c r="G10" s="75">
        <v>15672443144373.699</v>
      </c>
      <c r="H10" s="75">
        <v>15727274734127.025</v>
      </c>
      <c r="I10" s="75">
        <v>15748993247902.646</v>
      </c>
    </row>
    <row r="11" spans="1:13" x14ac:dyDescent="0.25">
      <c r="A11" s="22" t="s">
        <v>138</v>
      </c>
      <c r="B11" s="22">
        <v>7</v>
      </c>
      <c r="C11" s="75">
        <v>18958221569206.172</v>
      </c>
      <c r="D11" s="75">
        <v>18985134295151.742</v>
      </c>
      <c r="E11" s="75">
        <v>19051564737119.617</v>
      </c>
      <c r="F11" s="75">
        <v>19078647589517.867</v>
      </c>
      <c r="G11" s="75">
        <v>19106093233614</v>
      </c>
      <c r="H11" s="75">
        <v>19173160541085.473</v>
      </c>
      <c r="I11" s="75">
        <v>19199700242109.367</v>
      </c>
    </row>
    <row r="12" spans="1:13" x14ac:dyDescent="0.25">
      <c r="A12" s="22" t="s">
        <v>137</v>
      </c>
      <c r="B12" s="22">
        <v>8</v>
      </c>
      <c r="C12" s="75">
        <v>14032154956096.887</v>
      </c>
      <c r="D12" s="75">
        <v>14051290976119</v>
      </c>
      <c r="E12" s="75">
        <v>14100407226591.953</v>
      </c>
      <c r="F12" s="75">
        <v>14120563090915.52</v>
      </c>
      <c r="G12" s="75">
        <v>14140622936719.129</v>
      </c>
      <c r="H12" s="75">
        <v>14191008485963.783</v>
      </c>
      <c r="I12" s="75">
        <v>14210264418374.188</v>
      </c>
    </row>
    <row r="13" spans="1:13" x14ac:dyDescent="0.25">
      <c r="A13" s="22" t="s">
        <v>136</v>
      </c>
      <c r="B13" s="22">
        <v>9</v>
      </c>
      <c r="C13" s="75">
        <v>24465468042127.578</v>
      </c>
      <c r="D13" s="75">
        <v>24503314654950.715</v>
      </c>
      <c r="E13" s="75">
        <v>24589575940059.969</v>
      </c>
      <c r="F13" s="75">
        <v>24624427007350.023</v>
      </c>
      <c r="G13" s="75">
        <v>24659746004580.238</v>
      </c>
      <c r="H13" s="75">
        <v>24745836624082.383</v>
      </c>
      <c r="I13" s="75">
        <v>24780013945948.422</v>
      </c>
    </row>
    <row r="14" spans="1:13" x14ac:dyDescent="0.25">
      <c r="A14" s="22" t="s">
        <v>139</v>
      </c>
      <c r="B14" s="22">
        <v>10</v>
      </c>
      <c r="C14" s="75">
        <v>15203031211141.453</v>
      </c>
      <c r="D14" s="75">
        <v>15224559761624.273</v>
      </c>
      <c r="E14" s="75">
        <v>15278066095799.328</v>
      </c>
      <c r="F14" s="75">
        <v>15299946684750.926</v>
      </c>
      <c r="G14" s="75">
        <v>15321998355594.549</v>
      </c>
      <c r="H14" s="75">
        <v>15375712822992.973</v>
      </c>
      <c r="I14" s="75">
        <v>15397068516205.988</v>
      </c>
    </row>
    <row r="15" spans="1:13" x14ac:dyDescent="0.25">
      <c r="A15" s="22" t="s">
        <v>140</v>
      </c>
      <c r="B15" s="22">
        <v>11</v>
      </c>
      <c r="C15" s="75">
        <v>15898465311959.41</v>
      </c>
      <c r="D15" s="75">
        <v>15921315241559.75</v>
      </c>
      <c r="E15" s="75">
        <v>15976996626494.551</v>
      </c>
      <c r="F15" s="75">
        <v>15999896872654.098</v>
      </c>
      <c r="G15" s="75">
        <v>16022826974538.551</v>
      </c>
      <c r="H15" s="75">
        <v>16079371836715.484</v>
      </c>
      <c r="I15" s="75">
        <v>16102580049469.496</v>
      </c>
      <c r="K15" t="s">
        <v>590</v>
      </c>
    </row>
    <row r="16" spans="1:13" x14ac:dyDescent="0.25">
      <c r="A16" s="22" t="s">
        <v>141</v>
      </c>
      <c r="B16" s="22">
        <v>12</v>
      </c>
      <c r="C16" s="75">
        <v>1252070709977.2012</v>
      </c>
      <c r="D16" s="75">
        <v>1311473823008.0386</v>
      </c>
      <c r="E16" s="75">
        <v>1449922623611.2964</v>
      </c>
      <c r="F16" s="75">
        <v>1506869369043.5884</v>
      </c>
      <c r="G16" s="75">
        <v>1564151146152.1719</v>
      </c>
      <c r="H16" s="75">
        <v>1702684729176.8804</v>
      </c>
      <c r="I16" s="75">
        <v>1763499726713.3635</v>
      </c>
      <c r="K16" t="s">
        <v>588</v>
      </c>
      <c r="L16" t="s">
        <v>589</v>
      </c>
      <c r="M16" t="s">
        <v>10</v>
      </c>
    </row>
    <row r="17" spans="1:13" x14ac:dyDescent="0.25">
      <c r="A17" s="22" t="s">
        <v>142</v>
      </c>
      <c r="B17" s="22">
        <v>13</v>
      </c>
      <c r="C17" s="75">
        <v>3397964735035.7891</v>
      </c>
      <c r="D17" s="75">
        <v>3465771154192.458</v>
      </c>
      <c r="E17" s="75">
        <v>5352482731914.7354</v>
      </c>
      <c r="F17" s="75">
        <v>7345582630063.0859</v>
      </c>
      <c r="G17" s="75">
        <v>9306100044812.4922</v>
      </c>
      <c r="H17" s="75">
        <v>11211781661380.92</v>
      </c>
      <c r="I17" s="75">
        <v>11292506082150.457</v>
      </c>
      <c r="K17" s="1">
        <f>F17</f>
        <v>7345582630063.0859</v>
      </c>
      <c r="L17" s="1">
        <f>H17-F17</f>
        <v>3866199031317.834</v>
      </c>
      <c r="M17" s="1">
        <f>F17-D17</f>
        <v>3879811475870.6279</v>
      </c>
    </row>
    <row r="18" spans="1:13" x14ac:dyDescent="0.25">
      <c r="A18" s="22" t="s">
        <v>143</v>
      </c>
      <c r="B18" s="22">
        <v>14</v>
      </c>
      <c r="C18" s="75">
        <v>8519461581783.793</v>
      </c>
      <c r="D18" s="75">
        <v>8570906249199.5781</v>
      </c>
      <c r="E18" s="75">
        <v>9793752478788.2461</v>
      </c>
      <c r="F18" s="75">
        <v>11082178126594.793</v>
      </c>
      <c r="G18" s="75">
        <v>12345617664245.824</v>
      </c>
      <c r="H18" s="75">
        <v>13579882905574.346</v>
      </c>
      <c r="I18" s="75">
        <v>13640591357182.418</v>
      </c>
      <c r="K18" s="1">
        <f t="shared" ref="K18:K23" si="0">F18</f>
        <v>11082178126594.793</v>
      </c>
      <c r="L18" s="1">
        <f t="shared" ref="L18:L23" si="1">H18-F18</f>
        <v>2497704778979.5527</v>
      </c>
      <c r="M18" s="1">
        <f t="shared" ref="M18:M23" si="2">F18-D18</f>
        <v>2511271877395.2148</v>
      </c>
    </row>
    <row r="19" spans="1:13" x14ac:dyDescent="0.25">
      <c r="A19" s="22" t="s">
        <v>144</v>
      </c>
      <c r="B19" s="22">
        <v>15</v>
      </c>
      <c r="C19" s="75">
        <v>2354747886925.001</v>
      </c>
      <c r="D19" s="75">
        <v>2401578945699.1055</v>
      </c>
      <c r="E19" s="75">
        <v>3719717777191.7559</v>
      </c>
      <c r="F19" s="75">
        <v>5089283044099.1826</v>
      </c>
      <c r="G19" s="75">
        <v>6461509695694.5293</v>
      </c>
      <c r="H19" s="75">
        <v>7768726281333.2949</v>
      </c>
      <c r="I19" s="75">
        <v>7821363007084.8438</v>
      </c>
      <c r="K19" s="1">
        <f t="shared" si="0"/>
        <v>5089283044099.1826</v>
      </c>
      <c r="L19" s="1">
        <f t="shared" si="1"/>
        <v>2679443237234.1123</v>
      </c>
      <c r="M19" s="1">
        <f t="shared" si="2"/>
        <v>2687704098400.0771</v>
      </c>
    </row>
    <row r="20" spans="1:13" x14ac:dyDescent="0.25">
      <c r="A20" s="22" t="s">
        <v>145</v>
      </c>
      <c r="B20" s="22">
        <v>16</v>
      </c>
      <c r="C20" s="75">
        <v>9479110784603.0859</v>
      </c>
      <c r="D20" s="75">
        <v>9492567147575.8711</v>
      </c>
      <c r="E20" s="75">
        <v>9525782368559.8086</v>
      </c>
      <c r="F20" s="75">
        <v>9539323794758.9336</v>
      </c>
      <c r="G20" s="75">
        <v>9553046616807</v>
      </c>
      <c r="H20" s="75">
        <v>9586580270542.7363</v>
      </c>
      <c r="I20" s="75">
        <v>9599850121054.6836</v>
      </c>
      <c r="K20" s="1">
        <f t="shared" si="0"/>
        <v>9539323794758.9336</v>
      </c>
      <c r="L20" s="1">
        <f t="shared" si="1"/>
        <v>47256475783.802734</v>
      </c>
      <c r="M20" s="1">
        <f t="shared" si="2"/>
        <v>46756647183.0625</v>
      </c>
    </row>
    <row r="21" spans="1:13" x14ac:dyDescent="0.25">
      <c r="A21" s="22" t="s">
        <v>146</v>
      </c>
      <c r="B21" s="22">
        <v>17</v>
      </c>
      <c r="C21" s="75">
        <v>7016077478048.4434</v>
      </c>
      <c r="D21" s="75">
        <v>7025645488059.5</v>
      </c>
      <c r="E21" s="75">
        <v>7050203613295.9766</v>
      </c>
      <c r="F21" s="75">
        <v>7060281545457.7598</v>
      </c>
      <c r="G21" s="75">
        <v>7070311468359.5645</v>
      </c>
      <c r="H21" s="75">
        <v>7095504242981.8916</v>
      </c>
      <c r="I21" s="75">
        <v>7105132209187.0938</v>
      </c>
      <c r="K21" s="1">
        <f t="shared" si="0"/>
        <v>7060281545457.7598</v>
      </c>
      <c r="L21" s="1">
        <f t="shared" si="1"/>
        <v>35222697524.131836</v>
      </c>
      <c r="M21" s="1">
        <f t="shared" si="2"/>
        <v>34636057398.259766</v>
      </c>
    </row>
    <row r="22" spans="1:13" x14ac:dyDescent="0.25">
      <c r="A22" s="22" t="s">
        <v>147</v>
      </c>
      <c r="B22" s="22">
        <v>18</v>
      </c>
      <c r="C22" s="75">
        <v>12232734021063.789</v>
      </c>
      <c r="D22" s="75">
        <v>12251657327475.357</v>
      </c>
      <c r="E22" s="75">
        <v>12294787970029.984</v>
      </c>
      <c r="F22" s="75">
        <v>12312213503675.012</v>
      </c>
      <c r="G22" s="75">
        <v>12329873002290.119</v>
      </c>
      <c r="H22" s="75">
        <v>12372918312041.191</v>
      </c>
      <c r="I22" s="75">
        <v>12390006972974.211</v>
      </c>
      <c r="K22" s="1">
        <f t="shared" si="0"/>
        <v>12312213503675.012</v>
      </c>
      <c r="L22" s="1">
        <f t="shared" si="1"/>
        <v>60704808366.179688</v>
      </c>
      <c r="M22" s="1">
        <f t="shared" si="2"/>
        <v>60556176199.654297</v>
      </c>
    </row>
    <row r="23" spans="1:13" x14ac:dyDescent="0.25">
      <c r="A23" s="22" t="s">
        <v>148</v>
      </c>
      <c r="B23" s="22">
        <v>19</v>
      </c>
      <c r="C23" s="75">
        <v>7601515605570.7266</v>
      </c>
      <c r="D23" s="75">
        <v>7612279880812.1367</v>
      </c>
      <c r="E23" s="75">
        <v>7639033047899.6641</v>
      </c>
      <c r="F23" s="75">
        <v>7649973342375.4629</v>
      </c>
      <c r="G23" s="75">
        <v>7660999177797.2744</v>
      </c>
      <c r="H23" s="75">
        <v>7687856411496.4863</v>
      </c>
      <c r="I23" s="75">
        <v>7698534258102.9941</v>
      </c>
      <c r="K23" s="1">
        <f t="shared" si="0"/>
        <v>7649973342375.4629</v>
      </c>
      <c r="L23" s="1">
        <f t="shared" si="1"/>
        <v>37883069121.023438</v>
      </c>
      <c r="M23" s="1">
        <f t="shared" si="2"/>
        <v>37693461563.326172</v>
      </c>
    </row>
    <row r="24" spans="1:13" x14ac:dyDescent="0.25">
      <c r="A24" s="22" t="s">
        <v>149</v>
      </c>
      <c r="B24" s="22">
        <v>20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</row>
    <row r="25" spans="1:13" x14ac:dyDescent="0.25">
      <c r="A25" s="22" t="s">
        <v>150</v>
      </c>
      <c r="B25" s="22">
        <v>21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K25" s="1">
        <f>SUM(K20:K23)</f>
        <v>36561792186267.164</v>
      </c>
      <c r="L25" s="1">
        <f t="shared" ref="L25:M25" si="3">SUM(L20:L23)</f>
        <v>181067050795.1377</v>
      </c>
      <c r="M25" s="1">
        <f t="shared" si="3"/>
        <v>179642342344.30273</v>
      </c>
    </row>
    <row r="26" spans="1:13" x14ac:dyDescent="0.25">
      <c r="A26" s="22" t="s">
        <v>152</v>
      </c>
      <c r="B26" s="22">
        <v>22</v>
      </c>
      <c r="C26" s="75">
        <v>11298421825798.742</v>
      </c>
      <c r="D26" s="75">
        <v>11376101798084.105</v>
      </c>
      <c r="E26" s="75">
        <v>13282620686502.281</v>
      </c>
      <c r="F26" s="75">
        <v>15247557711794.836</v>
      </c>
      <c r="G26" s="75">
        <v>17238452076333.248</v>
      </c>
      <c r="H26" s="75">
        <v>19124468543433.168</v>
      </c>
      <c r="I26" s="75">
        <v>19211561475493.691</v>
      </c>
      <c r="K26" s="1">
        <f>SUM(K17:K23)</f>
        <v>60078835987024.227</v>
      </c>
      <c r="L26" s="1">
        <f t="shared" ref="L26:M26" si="4">SUM(L17:L23)</f>
        <v>9224414098326.6367</v>
      </c>
      <c r="M26" s="1">
        <f t="shared" si="4"/>
        <v>9258429794010.2227</v>
      </c>
    </row>
    <row r="27" spans="1:13" x14ac:dyDescent="0.25">
      <c r="A27" s="22" t="s">
        <v>153</v>
      </c>
      <c r="B27" s="22">
        <v>23</v>
      </c>
      <c r="C27" s="75">
        <v>3413474671955.3037</v>
      </c>
      <c r="D27" s="75">
        <v>3459981206294.6133</v>
      </c>
      <c r="E27" s="75">
        <v>4695264125251.2891</v>
      </c>
      <c r="F27" s="75">
        <v>5956746881119.0576</v>
      </c>
      <c r="G27" s="75">
        <v>7247334336994.459</v>
      </c>
      <c r="H27" s="75">
        <v>8469601211028.6484</v>
      </c>
      <c r="I27" s="75">
        <v>8520811666902.209</v>
      </c>
    </row>
    <row r="28" spans="1:13" x14ac:dyDescent="0.25">
      <c r="A28" s="22" t="s">
        <v>154</v>
      </c>
      <c r="B28" s="22">
        <v>24</v>
      </c>
      <c r="C28" s="75">
        <v>7827548008624.6846</v>
      </c>
      <c r="D28" s="75">
        <v>7884026412010.585</v>
      </c>
      <c r="E28" s="75">
        <v>9189074063889.7422</v>
      </c>
      <c r="F28" s="75">
        <v>10561632756182.797</v>
      </c>
      <c r="G28" s="75">
        <v>11930425917797.607</v>
      </c>
      <c r="H28" s="75">
        <v>13247558265109.816</v>
      </c>
      <c r="I28" s="75">
        <v>13312097169320.863</v>
      </c>
    </row>
    <row r="29" spans="1:13" x14ac:dyDescent="0.25">
      <c r="A29" s="22" t="s">
        <v>155</v>
      </c>
      <c r="B29" s="22">
        <v>25</v>
      </c>
      <c r="C29" s="75">
        <v>9479110784603.0859</v>
      </c>
      <c r="D29" s="75">
        <v>9492567147575.8711</v>
      </c>
      <c r="E29" s="75">
        <v>9525782368559.8086</v>
      </c>
      <c r="F29" s="75">
        <v>9539323794758.9336</v>
      </c>
      <c r="G29" s="75">
        <v>9553046616807</v>
      </c>
      <c r="H29" s="75">
        <v>9586580270542.7363</v>
      </c>
      <c r="I29" s="75">
        <v>9599850121054.6836</v>
      </c>
    </row>
    <row r="30" spans="1:13" x14ac:dyDescent="0.25">
      <c r="A30" s="22" t="s">
        <v>156</v>
      </c>
      <c r="B30" s="22">
        <v>26</v>
      </c>
      <c r="C30" s="75">
        <v>7016077478048.4434</v>
      </c>
      <c r="D30" s="75">
        <v>7025645488059.5</v>
      </c>
      <c r="E30" s="75">
        <v>7050203613295.9766</v>
      </c>
      <c r="F30" s="75">
        <v>7060281545457.7598</v>
      </c>
      <c r="G30" s="75">
        <v>7070311468359.5645</v>
      </c>
      <c r="H30" s="75">
        <v>7095504242981.8916</v>
      </c>
      <c r="I30" s="75">
        <v>7105132209187.0938</v>
      </c>
    </row>
    <row r="31" spans="1:13" x14ac:dyDescent="0.25">
      <c r="A31" s="22" t="s">
        <v>157</v>
      </c>
      <c r="B31" s="22">
        <v>27</v>
      </c>
      <c r="C31" s="75">
        <v>12232734021063.789</v>
      </c>
      <c r="D31" s="75">
        <v>12251657327475.357</v>
      </c>
      <c r="E31" s="75">
        <v>12294787970029.984</v>
      </c>
      <c r="F31" s="75">
        <v>12312213503675.012</v>
      </c>
      <c r="G31" s="75">
        <v>12329873002290.119</v>
      </c>
      <c r="H31" s="75">
        <v>12372918312041.191</v>
      </c>
      <c r="I31" s="75">
        <v>12390006972974.211</v>
      </c>
    </row>
    <row r="32" spans="1:13" x14ac:dyDescent="0.25">
      <c r="A32" s="22" t="s">
        <v>158</v>
      </c>
      <c r="B32" s="22">
        <v>28</v>
      </c>
      <c r="C32" s="75">
        <v>7601515605570.7266</v>
      </c>
      <c r="D32" s="75">
        <v>7612279880812.1367</v>
      </c>
      <c r="E32" s="75">
        <v>7639033047899.6641</v>
      </c>
      <c r="F32" s="75">
        <v>7649973342375.4629</v>
      </c>
      <c r="G32" s="75">
        <v>7660999177797.2744</v>
      </c>
      <c r="H32" s="75">
        <v>7687856411496.4863</v>
      </c>
      <c r="I32" s="75">
        <v>7698534258102.9941</v>
      </c>
    </row>
    <row r="33" spans="1:9" x14ac:dyDescent="0.25">
      <c r="A33" s="22" t="s">
        <v>159</v>
      </c>
      <c r="B33" s="22">
        <v>29</v>
      </c>
      <c r="C33" s="75">
        <v>15898465311959.41</v>
      </c>
      <c r="D33" s="75">
        <v>15921315241559.75</v>
      </c>
      <c r="E33" s="75">
        <v>15976996626494.551</v>
      </c>
      <c r="F33" s="75">
        <v>15999896872654.098</v>
      </c>
      <c r="G33" s="75">
        <v>16022826974538.551</v>
      </c>
      <c r="H33" s="75">
        <v>16079371836715.484</v>
      </c>
      <c r="I33" s="75">
        <v>16102580049469.496</v>
      </c>
    </row>
    <row r="34" spans="1:9" x14ac:dyDescent="0.25">
      <c r="A34" s="22" t="s">
        <v>160</v>
      </c>
      <c r="B34" s="22">
        <v>30</v>
      </c>
      <c r="C34" s="75">
        <v>1252070709977.2012</v>
      </c>
      <c r="D34" s="75">
        <v>1311473823008.0386</v>
      </c>
      <c r="E34" s="75">
        <v>1449922623611.2964</v>
      </c>
      <c r="F34" s="75">
        <v>1506869369043.5884</v>
      </c>
      <c r="G34" s="75">
        <v>1564151146152.1719</v>
      </c>
      <c r="H34" s="75">
        <v>1702684729176.8804</v>
      </c>
      <c r="I34" s="75">
        <v>1763499726713.3635</v>
      </c>
    </row>
    <row r="35" spans="1:9" x14ac:dyDescent="0.25">
      <c r="A35" s="2" t="s">
        <v>233</v>
      </c>
      <c r="B35" s="22">
        <v>31</v>
      </c>
      <c r="C35" s="75">
        <v>52014808509906.391</v>
      </c>
      <c r="D35" s="75">
        <v>53168648483079.531</v>
      </c>
      <c r="E35" s="75">
        <v>57789206676376.906</v>
      </c>
      <c r="F35" s="75">
        <v>60056341883914.906</v>
      </c>
      <c r="G35" s="75">
        <v>62321540845992.75</v>
      </c>
      <c r="H35" s="75">
        <v>66941949897724.008</v>
      </c>
      <c r="I35" s="75">
        <v>68102684900052.43</v>
      </c>
    </row>
    <row r="36" spans="1:9" x14ac:dyDescent="0.25">
      <c r="A36" s="22" t="s">
        <v>234</v>
      </c>
      <c r="B36" s="22">
        <v>32</v>
      </c>
      <c r="C36" s="75">
        <v>77783899076631.063</v>
      </c>
      <c r="D36" s="75">
        <v>78965753760900.063</v>
      </c>
      <c r="E36" s="75">
        <v>83584834652593.5</v>
      </c>
      <c r="F36" s="75">
        <v>85850952871257.469</v>
      </c>
      <c r="G36" s="75">
        <v>88121920532311.203</v>
      </c>
      <c r="H36" s="75">
        <v>92750648821015.188</v>
      </c>
      <c r="I36" s="75">
        <v>93898324000816.969</v>
      </c>
    </row>
    <row r="38" spans="1:9" x14ac:dyDescent="0.25">
      <c r="A38" t="s">
        <v>186</v>
      </c>
    </row>
    <row r="39" spans="1:9" x14ac:dyDescent="0.25">
      <c r="A39" t="s">
        <v>193</v>
      </c>
      <c r="C39">
        <f>SUM(C8:C16)</f>
        <v>144740101602485.03</v>
      </c>
      <c r="D39">
        <f t="shared" ref="D39:I39" si="5">SUM(D8:D16)</f>
        <v>145005416504864.69</v>
      </c>
      <c r="E39">
        <f t="shared" si="5"/>
        <v>145647775980313.75</v>
      </c>
      <c r="F39">
        <f>SUM(F8:F16)</f>
        <v>145910431428034.53</v>
      </c>
      <c r="G39">
        <f t="shared" si="5"/>
        <v>146174638174920.19</v>
      </c>
      <c r="H39">
        <f t="shared" si="5"/>
        <v>146820172956231.19</v>
      </c>
      <c r="I39">
        <f t="shared" si="5"/>
        <v>147085687667556.22</v>
      </c>
    </row>
    <row r="40" spans="1:9" x14ac:dyDescent="0.25">
      <c r="A40" t="s">
        <v>192</v>
      </c>
      <c r="C40">
        <f>C39/C6</f>
        <v>0.99599553572851973</v>
      </c>
      <c r="D40">
        <f t="shared" ref="D40:I40" si="6">D39/D6</f>
        <v>0.9969271949264753</v>
      </c>
      <c r="E40">
        <f t="shared" si="6"/>
        <v>0.99911269991314955</v>
      </c>
      <c r="F40">
        <f t="shared" si="6"/>
        <v>0.99999955628704429</v>
      </c>
      <c r="G40">
        <f t="shared" si="6"/>
        <v>1.0008886392923431</v>
      </c>
      <c r="H40">
        <f t="shared" si="6"/>
        <v>1.0030539280597888</v>
      </c>
      <c r="I40">
        <f t="shared" si="6"/>
        <v>1.0040001183418212</v>
      </c>
    </row>
    <row r="41" spans="1:9" x14ac:dyDescent="0.25">
      <c r="A41" t="s">
        <v>194</v>
      </c>
      <c r="C41">
        <f>SUM(C17:C25)</f>
        <v>50601612093030.625</v>
      </c>
      <c r="D41">
        <f t="shared" ref="D41:I41" si="7">SUM(D17:D25)</f>
        <v>50820406193014</v>
      </c>
      <c r="E41">
        <f t="shared" si="7"/>
        <v>55375759987680.164</v>
      </c>
      <c r="F41">
        <f t="shared" si="7"/>
        <v>60078835987024.227</v>
      </c>
      <c r="G41">
        <f t="shared" si="7"/>
        <v>64727457670006.797</v>
      </c>
      <c r="H41">
        <f t="shared" si="7"/>
        <v>69303250085350.859</v>
      </c>
      <c r="I41">
        <f t="shared" si="7"/>
        <v>69547984007736.703</v>
      </c>
    </row>
    <row r="42" spans="1:9" x14ac:dyDescent="0.25">
      <c r="A42" t="s">
        <v>195</v>
      </c>
      <c r="C42">
        <f>SUM(C26:C34)</f>
        <v>76019418417601.391</v>
      </c>
      <c r="D42">
        <f t="shared" ref="D42:I42" si="8">SUM(D26:D34)</f>
        <v>76335048324879.953</v>
      </c>
      <c r="E42">
        <f t="shared" si="8"/>
        <v>81103685125534.594</v>
      </c>
      <c r="F42">
        <f t="shared" si="8"/>
        <v>85834495777061.547</v>
      </c>
      <c r="G42">
        <f t="shared" si="8"/>
        <v>90617420717069.984</v>
      </c>
      <c r="H42">
        <f t="shared" si="8"/>
        <v>95366543822526.297</v>
      </c>
      <c r="I42">
        <f t="shared" si="8"/>
        <v>95704073649218.609</v>
      </c>
    </row>
    <row r="43" spans="1:9" x14ac:dyDescent="0.25">
      <c r="A43" t="s">
        <v>190</v>
      </c>
      <c r="C43">
        <f>SUM(C41:C42)</f>
        <v>126621030510632.02</v>
      </c>
      <c r="D43">
        <f t="shared" ref="D43:I43" si="9">SUM(D41:D42)</f>
        <v>127155454517893.95</v>
      </c>
      <c r="E43">
        <f t="shared" si="9"/>
        <v>136479445113214.75</v>
      </c>
      <c r="F43">
        <f t="shared" si="9"/>
        <v>145913331764085.78</v>
      </c>
      <c r="G43">
        <f t="shared" si="9"/>
        <v>155344878387076.78</v>
      </c>
      <c r="H43">
        <f t="shared" si="9"/>
        <v>164669793907877.16</v>
      </c>
      <c r="I43">
        <f t="shared" si="9"/>
        <v>165252057656955.31</v>
      </c>
    </row>
    <row r="44" spans="1:9" x14ac:dyDescent="0.25">
      <c r="A44" t="s">
        <v>191</v>
      </c>
      <c r="C44">
        <f>C43/C39</f>
        <v>0.87481650979066372</v>
      </c>
      <c r="D44">
        <f t="shared" ref="D44:I44" si="10">D43/D39</f>
        <v>0.87690141225605944</v>
      </c>
      <c r="E44">
        <f t="shared" si="10"/>
        <v>0.93705135004369566</v>
      </c>
      <c r="F44">
        <f t="shared" si="10"/>
        <v>1.0000198775099414</v>
      </c>
      <c r="G44">
        <f t="shared" si="10"/>
        <v>1.0627348240888614</v>
      </c>
      <c r="H44">
        <f t="shared" si="10"/>
        <v>1.1215747168270067</v>
      </c>
      <c r="I44">
        <f t="shared" si="10"/>
        <v>1.123508753825585</v>
      </c>
    </row>
    <row r="45" spans="1:9" x14ac:dyDescent="0.25">
      <c r="A45" t="s">
        <v>192</v>
      </c>
      <c r="C45">
        <f>C43/C6</f>
        <v>0.87131333833310598</v>
      </c>
      <c r="D45">
        <f t="shared" ref="D45:I45" si="11">D43/D6</f>
        <v>0.87420686514749801</v>
      </c>
      <c r="E45">
        <f t="shared" si="11"/>
        <v>0.93621990429941848</v>
      </c>
      <c r="F45">
        <f t="shared" si="11"/>
        <v>1.0000194337881656</v>
      </c>
      <c r="G45">
        <f t="shared" si="11"/>
        <v>1.0636792120108882</v>
      </c>
      <c r="H45">
        <f t="shared" si="11"/>
        <v>1.1249999253258745</v>
      </c>
      <c r="I45">
        <f t="shared" si="11"/>
        <v>1.1280029217989596</v>
      </c>
    </row>
    <row r="46" spans="1:9" x14ac:dyDescent="0.25">
      <c r="A46" t="s">
        <v>196</v>
      </c>
      <c r="C46">
        <v>0.81438756411823854</v>
      </c>
      <c r="D46">
        <v>0.82389389275186553</v>
      </c>
      <c r="E46">
        <v>0.90703818023117955</v>
      </c>
      <c r="F46">
        <v>1.0000167997881766</v>
      </c>
      <c r="G46">
        <v>1.0924514406619408</v>
      </c>
      <c r="H46">
        <v>1.1738138894503343</v>
      </c>
      <c r="I46">
        <v>1.1842059178877915</v>
      </c>
    </row>
  </sheetData>
  <mergeCells count="1">
    <mergeCell ref="C2:I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:I36"/>
    </sheetView>
  </sheetViews>
  <sheetFormatPr baseColWidth="10" defaultRowHeight="15" x14ac:dyDescent="0.25"/>
  <cols>
    <col min="1" max="1" width="37.85546875" bestFit="1" customWidth="1"/>
    <col min="2" max="2" width="3.5703125" bestFit="1" customWidth="1"/>
    <col min="3" max="3" width="12" bestFit="1" customWidth="1"/>
  </cols>
  <sheetData>
    <row r="1" spans="1:13" x14ac:dyDescent="0.25">
      <c r="A1" s="84" t="s">
        <v>184</v>
      </c>
      <c r="J1" s="22"/>
      <c r="K1" s="22"/>
      <c r="L1" s="22"/>
      <c r="M1" s="22"/>
    </row>
    <row r="2" spans="1:13" x14ac:dyDescent="0.25">
      <c r="C2" s="121" t="s">
        <v>168</v>
      </c>
      <c r="D2" s="121"/>
      <c r="E2" s="121"/>
      <c r="F2" s="121"/>
      <c r="G2" s="121"/>
      <c r="H2" s="121"/>
      <c r="I2" s="121"/>
      <c r="J2" s="22"/>
      <c r="K2" s="22"/>
      <c r="L2" s="22"/>
      <c r="M2" s="22"/>
    </row>
    <row r="3" spans="1:13" x14ac:dyDescent="0.25">
      <c r="C3" s="2">
        <v>1.3500000000000001E-3</v>
      </c>
      <c r="D3" s="2">
        <v>0.01</v>
      </c>
      <c r="E3" s="2">
        <v>0.25</v>
      </c>
      <c r="F3" s="2">
        <v>0.5</v>
      </c>
      <c r="G3" s="2">
        <v>0.75</v>
      </c>
      <c r="H3" s="2">
        <v>0.99</v>
      </c>
      <c r="I3" s="2">
        <v>0.99865000000000004</v>
      </c>
      <c r="J3" s="22"/>
      <c r="K3" s="22"/>
      <c r="L3" s="22"/>
      <c r="M3" s="22"/>
    </row>
    <row r="4" spans="1:13" x14ac:dyDescent="0.25">
      <c r="A4" t="s">
        <v>37</v>
      </c>
      <c r="B4" t="s">
        <v>129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L4" s="22"/>
      <c r="M4" s="22"/>
    </row>
    <row r="5" spans="1:13" x14ac:dyDescent="0.25">
      <c r="A5" s="22" t="s">
        <v>130</v>
      </c>
      <c r="B5" s="22">
        <v>1</v>
      </c>
      <c r="C5" s="77">
        <v>7.7146789085421264E+16</v>
      </c>
      <c r="D5" s="77">
        <v>7.8553104538083648E+16</v>
      </c>
      <c r="E5" s="77">
        <v>8.2253523683424672E+16</v>
      </c>
      <c r="F5" s="75">
        <v>8.3752371566565632E+16</v>
      </c>
      <c r="G5" s="75">
        <v>8.5268638365810592E+16</v>
      </c>
      <c r="H5" s="75">
        <v>8.8952239417854048E+16</v>
      </c>
      <c r="I5" s="75">
        <v>9.0521899773645856E+16</v>
      </c>
      <c r="J5" s="22"/>
    </row>
    <row r="6" spans="1:13" x14ac:dyDescent="0.25">
      <c r="A6" s="22" t="s">
        <v>131</v>
      </c>
      <c r="B6" s="22">
        <v>2</v>
      </c>
      <c r="C6" s="75">
        <v>2.2020420497643532E+16</v>
      </c>
      <c r="D6" s="75">
        <v>2.2424319191567468E+16</v>
      </c>
      <c r="E6" s="75">
        <v>2.3478582597194128E+16</v>
      </c>
      <c r="F6" s="75">
        <v>2.3906297555057164E+16</v>
      </c>
      <c r="G6" s="75">
        <v>2.433888946460764E+16</v>
      </c>
      <c r="H6" s="75">
        <v>2.5393075427828372E+16</v>
      </c>
      <c r="I6" s="75">
        <v>2.584107201404692E+16</v>
      </c>
    </row>
    <row r="7" spans="1:13" x14ac:dyDescent="0.25">
      <c r="A7" s="22" t="s">
        <v>132</v>
      </c>
      <c r="B7" s="22">
        <v>3</v>
      </c>
      <c r="C7" s="75">
        <v>5.5126971551537664E+16</v>
      </c>
      <c r="D7" s="75">
        <v>5.6127867566949616E+16</v>
      </c>
      <c r="E7" s="75">
        <v>5.8776560495146552E+16</v>
      </c>
      <c r="F7" s="75">
        <v>5.9844997304293952E+16</v>
      </c>
      <c r="G7" s="75">
        <v>6.0929530187812832E+16</v>
      </c>
      <c r="H7" s="75">
        <v>6.356434364385148E+16</v>
      </c>
      <c r="I7" s="75">
        <v>6.4682049905679896E+16</v>
      </c>
    </row>
    <row r="8" spans="1:13" x14ac:dyDescent="0.25">
      <c r="A8" s="22" t="s">
        <v>133</v>
      </c>
      <c r="B8" s="22">
        <v>4</v>
      </c>
      <c r="C8" s="75">
        <v>4151894233703286</v>
      </c>
      <c r="D8" s="75">
        <v>4227869127254001</v>
      </c>
      <c r="E8" s="75">
        <v>4427053971735204</v>
      </c>
      <c r="F8" s="75">
        <v>4508013728437356</v>
      </c>
      <c r="G8" s="75">
        <v>4589982552607125</v>
      </c>
      <c r="H8" s="75">
        <v>4789093493338703</v>
      </c>
      <c r="I8" s="75">
        <v>4873963767706072</v>
      </c>
    </row>
    <row r="9" spans="1:13" x14ac:dyDescent="0.25">
      <c r="A9" s="22" t="s">
        <v>134</v>
      </c>
      <c r="B9" s="22">
        <v>5</v>
      </c>
      <c r="C9" s="75">
        <v>2439842098928089</v>
      </c>
      <c r="D9" s="75">
        <v>2484647617512693.5</v>
      </c>
      <c r="E9" s="75">
        <v>2601524553350547</v>
      </c>
      <c r="F9" s="75">
        <v>2648931282405660</v>
      </c>
      <c r="G9" s="75">
        <v>2697024144014707</v>
      </c>
      <c r="H9" s="75">
        <v>2813928864649240</v>
      </c>
      <c r="I9" s="75">
        <v>2863741384418274</v>
      </c>
    </row>
    <row r="10" spans="1:13" x14ac:dyDescent="0.25">
      <c r="A10" s="22" t="s">
        <v>135</v>
      </c>
      <c r="B10" s="22">
        <v>6</v>
      </c>
      <c r="C10" s="75">
        <v>1665382757403611.5</v>
      </c>
      <c r="D10" s="75">
        <v>1696429447460617</v>
      </c>
      <c r="E10" s="75">
        <v>1776384841717131.3</v>
      </c>
      <c r="F10" s="75">
        <v>1808826263712467.5</v>
      </c>
      <c r="G10" s="75">
        <v>1841559265233514.8</v>
      </c>
      <c r="H10" s="75">
        <v>1921492210518181</v>
      </c>
      <c r="I10" s="75">
        <v>1954877169991952.5</v>
      </c>
    </row>
    <row r="11" spans="1:13" x14ac:dyDescent="0.25">
      <c r="A11" s="22" t="s">
        <v>138</v>
      </c>
      <c r="B11" s="22">
        <v>7</v>
      </c>
      <c r="C11" s="75">
        <v>3458977126899045.5</v>
      </c>
      <c r="D11" s="75">
        <v>3523871659839797.5</v>
      </c>
      <c r="E11" s="75">
        <v>3690010844476364</v>
      </c>
      <c r="F11" s="75">
        <v>3757311104964664</v>
      </c>
      <c r="G11" s="75">
        <v>3825467742488245.5</v>
      </c>
      <c r="H11" s="75">
        <v>3991546599093278</v>
      </c>
      <c r="I11" s="75">
        <v>4061153974040343</v>
      </c>
    </row>
    <row r="12" spans="1:13" x14ac:dyDescent="0.25">
      <c r="A12" s="22" t="s">
        <v>137</v>
      </c>
      <c r="B12" s="22">
        <v>8</v>
      </c>
      <c r="C12" s="75">
        <v>2367165299181582</v>
      </c>
      <c r="D12" s="75">
        <v>2411115177729862.5</v>
      </c>
      <c r="E12" s="75">
        <v>2524603172338830</v>
      </c>
      <c r="F12" s="75">
        <v>2570854559494830</v>
      </c>
      <c r="G12" s="75">
        <v>2617304512099641.5</v>
      </c>
      <c r="H12" s="75">
        <v>2730865078461063</v>
      </c>
      <c r="I12" s="75">
        <v>2778619354621003</v>
      </c>
    </row>
    <row r="13" spans="1:13" x14ac:dyDescent="0.25">
      <c r="A13" s="22" t="s">
        <v>136</v>
      </c>
      <c r="B13" s="22">
        <v>9</v>
      </c>
      <c r="C13" s="75">
        <v>4042668934575938</v>
      </c>
      <c r="D13" s="75">
        <v>4117721270038883</v>
      </c>
      <c r="E13" s="75">
        <v>4311063424575658</v>
      </c>
      <c r="F13" s="75">
        <v>4389935166094595</v>
      </c>
      <c r="G13" s="75">
        <v>4469581165782473</v>
      </c>
      <c r="H13" s="75">
        <v>4663367869088891</v>
      </c>
      <c r="I13" s="75">
        <v>4746905105220387</v>
      </c>
    </row>
    <row r="14" spans="1:13" x14ac:dyDescent="0.25">
      <c r="A14" s="22" t="s">
        <v>139</v>
      </c>
      <c r="B14" s="22">
        <v>10</v>
      </c>
      <c r="C14" s="75">
        <v>2598344688584682</v>
      </c>
      <c r="D14" s="75">
        <v>2645602469229673</v>
      </c>
      <c r="E14" s="75">
        <v>2770468927679510</v>
      </c>
      <c r="F14" s="75">
        <v>2820885938650860</v>
      </c>
      <c r="G14" s="75">
        <v>2872150048277879</v>
      </c>
      <c r="H14" s="75">
        <v>2996555318654720</v>
      </c>
      <c r="I14" s="75">
        <v>3050004562198441</v>
      </c>
    </row>
    <row r="15" spans="1:13" x14ac:dyDescent="0.25">
      <c r="A15" s="22" t="s">
        <v>140</v>
      </c>
      <c r="B15" s="22">
        <v>11</v>
      </c>
      <c r="C15" s="75">
        <v>973660327920798.75</v>
      </c>
      <c r="D15" s="75">
        <v>991629566634445</v>
      </c>
      <c r="E15" s="75">
        <v>1038521419370183.4</v>
      </c>
      <c r="F15" s="75">
        <v>1057491125737402.8</v>
      </c>
      <c r="G15" s="75">
        <v>1076723287560127</v>
      </c>
      <c r="H15" s="75">
        <v>1123278818959163.3</v>
      </c>
      <c r="I15" s="75">
        <v>1142760124596368</v>
      </c>
    </row>
    <row r="16" spans="1:13" x14ac:dyDescent="0.25">
      <c r="A16" s="22" t="s">
        <v>141</v>
      </c>
      <c r="B16" s="22">
        <v>12</v>
      </c>
      <c r="C16" s="75">
        <v>211285513830964.44</v>
      </c>
      <c r="D16" s="75">
        <v>222235873747622.56</v>
      </c>
      <c r="E16" s="75">
        <v>247939379688884.81</v>
      </c>
      <c r="F16" s="75">
        <v>258706379224536.5</v>
      </c>
      <c r="G16" s="75">
        <v>269560506844266.5</v>
      </c>
      <c r="H16" s="75">
        <v>297001068296964</v>
      </c>
      <c r="I16" s="75">
        <v>308658349393068.75</v>
      </c>
    </row>
    <row r="17" spans="1:9" x14ac:dyDescent="0.25">
      <c r="A17" s="22" t="s">
        <v>142</v>
      </c>
      <c r="B17" s="22">
        <v>13</v>
      </c>
      <c r="C17" s="75">
        <v>661744557431675.13</v>
      </c>
      <c r="D17" s="75">
        <v>688581095338275.25</v>
      </c>
      <c r="E17" s="75">
        <v>1067244328327061</v>
      </c>
      <c r="F17" s="75">
        <v>1464182629538661</v>
      </c>
      <c r="G17" s="75">
        <v>1856217560955312</v>
      </c>
      <c r="H17" s="75">
        <v>2271334471779111</v>
      </c>
      <c r="I17" s="75">
        <v>2335823394517500</v>
      </c>
    </row>
    <row r="18" spans="1:9" x14ac:dyDescent="0.25">
      <c r="A18" s="22" t="s">
        <v>143</v>
      </c>
      <c r="B18" s="22">
        <v>14</v>
      </c>
      <c r="C18" s="75">
        <v>1271267030748429.3</v>
      </c>
      <c r="D18" s="75">
        <v>1309807804513675</v>
      </c>
      <c r="E18" s="75">
        <v>1522073569364729.5</v>
      </c>
      <c r="F18" s="75">
        <v>1720431518877073.8</v>
      </c>
      <c r="G18" s="75">
        <v>1918962396125134.5</v>
      </c>
      <c r="H18" s="75">
        <v>2158812158229980</v>
      </c>
      <c r="I18" s="75">
        <v>2213100703623678.5</v>
      </c>
    </row>
    <row r="19" spans="1:9" x14ac:dyDescent="0.25">
      <c r="A19" s="22" t="s">
        <v>144</v>
      </c>
      <c r="B19" s="22">
        <v>15</v>
      </c>
      <c r="C19" s="75">
        <v>265086320944139.56</v>
      </c>
      <c r="D19" s="75">
        <v>276230395506667.13</v>
      </c>
      <c r="E19" s="75">
        <v>429704424284666.56</v>
      </c>
      <c r="F19" s="75">
        <v>586982180398424.5</v>
      </c>
      <c r="G19" s="75">
        <v>745605279462513.75</v>
      </c>
      <c r="H19" s="75">
        <v>912236649508936.88</v>
      </c>
      <c r="I19" s="75">
        <v>937798376469504.5</v>
      </c>
    </row>
    <row r="20" spans="1:9" x14ac:dyDescent="0.25">
      <c r="A20" s="22" t="s">
        <v>145</v>
      </c>
      <c r="B20" s="22">
        <v>16</v>
      </c>
      <c r="C20" s="75">
        <v>1729488563449522.8</v>
      </c>
      <c r="D20" s="75">
        <v>1761935829919898.8</v>
      </c>
      <c r="E20" s="75">
        <v>1845005422238182</v>
      </c>
      <c r="F20" s="75">
        <v>1878655552482332</v>
      </c>
      <c r="G20" s="75">
        <v>1912733871244122.8</v>
      </c>
      <c r="H20" s="75">
        <v>1995773299546639</v>
      </c>
      <c r="I20" s="75">
        <v>2030576987020171.5</v>
      </c>
    </row>
    <row r="21" spans="1:9" x14ac:dyDescent="0.25">
      <c r="A21" s="22" t="s">
        <v>146</v>
      </c>
      <c r="B21" s="22">
        <v>17</v>
      </c>
      <c r="C21" s="75">
        <v>1183582649590791</v>
      </c>
      <c r="D21" s="75">
        <v>1205557588864931.3</v>
      </c>
      <c r="E21" s="75">
        <v>1262301586169415</v>
      </c>
      <c r="F21" s="75">
        <v>1285427279747415</v>
      </c>
      <c r="G21" s="75">
        <v>1308652256049820.8</v>
      </c>
      <c r="H21" s="75">
        <v>1365432539230531.5</v>
      </c>
      <c r="I21" s="75">
        <v>1389309677310501.5</v>
      </c>
    </row>
    <row r="22" spans="1:9" x14ac:dyDescent="0.25">
      <c r="A22" s="22" t="s">
        <v>147</v>
      </c>
      <c r="B22" s="22">
        <v>18</v>
      </c>
      <c r="C22" s="75">
        <v>2021334467287969</v>
      </c>
      <c r="D22" s="75">
        <v>2058860635019441.5</v>
      </c>
      <c r="E22" s="75">
        <v>2155531712287829</v>
      </c>
      <c r="F22" s="75">
        <v>2194967583047297.5</v>
      </c>
      <c r="G22" s="75">
        <v>2234790582891236.5</v>
      </c>
      <c r="H22" s="75">
        <v>2331683934544445.5</v>
      </c>
      <c r="I22" s="75">
        <v>2373452552610193.5</v>
      </c>
    </row>
    <row r="23" spans="1:9" x14ac:dyDescent="0.25">
      <c r="A23" s="22" t="s">
        <v>148</v>
      </c>
      <c r="B23" s="22">
        <v>19</v>
      </c>
      <c r="C23" s="75">
        <v>1299172344292341</v>
      </c>
      <c r="D23" s="75">
        <v>1322801234614836.5</v>
      </c>
      <c r="E23" s="75">
        <v>1385234463839755</v>
      </c>
      <c r="F23" s="75">
        <v>1410442969325430</v>
      </c>
      <c r="G23" s="75">
        <v>1436075024138939.5</v>
      </c>
      <c r="H23" s="75">
        <v>1498277659327360</v>
      </c>
      <c r="I23" s="75">
        <v>1525002281099220.5</v>
      </c>
    </row>
    <row r="24" spans="1:9" x14ac:dyDescent="0.25">
      <c r="A24" s="22" t="s">
        <v>149</v>
      </c>
      <c r="B24" s="22">
        <v>20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</row>
    <row r="25" spans="1:9" x14ac:dyDescent="0.25">
      <c r="A25" s="22" t="s">
        <v>150</v>
      </c>
      <c r="B25" s="22">
        <v>21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</row>
    <row r="26" spans="1:9" x14ac:dyDescent="0.25">
      <c r="A26" s="22" t="s">
        <v>152</v>
      </c>
      <c r="B26" s="22">
        <v>22</v>
      </c>
      <c r="C26" s="75">
        <v>2169902707063814.5</v>
      </c>
      <c r="D26" s="75">
        <v>2235135393672212</v>
      </c>
      <c r="E26" s="75">
        <v>2647918403707444</v>
      </c>
      <c r="F26" s="75">
        <v>3041360155574687.5</v>
      </c>
      <c r="G26" s="75">
        <v>3436789453261534</v>
      </c>
      <c r="H26" s="75">
        <v>3898391638092146.5</v>
      </c>
      <c r="I26" s="75">
        <v>3999918365204953</v>
      </c>
    </row>
    <row r="27" spans="1:9" x14ac:dyDescent="0.25">
      <c r="A27" s="22" t="s">
        <v>153</v>
      </c>
      <c r="B27" s="22">
        <v>23</v>
      </c>
      <c r="C27" s="75">
        <v>514007828250973.31</v>
      </c>
      <c r="D27" s="75">
        <v>533502275195977.88</v>
      </c>
      <c r="E27" s="75">
        <v>729348544477189.75</v>
      </c>
      <c r="F27" s="75">
        <v>925619473463557</v>
      </c>
      <c r="G27" s="75">
        <v>1126092339107882</v>
      </c>
      <c r="H27" s="75">
        <v>1338717565766325.8</v>
      </c>
      <c r="I27" s="75">
        <v>1376765246687373.3</v>
      </c>
    </row>
    <row r="28" spans="1:9" x14ac:dyDescent="0.25">
      <c r="A28" s="22" t="s">
        <v>154</v>
      </c>
      <c r="B28" s="22">
        <v>24</v>
      </c>
      <c r="C28" s="75">
        <v>870219456449612.38</v>
      </c>
      <c r="D28" s="75">
        <v>897286713633171.75</v>
      </c>
      <c r="E28" s="75">
        <v>1061418609318379.1</v>
      </c>
      <c r="F28" s="75">
        <v>1219952814594154.8</v>
      </c>
      <c r="G28" s="75">
        <v>1379215578938249.5</v>
      </c>
      <c r="H28" s="75">
        <v>1562272053138120</v>
      </c>
      <c r="I28" s="75">
        <v>1603376973352598</v>
      </c>
    </row>
    <row r="29" spans="1:9" x14ac:dyDescent="0.25">
      <c r="A29" s="22" t="s">
        <v>155</v>
      </c>
      <c r="B29" s="22">
        <v>25</v>
      </c>
      <c r="C29" s="75">
        <v>1729488563449522.8</v>
      </c>
      <c r="D29" s="75">
        <v>1761935829919898.8</v>
      </c>
      <c r="E29" s="75">
        <v>1845005422238182</v>
      </c>
      <c r="F29" s="75">
        <v>1878655552482332</v>
      </c>
      <c r="G29" s="75">
        <v>1912733871244122.8</v>
      </c>
      <c r="H29" s="75">
        <v>1995773299546639</v>
      </c>
      <c r="I29" s="75">
        <v>2030576987020171.5</v>
      </c>
    </row>
    <row r="30" spans="1:9" x14ac:dyDescent="0.25">
      <c r="A30" s="22" t="s">
        <v>156</v>
      </c>
      <c r="B30" s="22">
        <v>26</v>
      </c>
      <c r="C30" s="75">
        <v>1183582649590791</v>
      </c>
      <c r="D30" s="75">
        <v>1205557588864931.3</v>
      </c>
      <c r="E30" s="75">
        <v>1262301586169415</v>
      </c>
      <c r="F30" s="75">
        <v>1285427279747415</v>
      </c>
      <c r="G30" s="75">
        <v>1308652256049820.8</v>
      </c>
      <c r="H30" s="75">
        <v>1365432539230531.5</v>
      </c>
      <c r="I30" s="75">
        <v>1389309677310501.5</v>
      </c>
    </row>
    <row r="31" spans="1:9" x14ac:dyDescent="0.25">
      <c r="A31" s="22" t="s">
        <v>157</v>
      </c>
      <c r="B31" s="22">
        <v>27</v>
      </c>
      <c r="C31" s="75">
        <v>2021334467287969</v>
      </c>
      <c r="D31" s="75">
        <v>2058860635019441.5</v>
      </c>
      <c r="E31" s="75">
        <v>2155531712287829</v>
      </c>
      <c r="F31" s="75">
        <v>2194967583047297.5</v>
      </c>
      <c r="G31" s="75">
        <v>2234790582891236.5</v>
      </c>
      <c r="H31" s="75">
        <v>2331683934544445.5</v>
      </c>
      <c r="I31" s="75">
        <v>2373452552610193.5</v>
      </c>
    </row>
    <row r="32" spans="1:9" x14ac:dyDescent="0.25">
      <c r="A32" s="22" t="s">
        <v>158</v>
      </c>
      <c r="B32" s="22">
        <v>28</v>
      </c>
      <c r="C32" s="75">
        <v>1299172344292341</v>
      </c>
      <c r="D32" s="75">
        <v>1322801234614836.5</v>
      </c>
      <c r="E32" s="75">
        <v>1385234463839755</v>
      </c>
      <c r="F32" s="75">
        <v>1410442969325430</v>
      </c>
      <c r="G32" s="75">
        <v>1436075024138939.5</v>
      </c>
      <c r="H32" s="75">
        <v>1498277659327360</v>
      </c>
      <c r="I32" s="75">
        <v>1525002281099220.5</v>
      </c>
    </row>
    <row r="33" spans="1:9" x14ac:dyDescent="0.25">
      <c r="A33" s="22" t="s">
        <v>159</v>
      </c>
      <c r="B33" s="22">
        <v>29</v>
      </c>
      <c r="C33" s="75">
        <v>973660327920798.75</v>
      </c>
      <c r="D33" s="75">
        <v>991629566634445</v>
      </c>
      <c r="E33" s="75">
        <v>1038521419370183.4</v>
      </c>
      <c r="F33" s="75">
        <v>1057491125737402.8</v>
      </c>
      <c r="G33" s="75">
        <v>1076723287560127</v>
      </c>
      <c r="H33" s="75">
        <v>1123278818959163.3</v>
      </c>
      <c r="I33" s="75">
        <v>1142760124596368</v>
      </c>
    </row>
    <row r="34" spans="1:9" x14ac:dyDescent="0.25">
      <c r="A34" s="22" t="s">
        <v>160</v>
      </c>
      <c r="B34" s="22">
        <v>30</v>
      </c>
      <c r="C34" s="75">
        <v>211285513830964.44</v>
      </c>
      <c r="D34" s="75">
        <v>222235873747622.56</v>
      </c>
      <c r="E34" s="75">
        <v>247939379688884.81</v>
      </c>
      <c r="F34" s="75">
        <v>258706379224536.5</v>
      </c>
      <c r="G34" s="75">
        <v>269560506844266.5</v>
      </c>
      <c r="H34" s="75">
        <v>297001068296964</v>
      </c>
      <c r="I34" s="75">
        <v>308658349393068.75</v>
      </c>
    </row>
    <row r="35" spans="1:9" x14ac:dyDescent="0.25">
      <c r="A35" s="2" t="s">
        <v>233</v>
      </c>
      <c r="B35" s="22">
        <v>31</v>
      </c>
      <c r="C35" s="75">
        <v>8963961965545060</v>
      </c>
      <c r="D35" s="75">
        <v>9234409269638988</v>
      </c>
      <c r="E35" s="75">
        <v>1.0100381431186536E+16</v>
      </c>
      <c r="F35" s="75">
        <v>1.0537217258933732E+16</v>
      </c>
      <c r="G35" s="75">
        <v>1.0977780020570284E+16</v>
      </c>
      <c r="H35" s="75">
        <v>1.1910319114076206E+16</v>
      </c>
      <c r="I35" s="75">
        <v>1.2240153006593384E+16</v>
      </c>
    </row>
    <row r="36" spans="1:9" x14ac:dyDescent="0.25">
      <c r="A36" s="22" t="s">
        <v>234</v>
      </c>
      <c r="B36" s="22">
        <v>32</v>
      </c>
      <c r="C36" s="75">
        <v>1.1558134040646376E+16</v>
      </c>
      <c r="D36" s="75">
        <v>1.1872184944920412E+16</v>
      </c>
      <c r="E36" s="75">
        <v>1.2818240408143844E+16</v>
      </c>
      <c r="F36" s="75">
        <v>1.326943728314417E+16</v>
      </c>
      <c r="G36" s="75">
        <v>1.373605043567306E+16</v>
      </c>
      <c r="H36" s="75">
        <v>1.4745381257517114E+16</v>
      </c>
      <c r="I36" s="75">
        <v>1.5115906803071716E+16</v>
      </c>
    </row>
    <row r="38" spans="1:9" x14ac:dyDescent="0.25">
      <c r="A38" t="s">
        <v>186</v>
      </c>
    </row>
    <row r="39" spans="1:9" x14ac:dyDescent="0.25">
      <c r="A39" t="s">
        <v>187</v>
      </c>
      <c r="C39">
        <f>SUM(C8:C16)</f>
        <v>2.1909220981027996E+16</v>
      </c>
      <c r="D39">
        <f t="shared" ref="D39:I39" si="0">SUM(D8:D16)</f>
        <v>2.2321122209447592E+16</v>
      </c>
      <c r="E39">
        <f t="shared" si="0"/>
        <v>2.3387570534932316E+16</v>
      </c>
      <c r="F39">
        <f t="shared" si="0"/>
        <v>2.3820955548722372E+16</v>
      </c>
      <c r="G39">
        <f t="shared" si="0"/>
        <v>2.4259353224907984E+16</v>
      </c>
      <c r="H39">
        <f t="shared" si="0"/>
        <v>2.5327129321060204E+16</v>
      </c>
      <c r="I39">
        <f t="shared" si="0"/>
        <v>2.5780683792185908E+16</v>
      </c>
    </row>
    <row r="40" spans="1:9" x14ac:dyDescent="0.25">
      <c r="A40" t="s">
        <v>192</v>
      </c>
      <c r="C40">
        <f>C39/C6</f>
        <v>0.99495016379785139</v>
      </c>
      <c r="D40">
        <f t="shared" ref="D40:I40" si="1">D39/D6</f>
        <v>0.99539798817354141</v>
      </c>
      <c r="E40">
        <f t="shared" si="1"/>
        <v>0.99612361343002498</v>
      </c>
      <c r="F40">
        <f t="shared" si="1"/>
        <v>0.99643014539837271</v>
      </c>
      <c r="G40">
        <f t="shared" si="1"/>
        <v>0.99673213357514467</v>
      </c>
      <c r="H40">
        <f t="shared" si="1"/>
        <v>0.99740298858420684</v>
      </c>
      <c r="I40">
        <f t="shared" si="1"/>
        <v>0.99766309146043997</v>
      </c>
    </row>
    <row r="41" spans="1:9" x14ac:dyDescent="0.25">
      <c r="A41" t="s">
        <v>188</v>
      </c>
      <c r="C41">
        <f>SUM(C17:C25)</f>
        <v>8431675933744868</v>
      </c>
      <c r="D41">
        <f t="shared" ref="D41:I41" si="2">SUM(D17:D25)</f>
        <v>8623774583777724</v>
      </c>
      <c r="E41">
        <f t="shared" si="2"/>
        <v>9667095506511638</v>
      </c>
      <c r="F41">
        <f t="shared" si="2"/>
        <v>1.0541089713416634E+16</v>
      </c>
      <c r="G41">
        <f t="shared" si="2"/>
        <v>1.141303697086708E+16</v>
      </c>
      <c r="H41">
        <f t="shared" si="2"/>
        <v>1.2533550712167004E+16</v>
      </c>
      <c r="I41">
        <f t="shared" si="2"/>
        <v>1.280506397265077E+16</v>
      </c>
    </row>
    <row r="42" spans="1:9" x14ac:dyDescent="0.25">
      <c r="A42" t="s">
        <v>189</v>
      </c>
      <c r="C42">
        <f>SUM(C26:C34)</f>
        <v>1.0972653858136786E+16</v>
      </c>
      <c r="D42">
        <f t="shared" ref="D42:I42" si="3">SUM(D26:D34)</f>
        <v>1.1228945111302538E+16</v>
      </c>
      <c r="E42">
        <f t="shared" si="3"/>
        <v>1.2373219541097264E+16</v>
      </c>
      <c r="F42">
        <f t="shared" si="3"/>
        <v>1.3272623333196812E+16</v>
      </c>
      <c r="G42">
        <f t="shared" si="3"/>
        <v>1.4180632900036178E+16</v>
      </c>
      <c r="H42">
        <f t="shared" si="3"/>
        <v>1.5410828576901696E+16</v>
      </c>
      <c r="I42">
        <f t="shared" si="3"/>
        <v>1.5749820557274448E+16</v>
      </c>
    </row>
    <row r="43" spans="1:9" x14ac:dyDescent="0.25">
      <c r="A43" t="s">
        <v>190</v>
      </c>
      <c r="C43">
        <f>SUM(C41:C42)</f>
        <v>1.9404329791881656E+16</v>
      </c>
      <c r="D43">
        <f t="shared" ref="D43:I43" si="4">SUM(D41:D42)</f>
        <v>1.9852719695080264E+16</v>
      </c>
      <c r="E43">
        <f t="shared" si="4"/>
        <v>2.2040315047608904E+16</v>
      </c>
      <c r="F43">
        <f t="shared" si="4"/>
        <v>2.3813713046613448E+16</v>
      </c>
      <c r="G43">
        <f t="shared" si="4"/>
        <v>2.5593669870903256E+16</v>
      </c>
      <c r="H43">
        <f t="shared" si="4"/>
        <v>2.79443792890687E+16</v>
      </c>
      <c r="I43">
        <f t="shared" si="4"/>
        <v>2.8554884529925216E+16</v>
      </c>
    </row>
    <row r="44" spans="1:9" x14ac:dyDescent="0.25">
      <c r="A44" t="s">
        <v>191</v>
      </c>
      <c r="C44">
        <f>C43/C39</f>
        <v>0.88566954565315592</v>
      </c>
      <c r="D44">
        <f t="shared" ref="D44:I44" si="5">D43/D39</f>
        <v>0.88941404956232184</v>
      </c>
      <c r="E44">
        <f t="shared" si="5"/>
        <v>0.94239438058300606</v>
      </c>
      <c r="F44">
        <f t="shared" si="5"/>
        <v>0.99969596089064894</v>
      </c>
      <c r="G44">
        <f t="shared" si="5"/>
        <v>1.0550021525151494</v>
      </c>
      <c r="H44">
        <f t="shared" si="5"/>
        <v>1.1033378056719669</v>
      </c>
      <c r="I44">
        <f t="shared" si="5"/>
        <v>1.1076077252295444</v>
      </c>
    </row>
    <row r="45" spans="1:9" x14ac:dyDescent="0.25">
      <c r="A45" t="s">
        <v>192</v>
      </c>
      <c r="C45">
        <f>C43/C6</f>
        <v>0.88119705951837612</v>
      </c>
      <c r="D45">
        <f t="shared" ref="D45:I45" si="6">D43/D6</f>
        <v>0.88532095558761759</v>
      </c>
      <c r="E45">
        <f t="shared" si="6"/>
        <v>0.9387412956624942</v>
      </c>
      <c r="F45">
        <f t="shared" si="6"/>
        <v>0.99612719166443531</v>
      </c>
      <c r="G45">
        <f t="shared" si="6"/>
        <v>1.0515545464027951</v>
      </c>
      <c r="H45">
        <f t="shared" si="6"/>
        <v>1.1004724247951607</v>
      </c>
      <c r="I45">
        <f t="shared" si="6"/>
        <v>1.1050193472779728</v>
      </c>
    </row>
    <row r="48" spans="1:9" x14ac:dyDescent="0.25">
      <c r="A48" t="s">
        <v>200</v>
      </c>
      <c r="B48" t="s">
        <v>8</v>
      </c>
      <c r="C48">
        <f>C7</f>
        <v>5.5126971551537664E+16</v>
      </c>
      <c r="D48">
        <f t="shared" ref="D48:I48" si="7">D7</f>
        <v>5.6127867566949616E+16</v>
      </c>
      <c r="E48">
        <f t="shared" si="7"/>
        <v>5.8776560495146552E+16</v>
      </c>
      <c r="F48">
        <f t="shared" si="7"/>
        <v>5.9844997304293952E+16</v>
      </c>
      <c r="G48">
        <f t="shared" si="7"/>
        <v>6.0929530187812832E+16</v>
      </c>
      <c r="H48">
        <f t="shared" si="7"/>
        <v>6.356434364385148E+16</v>
      </c>
      <c r="I48">
        <f t="shared" si="7"/>
        <v>6.4682049905679896E+16</v>
      </c>
    </row>
    <row r="49" spans="1:9" x14ac:dyDescent="0.25">
      <c r="A49" t="s">
        <v>198</v>
      </c>
      <c r="B49" t="s">
        <v>8</v>
      </c>
      <c r="C49">
        <f>SUM(C17:C22)</f>
        <v>7132503589452527</v>
      </c>
      <c r="D49">
        <f t="shared" ref="D49:I49" si="8">SUM(D17:D22)</f>
        <v>7300973349162888</v>
      </c>
      <c r="E49">
        <f t="shared" si="8"/>
        <v>8281861042671883</v>
      </c>
      <c r="F49">
        <f t="shared" si="8"/>
        <v>9130646744091204</v>
      </c>
      <c r="G49">
        <f t="shared" si="8"/>
        <v>9976961946728140</v>
      </c>
      <c r="H49">
        <f t="shared" si="8"/>
        <v>1.1035273052839644E+16</v>
      </c>
      <c r="I49">
        <f t="shared" si="8"/>
        <v>1.128006169155155E+16</v>
      </c>
    </row>
    <row r="50" spans="1:9" x14ac:dyDescent="0.25">
      <c r="A50" t="s">
        <v>197</v>
      </c>
      <c r="B50" t="s">
        <v>8</v>
      </c>
      <c r="C50">
        <f>C23</f>
        <v>1299172344292341</v>
      </c>
      <c r="D50">
        <f t="shared" ref="D50:I50" si="9">D23</f>
        <v>1322801234614836.5</v>
      </c>
      <c r="E50">
        <f t="shared" si="9"/>
        <v>1385234463839755</v>
      </c>
      <c r="F50">
        <f t="shared" si="9"/>
        <v>1410442969325430</v>
      </c>
      <c r="G50">
        <f t="shared" si="9"/>
        <v>1436075024138939.5</v>
      </c>
      <c r="H50">
        <f t="shared" si="9"/>
        <v>1498277659327360</v>
      </c>
      <c r="I50">
        <f t="shared" si="9"/>
        <v>1525002281099220.5</v>
      </c>
    </row>
    <row r="51" spans="1:9" x14ac:dyDescent="0.25">
      <c r="A51" t="s">
        <v>199</v>
      </c>
      <c r="B51" t="s">
        <v>8</v>
      </c>
      <c r="C51">
        <f>C39-C49-C50</f>
        <v>1.3477545047283128E+16</v>
      </c>
      <c r="D51">
        <f t="shared" ref="D51:I51" si="10">D39-D49-D50</f>
        <v>1.3697347625669868E+16</v>
      </c>
      <c r="E51">
        <f t="shared" si="10"/>
        <v>1.3720475028420676E+16</v>
      </c>
      <c r="F51">
        <f t="shared" si="10"/>
        <v>1.3279865835305738E+16</v>
      </c>
      <c r="G51">
        <f t="shared" si="10"/>
        <v>1.2846316254040904E+16</v>
      </c>
      <c r="H51">
        <f t="shared" si="10"/>
        <v>1.27935786088932E+16</v>
      </c>
      <c r="I51">
        <f t="shared" si="10"/>
        <v>1.2975619819535138E+16</v>
      </c>
    </row>
  </sheetData>
  <mergeCells count="1">
    <mergeCell ref="C2:I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M51" sqref="M51"/>
    </sheetView>
  </sheetViews>
  <sheetFormatPr baseColWidth="10" defaultRowHeight="15" x14ac:dyDescent="0.25"/>
  <cols>
    <col min="1" max="1" width="42.42578125" bestFit="1" customWidth="1"/>
    <col min="2" max="2" width="7.7109375" bestFit="1" customWidth="1"/>
    <col min="3" max="8" width="8.5703125" bestFit="1" customWidth="1"/>
    <col min="9" max="9" width="10.7109375" style="22" customWidth="1"/>
    <col min="10" max="10" width="12.85546875" bestFit="1" customWidth="1"/>
    <col min="11" max="11" width="10.7109375" style="22" customWidth="1"/>
    <col min="12" max="12" width="10.42578125" customWidth="1"/>
    <col min="16" max="16" width="12.140625" customWidth="1"/>
    <col min="19" max="24" width="12" bestFit="1" customWidth="1"/>
    <col min="26" max="26" width="50.140625" customWidth="1"/>
  </cols>
  <sheetData>
    <row r="1" spans="1:26" ht="33.75" customHeight="1" x14ac:dyDescent="0.25">
      <c r="A1" s="84" t="s">
        <v>440</v>
      </c>
      <c r="C1" s="122" t="s">
        <v>386</v>
      </c>
      <c r="D1" s="122"/>
      <c r="E1" s="122"/>
      <c r="F1" s="122" t="s">
        <v>384</v>
      </c>
      <c r="G1" s="122"/>
      <c r="H1" s="122"/>
      <c r="I1" s="52" t="s">
        <v>393</v>
      </c>
      <c r="J1" s="52" t="s">
        <v>394</v>
      </c>
      <c r="K1" s="53" t="s">
        <v>388</v>
      </c>
      <c r="L1" s="52" t="s">
        <v>389</v>
      </c>
      <c r="M1" s="52" t="s">
        <v>645</v>
      </c>
      <c r="N1" s="52" t="s">
        <v>646</v>
      </c>
      <c r="O1" s="52" t="s">
        <v>439</v>
      </c>
      <c r="P1" s="52" t="s">
        <v>390</v>
      </c>
      <c r="Q1" s="52" t="s">
        <v>391</v>
      </c>
      <c r="R1" s="52" t="s">
        <v>392</v>
      </c>
      <c r="S1" s="123" t="s">
        <v>432</v>
      </c>
      <c r="T1" s="123"/>
      <c r="U1" s="123"/>
      <c r="V1" t="s">
        <v>433</v>
      </c>
      <c r="W1" t="s">
        <v>434</v>
      </c>
      <c r="X1" t="s">
        <v>435</v>
      </c>
      <c r="Y1" t="s">
        <v>438</v>
      </c>
    </row>
    <row r="2" spans="1:26" x14ac:dyDescent="0.25">
      <c r="B2" t="s">
        <v>36</v>
      </c>
      <c r="C2">
        <v>0.01</v>
      </c>
      <c r="D2">
        <v>0.5</v>
      </c>
      <c r="E2">
        <v>0.99</v>
      </c>
      <c r="F2">
        <v>0.01</v>
      </c>
      <c r="G2">
        <v>0.5</v>
      </c>
      <c r="H2">
        <v>0.99</v>
      </c>
      <c r="L2" s="22" t="s">
        <v>10</v>
      </c>
      <c r="M2" t="s">
        <v>10</v>
      </c>
      <c r="N2" t="s">
        <v>10</v>
      </c>
      <c r="O2" t="s">
        <v>10</v>
      </c>
      <c r="P2" t="s">
        <v>7</v>
      </c>
      <c r="Q2" t="s">
        <v>7</v>
      </c>
      <c r="R2" t="s">
        <v>7</v>
      </c>
      <c r="S2">
        <v>0.01</v>
      </c>
      <c r="T2">
        <v>0.5</v>
      </c>
      <c r="U2">
        <v>0.99</v>
      </c>
      <c r="V2" t="s">
        <v>8</v>
      </c>
      <c r="W2" t="s">
        <v>8</v>
      </c>
      <c r="X2" t="s">
        <v>8</v>
      </c>
      <c r="Y2" t="s">
        <v>73</v>
      </c>
      <c r="Z2" t="s">
        <v>396</v>
      </c>
    </row>
    <row r="3" spans="1:26" x14ac:dyDescent="0.25">
      <c r="A3" s="34" t="s">
        <v>650</v>
      </c>
      <c r="B3" s="34"/>
      <c r="C3" s="34"/>
      <c r="D3" s="34"/>
      <c r="E3" s="34"/>
      <c r="F3" s="34"/>
      <c r="G3" s="34"/>
      <c r="H3" s="34"/>
      <c r="I3" s="46"/>
      <c r="J3" s="34"/>
      <c r="K3" s="46"/>
      <c r="L3" s="46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5">
      <c r="A4" s="22" t="s">
        <v>142</v>
      </c>
      <c r="B4" t="s">
        <v>7</v>
      </c>
      <c r="C4" s="1">
        <f>X!D8</f>
        <v>22478779447271.242</v>
      </c>
      <c r="D4" s="1">
        <f>X!F8</f>
        <v>22590032413200.258</v>
      </c>
      <c r="E4" s="1">
        <f>X!H8</f>
        <v>22700950670784.012</v>
      </c>
      <c r="F4" s="1">
        <f>X!D17</f>
        <v>3465771154192.458</v>
      </c>
      <c r="G4" s="1">
        <f>X!F17</f>
        <v>7345582630063.0859</v>
      </c>
      <c r="H4" s="1">
        <f>X!H17</f>
        <v>11211781661380.92</v>
      </c>
      <c r="I4" s="5">
        <f>(1.81+1.58)*1000000000000</f>
        <v>3390000000000</v>
      </c>
      <c r="J4" s="5">
        <v>2910000000000</v>
      </c>
      <c r="K4" s="1">
        <f>J4+I4</f>
        <v>6300000000000</v>
      </c>
      <c r="L4" s="2">
        <f>K4/F4</f>
        <v>1.8177772621770036</v>
      </c>
      <c r="M4" s="2">
        <f>I4/K4*(1-O4)</f>
        <v>0.49741457778486076</v>
      </c>
      <c r="N4" s="2">
        <f>J4/K4*(1-O4)</f>
        <v>0.42698419508965924</v>
      </c>
      <c r="O4" s="6">
        <f>E70/(E70+F71+F72)</f>
        <v>7.5601227125480022E-2</v>
      </c>
      <c r="P4" s="1">
        <f>M4*F4</f>
        <v>1723925095361.5911</v>
      </c>
      <c r="Q4" s="1">
        <f>N4*F4</f>
        <v>1479829506637.8259</v>
      </c>
      <c r="R4" s="1">
        <f t="shared" ref="R4:R10" si="0">O4*F4</f>
        <v>262016552193.04105</v>
      </c>
      <c r="S4">
        <f>X_irr!D17</f>
        <v>688581095338275.25</v>
      </c>
      <c r="T4">
        <f>X_irr!F17</f>
        <v>1464182629538661</v>
      </c>
      <c r="U4">
        <f>X_irr!H17</f>
        <v>2271334471779111</v>
      </c>
      <c r="V4">
        <f>S4*M4</f>
        <v>342510274808325.13</v>
      </c>
      <c r="W4" s="1">
        <f>S4*N4</f>
        <v>294013244746969.38</v>
      </c>
      <c r="X4">
        <f>S4*O4</f>
        <v>52057575782980.758</v>
      </c>
      <c r="Y4" s="65">
        <f t="shared" ref="Y4:Y10" si="1">V4/P4</f>
        <v>198.6804854398178</v>
      </c>
      <c r="Z4" s="1"/>
    </row>
    <row r="5" spans="1:26" x14ac:dyDescent="0.25">
      <c r="A5" s="22" t="s">
        <v>143</v>
      </c>
      <c r="B5" t="s">
        <v>7</v>
      </c>
      <c r="C5" s="1">
        <f>X!D9</f>
        <v>16956171765602.277</v>
      </c>
      <c r="D5" s="1">
        <f>X!F9</f>
        <v>17039919839797.207</v>
      </c>
      <c r="E5" s="1">
        <f>X!H9</f>
        <v>17124172511303.195</v>
      </c>
      <c r="F5" s="1">
        <f>X!D18</f>
        <v>8570906249199.5781</v>
      </c>
      <c r="G5" s="1">
        <f>X!F18</f>
        <v>11082178126594.793</v>
      </c>
      <c r="H5" s="1">
        <f>X!H18</f>
        <v>13579882905574.346</v>
      </c>
      <c r="I5" s="5">
        <v>3030000000000</v>
      </c>
      <c r="J5" s="5">
        <v>1774000000000</v>
      </c>
      <c r="K5" s="1">
        <f t="shared" ref="K5:K12" si="2">J5+I5</f>
        <v>4804000000000</v>
      </c>
      <c r="L5" s="2">
        <f t="shared" ref="L5:L10" si="3">K5/F5</f>
        <v>0.56050082223786279</v>
      </c>
      <c r="M5" s="2">
        <f t="shared" ref="M5:M10" si="4">I5/K5*(1-O5)</f>
        <v>0.58304085799537786</v>
      </c>
      <c r="N5" s="2">
        <f t="shared" ref="N5:N10" si="5">J5/K5*(1-O5)</f>
        <v>0.34135791487914208</v>
      </c>
      <c r="O5" s="6">
        <f>O4</f>
        <v>7.5601227125480022E-2</v>
      </c>
      <c r="P5" s="1">
        <f t="shared" ref="P5:P10" si="6">M5*F5</f>
        <v>4997188533331.2676</v>
      </c>
      <c r="Q5" s="1">
        <f t="shared" ref="Q5:Q10" si="7">N5*F5</f>
        <v>2925746685851.3765</v>
      </c>
      <c r="R5" s="1">
        <f t="shared" si="0"/>
        <v>647971030016.93335</v>
      </c>
      <c r="S5">
        <f>X_irr!D18</f>
        <v>1309807804513675</v>
      </c>
      <c r="T5">
        <f>X_irr!F18</f>
        <v>1720431518877073.8</v>
      </c>
      <c r="U5">
        <f>X_irr!H18</f>
        <v>2158812158229980</v>
      </c>
      <c r="V5">
        <f t="shared" ref="V5:V12" si="8">S5*M5</f>
        <v>763671466152695.25</v>
      </c>
      <c r="W5" s="1">
        <f t="shared" ref="W5:W12" si="9">S5*N5</f>
        <v>447113261041215.06</v>
      </c>
      <c r="X5">
        <f t="shared" ref="X5:X12" si="10">S5*O5</f>
        <v>99023077319764.688</v>
      </c>
      <c r="Y5" s="65">
        <f t="shared" si="1"/>
        <v>152.82022302320664</v>
      </c>
      <c r="Z5" s="1"/>
    </row>
    <row r="6" spans="1:26" x14ac:dyDescent="0.25">
      <c r="A6" s="22" t="s">
        <v>144</v>
      </c>
      <c r="B6" t="s">
        <v>7</v>
      </c>
      <c r="C6" s="1">
        <f>X!D10</f>
        <v>15573376539577.646</v>
      </c>
      <c r="D6" s="1">
        <f>X!F10</f>
        <v>15650128560805.043</v>
      </c>
      <c r="E6" s="1">
        <f>X!H10</f>
        <v>15727274734127.025</v>
      </c>
      <c r="F6" s="1">
        <f>X!D19</f>
        <v>2401578945699.1055</v>
      </c>
      <c r="G6" s="1">
        <f>X!F19</f>
        <v>5089283044099.1826</v>
      </c>
      <c r="H6" s="1">
        <f>X!H19</f>
        <v>7768726281333.2949</v>
      </c>
      <c r="I6" s="5">
        <v>710000000000</v>
      </c>
      <c r="J6" s="5">
        <v>505000000000</v>
      </c>
      <c r="K6" s="1">
        <f t="shared" si="2"/>
        <v>1215000000000</v>
      </c>
      <c r="L6" s="2">
        <f t="shared" si="3"/>
        <v>0.50591716011497201</v>
      </c>
      <c r="M6" s="2">
        <f t="shared" si="4"/>
        <v>0.54018364505424621</v>
      </c>
      <c r="N6" s="2">
        <f t="shared" si="5"/>
        <v>0.38421512782027373</v>
      </c>
      <c r="O6" s="6">
        <f t="shared" ref="O6:O9" si="11">O5</f>
        <v>7.5601227125480022E-2</v>
      </c>
      <c r="P6" s="1">
        <f t="shared" si="6"/>
        <v>1297293668773.2764</v>
      </c>
      <c r="Q6" s="1">
        <f t="shared" si="7"/>
        <v>922722961592.26001</v>
      </c>
      <c r="R6" s="1">
        <f t="shared" si="0"/>
        <v>181562315333.56894</v>
      </c>
      <c r="S6">
        <f>X_irr!D19</f>
        <v>276230395506667.13</v>
      </c>
      <c r="T6">
        <f>X_irr!F19</f>
        <v>586982180398424.5</v>
      </c>
      <c r="U6">
        <f>X_irr!H19</f>
        <v>912236649508936.88</v>
      </c>
      <c r="V6">
        <f t="shared" si="8"/>
        <v>149215141919567.53</v>
      </c>
      <c r="W6" s="1">
        <f t="shared" si="9"/>
        <v>106131896717438.88</v>
      </c>
      <c r="X6">
        <f t="shared" si="10"/>
        <v>20883356869660.719</v>
      </c>
      <c r="Y6" s="65">
        <f t="shared" si="1"/>
        <v>115.02032694005644</v>
      </c>
      <c r="Z6" s="1"/>
    </row>
    <row r="7" spans="1:26" x14ac:dyDescent="0.25">
      <c r="A7" s="22" t="s">
        <v>145</v>
      </c>
      <c r="B7" t="s">
        <v>7</v>
      </c>
      <c r="C7" s="1">
        <f>X!D11</f>
        <v>18985134295151.742</v>
      </c>
      <c r="D7" s="1">
        <f>X!F11</f>
        <v>19078647589517.867</v>
      </c>
      <c r="E7" s="1">
        <f>X!H11</f>
        <v>19173160541085.473</v>
      </c>
      <c r="F7" s="1">
        <f>X!D20</f>
        <v>9492567147575.8711</v>
      </c>
      <c r="G7" s="1">
        <f>X!F20</f>
        <v>9539323794758.9336</v>
      </c>
      <c r="H7" s="1">
        <f>X!H20</f>
        <v>9586580270542.7363</v>
      </c>
      <c r="I7" s="5">
        <v>3020000000000</v>
      </c>
      <c r="J7" s="5">
        <v>6490000000000</v>
      </c>
      <c r="K7" s="1">
        <f t="shared" si="2"/>
        <v>9510000000000</v>
      </c>
      <c r="L7" s="2">
        <f t="shared" si="3"/>
        <v>1.001836473964641</v>
      </c>
      <c r="M7" s="2">
        <f t="shared" si="4"/>
        <v>0.29355250200641964</v>
      </c>
      <c r="N7" s="2">
        <f t="shared" si="5"/>
        <v>0.63084627086810041</v>
      </c>
      <c r="O7" s="6">
        <f t="shared" si="11"/>
        <v>7.5601227125480022E-2</v>
      </c>
      <c r="P7" s="1">
        <f t="shared" si="6"/>
        <v>2786566836634.8389</v>
      </c>
      <c r="Q7" s="1">
        <f t="shared" si="7"/>
        <v>5988350586013.2793</v>
      </c>
      <c r="R7" s="1">
        <f t="shared" si="0"/>
        <v>717649724927.75342</v>
      </c>
      <c r="S7">
        <f>X_irr!D20</f>
        <v>1761935829919898.8</v>
      </c>
      <c r="T7">
        <f>X_irr!F20</f>
        <v>1878655552482332</v>
      </c>
      <c r="U7">
        <f>X_irr!H20</f>
        <v>1995773299546639</v>
      </c>
      <c r="V7">
        <f t="shared" si="8"/>
        <v>517220671247743.75</v>
      </c>
      <c r="W7" s="1">
        <f t="shared" si="9"/>
        <v>1111510647813859.8</v>
      </c>
      <c r="X7">
        <f t="shared" si="10"/>
        <v>133204510858295.41</v>
      </c>
      <c r="Y7" s="65">
        <f t="shared" si="1"/>
        <v>185.61215343837171</v>
      </c>
      <c r="Z7" s="1"/>
    </row>
    <row r="8" spans="1:26" x14ac:dyDescent="0.25">
      <c r="A8" s="22" t="s">
        <v>146</v>
      </c>
      <c r="B8" t="s">
        <v>7</v>
      </c>
      <c r="C8" s="1">
        <f>X!D12</f>
        <v>14051290976119</v>
      </c>
      <c r="D8" s="1">
        <f>X!F12</f>
        <v>14120563090915.52</v>
      </c>
      <c r="E8" s="1">
        <f>X!H12</f>
        <v>14191008485963.783</v>
      </c>
      <c r="F8" s="1">
        <f>X!D21</f>
        <v>7025645488059.5</v>
      </c>
      <c r="G8" s="1">
        <f>X!F21</f>
        <v>7060281545457.7598</v>
      </c>
      <c r="H8" s="1">
        <f>X!H21</f>
        <v>7095504242981.8916</v>
      </c>
      <c r="I8" s="5">
        <v>2740000000000</v>
      </c>
      <c r="J8" s="5">
        <v>7250000000000</v>
      </c>
      <c r="K8" s="1">
        <f t="shared" si="2"/>
        <v>9990000000000</v>
      </c>
      <c r="L8" s="2">
        <f t="shared" si="3"/>
        <v>1.4219334034116289</v>
      </c>
      <c r="M8" s="2">
        <f t="shared" si="4"/>
        <v>0.25353880257018863</v>
      </c>
      <c r="N8" s="2">
        <f t="shared" si="5"/>
        <v>0.67085997030433131</v>
      </c>
      <c r="O8" s="6">
        <f t="shared" si="11"/>
        <v>7.5601227125480022E-2</v>
      </c>
      <c r="P8" s="1">
        <f t="shared" si="6"/>
        <v>1781273744325.2542</v>
      </c>
      <c r="Q8" s="1">
        <f t="shared" si="7"/>
        <v>4713224323488.3555</v>
      </c>
      <c r="R8" s="1">
        <f t="shared" si="0"/>
        <v>531147420245.8902</v>
      </c>
      <c r="S8">
        <f>X_irr!D21</f>
        <v>1205557588864931.3</v>
      </c>
      <c r="T8">
        <f>X_irr!F21</f>
        <v>1285427279747415</v>
      </c>
      <c r="U8">
        <f>X_irr!H21</f>
        <v>1365432539230531.5</v>
      </c>
      <c r="V8">
        <f t="shared" si="8"/>
        <v>305655627510218.44</v>
      </c>
      <c r="W8" s="1">
        <f t="shared" si="9"/>
        <v>808760328266089</v>
      </c>
      <c r="X8">
        <f t="shared" si="10"/>
        <v>91141633088623.734</v>
      </c>
      <c r="Y8" s="65">
        <f t="shared" si="1"/>
        <v>171.59385438873164</v>
      </c>
      <c r="Z8" s="1"/>
    </row>
    <row r="9" spans="1:26" x14ac:dyDescent="0.25">
      <c r="A9" s="22" t="s">
        <v>147</v>
      </c>
      <c r="B9" t="s">
        <v>7</v>
      </c>
      <c r="C9" s="1">
        <f>X!D13</f>
        <v>24503314654950.715</v>
      </c>
      <c r="D9" s="1">
        <f>X!F13</f>
        <v>24624427007350.023</v>
      </c>
      <c r="E9" s="1">
        <f>X!H13</f>
        <v>24745836624082.383</v>
      </c>
      <c r="F9" s="1">
        <f>X!D22</f>
        <v>12251657327475.357</v>
      </c>
      <c r="G9" s="1">
        <f>X!F22</f>
        <v>12312213503675.012</v>
      </c>
      <c r="H9" s="1">
        <f>X!H22</f>
        <v>12372918312041.191</v>
      </c>
      <c r="I9" s="5">
        <v>1980000000000</v>
      </c>
      <c r="J9" s="5">
        <v>7940000000000</v>
      </c>
      <c r="K9" s="1">
        <f t="shared" si="2"/>
        <v>9920000000000</v>
      </c>
      <c r="L9" s="2">
        <f t="shared" si="3"/>
        <v>0.80968637424698264</v>
      </c>
      <c r="M9" s="2">
        <f t="shared" si="4"/>
        <v>0.18450701313422879</v>
      </c>
      <c r="N9" s="2">
        <f t="shared" si="5"/>
        <v>0.7398917597402912</v>
      </c>
      <c r="O9" s="6">
        <f t="shared" si="11"/>
        <v>7.5601227125480022E-2</v>
      </c>
      <c r="P9" s="1">
        <f t="shared" si="6"/>
        <v>2260516699436.5664</v>
      </c>
      <c r="Q9" s="1">
        <f t="shared" si="7"/>
        <v>9064900299760.7754</v>
      </c>
      <c r="R9" s="1">
        <f t="shared" si="0"/>
        <v>926240328278.01611</v>
      </c>
      <c r="S9">
        <f>X_irr!D22</f>
        <v>2058860635019441.5</v>
      </c>
      <c r="T9">
        <f>X_irr!F22</f>
        <v>2194967583047297.5</v>
      </c>
      <c r="U9">
        <f>X_irr!H22</f>
        <v>2331683934544445.5</v>
      </c>
      <c r="V9">
        <f t="shared" si="8"/>
        <v>379874226227078.75</v>
      </c>
      <c r="W9" s="1">
        <f t="shared" si="9"/>
        <v>1523334018304548</v>
      </c>
      <c r="X9">
        <f t="shared" si="10"/>
        <v>155652390487814.81</v>
      </c>
      <c r="Y9" s="65">
        <f t="shared" si="1"/>
        <v>168.04752042829958</v>
      </c>
      <c r="Z9" s="1"/>
    </row>
    <row r="10" spans="1:26" x14ac:dyDescent="0.25">
      <c r="A10" s="22" t="s">
        <v>148</v>
      </c>
      <c r="B10" t="s">
        <v>7</v>
      </c>
      <c r="C10" s="1">
        <f>X!D14</f>
        <v>15224559761624.273</v>
      </c>
      <c r="D10" s="1">
        <f>X!F14</f>
        <v>15299946684750.926</v>
      </c>
      <c r="E10" s="1">
        <f>X!H14</f>
        <v>15375712822992.973</v>
      </c>
      <c r="F10" s="1">
        <f>X!D23</f>
        <v>7612279880812.1367</v>
      </c>
      <c r="G10" s="1">
        <f>X!F23</f>
        <v>7649973342375.4629</v>
      </c>
      <c r="H10" s="1">
        <f>X!H23</f>
        <v>7687856411496.4863</v>
      </c>
      <c r="I10" s="5">
        <v>130000000000</v>
      </c>
      <c r="J10" s="5">
        <v>1220000000000</v>
      </c>
      <c r="K10" s="1">
        <f t="shared" si="2"/>
        <v>1350000000000</v>
      </c>
      <c r="L10" s="2">
        <f t="shared" si="3"/>
        <v>0.17734502949673095</v>
      </c>
      <c r="M10" s="2">
        <f t="shared" si="4"/>
        <v>8.9016178128657475E-2</v>
      </c>
      <c r="N10" s="2">
        <f t="shared" si="5"/>
        <v>0.83538259474586252</v>
      </c>
      <c r="O10" s="6">
        <f>O9</f>
        <v>7.5601227125480022E-2</v>
      </c>
      <c r="P10" s="1">
        <f t="shared" si="6"/>
        <v>677616061835.5686</v>
      </c>
      <c r="Q10" s="1">
        <f t="shared" si="7"/>
        <v>6359166118764.5674</v>
      </c>
      <c r="R10" s="1">
        <f t="shared" si="0"/>
        <v>575497700212.00037</v>
      </c>
      <c r="S10">
        <f>X_irr!D23</f>
        <v>1322801234614836.5</v>
      </c>
      <c r="T10">
        <f>X_irr!F23</f>
        <v>1410442969325430</v>
      </c>
      <c r="U10">
        <f>X_irr!H23</f>
        <v>1498277659327360</v>
      </c>
      <c r="V10">
        <f t="shared" si="8"/>
        <v>117750710329282.31</v>
      </c>
      <c r="W10" s="1">
        <f t="shared" si="9"/>
        <v>1105045127705572.6</v>
      </c>
      <c r="X10">
        <f t="shared" si="10"/>
        <v>100005396579981.64</v>
      </c>
      <c r="Y10" s="65">
        <f t="shared" si="1"/>
        <v>173.77201775635578</v>
      </c>
      <c r="Z10" s="1"/>
    </row>
    <row r="11" spans="1:26" x14ac:dyDescent="0.25">
      <c r="A11" s="22" t="s">
        <v>149</v>
      </c>
      <c r="B11" t="s">
        <v>7</v>
      </c>
      <c r="C11" s="1">
        <f>X!D15</f>
        <v>15921315241559.75</v>
      </c>
      <c r="D11" s="1">
        <f>X!F15</f>
        <v>15999896872654.098</v>
      </c>
      <c r="E11" s="1">
        <f>X!H15</f>
        <v>16079371836715.484</v>
      </c>
      <c r="F11" s="1">
        <f>X!D24</f>
        <v>0</v>
      </c>
      <c r="G11" s="1">
        <f>X!F24</f>
        <v>0</v>
      </c>
      <c r="H11" s="1">
        <f>X!H24</f>
        <v>0</v>
      </c>
      <c r="I11" s="5">
        <v>0</v>
      </c>
      <c r="J11" s="5">
        <v>0</v>
      </c>
      <c r="K11" s="1">
        <f t="shared" si="2"/>
        <v>0</v>
      </c>
      <c r="L11" s="2"/>
      <c r="M11" s="1">
        <v>0</v>
      </c>
      <c r="N11" s="1">
        <v>0</v>
      </c>
      <c r="O11" s="1">
        <v>0</v>
      </c>
      <c r="P11" s="1"/>
      <c r="Q11" s="1"/>
      <c r="R11" s="1"/>
      <c r="S11">
        <f>X_irr!D24</f>
        <v>0</v>
      </c>
      <c r="T11">
        <f>X_irr!F24</f>
        <v>0</v>
      </c>
      <c r="U11">
        <f>X_irr!H24</f>
        <v>0</v>
      </c>
      <c r="V11">
        <f t="shared" si="8"/>
        <v>0</v>
      </c>
      <c r="W11" s="1">
        <f t="shared" si="9"/>
        <v>0</v>
      </c>
      <c r="X11">
        <f t="shared" si="10"/>
        <v>0</v>
      </c>
      <c r="Y11" s="65"/>
      <c r="Z11" s="1"/>
    </row>
    <row r="12" spans="1:26" x14ac:dyDescent="0.25">
      <c r="A12" s="22" t="s">
        <v>150</v>
      </c>
      <c r="B12" t="s">
        <v>7</v>
      </c>
      <c r="C12" s="1">
        <f>X!D16</f>
        <v>1311473823008.0386</v>
      </c>
      <c r="D12" s="1">
        <f>X!F16</f>
        <v>1506869369043.5884</v>
      </c>
      <c r="E12" s="1">
        <f>X!H16</f>
        <v>1702684729176.8804</v>
      </c>
      <c r="F12" s="1">
        <f>X!D25</f>
        <v>0</v>
      </c>
      <c r="G12" s="1">
        <f>X!F25</f>
        <v>0</v>
      </c>
      <c r="H12" s="1">
        <f>X!H25</f>
        <v>0</v>
      </c>
      <c r="I12" s="5">
        <v>0</v>
      </c>
      <c r="J12" s="5">
        <v>0</v>
      </c>
      <c r="K12" s="1">
        <f t="shared" si="2"/>
        <v>0</v>
      </c>
      <c r="L12" s="2"/>
      <c r="M12" s="1">
        <v>0</v>
      </c>
      <c r="N12" s="1">
        <v>0</v>
      </c>
      <c r="O12" s="1">
        <v>0</v>
      </c>
      <c r="P12" s="1"/>
      <c r="Q12" s="1"/>
      <c r="R12" s="1"/>
      <c r="S12">
        <f>X_irr!D25</f>
        <v>0</v>
      </c>
      <c r="T12">
        <f>X_irr!F25</f>
        <v>0</v>
      </c>
      <c r="U12">
        <f>X_irr!H25</f>
        <v>0</v>
      </c>
      <c r="V12">
        <f t="shared" si="8"/>
        <v>0</v>
      </c>
      <c r="W12" s="1">
        <f t="shared" si="9"/>
        <v>0</v>
      </c>
      <c r="X12">
        <f t="shared" si="10"/>
        <v>0</v>
      </c>
      <c r="Y12" s="65"/>
      <c r="Z12" s="1"/>
    </row>
    <row r="13" spans="1:26" x14ac:dyDescent="0.25">
      <c r="L13" s="2"/>
      <c r="M13" s="1"/>
      <c r="N13" s="1"/>
      <c r="O13" s="1"/>
      <c r="P13" s="22"/>
      <c r="Q13" s="1"/>
      <c r="R13" s="1"/>
      <c r="S13" s="1"/>
      <c r="Z13" s="1"/>
    </row>
    <row r="14" spans="1:26" s="61" customFormat="1" x14ac:dyDescent="0.25">
      <c r="A14" s="60" t="s">
        <v>436</v>
      </c>
      <c r="B14" s="61" t="s">
        <v>7</v>
      </c>
      <c r="C14" s="62">
        <f>SUM(C4:C9)</f>
        <v>112548067678672.63</v>
      </c>
      <c r="D14" s="62"/>
      <c r="E14" s="62"/>
      <c r="F14" s="62">
        <f>SUM(F4:F9)</f>
        <v>43208126312201.867</v>
      </c>
      <c r="G14" s="62"/>
      <c r="H14" s="62"/>
      <c r="I14" s="62">
        <f>SUM(I4:I9)</f>
        <v>14870000000000</v>
      </c>
      <c r="J14" s="62">
        <f>SUM(J4:J9)</f>
        <v>26869000000000</v>
      </c>
      <c r="K14" s="62">
        <f>SUM(K4:K9)</f>
        <v>41739000000000</v>
      </c>
      <c r="L14" s="66"/>
      <c r="M14" s="67">
        <f>P14/F14</f>
        <v>0.34361046972013926</v>
      </c>
      <c r="N14" s="67">
        <f>Q14/F14</f>
        <v>0.58078830315438079</v>
      </c>
      <c r="O14" s="67">
        <f>R14/F14</f>
        <v>7.5601227125480022E-2</v>
      </c>
      <c r="P14" s="62">
        <f>SUM(P4:P9)</f>
        <v>14846764577862.793</v>
      </c>
      <c r="Q14" s="62">
        <f>SUM(Q4:Q9)</f>
        <v>25094774363343.875</v>
      </c>
      <c r="R14" s="62">
        <f>SUM(R4:R9)</f>
        <v>3266587370995.2031</v>
      </c>
      <c r="S14" s="62">
        <f>SUM(S4:S9)</f>
        <v>7300973349162888</v>
      </c>
      <c r="V14" s="62">
        <f>SUM(V4:V9)</f>
        <v>2458147407865629</v>
      </c>
      <c r="W14" s="62">
        <f>SUM(W4:W9)</f>
        <v>4290863396890120</v>
      </c>
      <c r="X14" s="62">
        <f>SUM(X4:X9)</f>
        <v>551962544407140.13</v>
      </c>
      <c r="Y14" s="68">
        <f>V14/P14</f>
        <v>165.56788483942418</v>
      </c>
      <c r="Z14" s="62"/>
    </row>
    <row r="15" spans="1:26" s="62" customFormat="1" x14ac:dyDescent="0.25">
      <c r="A15" s="62" t="s">
        <v>0</v>
      </c>
      <c r="B15" s="62" t="s">
        <v>7</v>
      </c>
      <c r="C15" s="62">
        <f t="shared" ref="C15:K15" si="12">SUM(C4:C9)+SUM(C10:C12)</f>
        <v>145005416504864.69</v>
      </c>
      <c r="D15" s="62">
        <f t="shared" si="12"/>
        <v>145910431428034.53</v>
      </c>
      <c r="E15" s="62">
        <f t="shared" si="12"/>
        <v>146820172956231.22</v>
      </c>
      <c r="F15" s="62">
        <f t="shared" si="12"/>
        <v>50820406193014</v>
      </c>
      <c r="G15" s="62">
        <f t="shared" si="12"/>
        <v>60078835987024.227</v>
      </c>
      <c r="H15" s="62">
        <f t="shared" si="12"/>
        <v>69303250085350.859</v>
      </c>
      <c r="I15" s="62">
        <f t="shared" si="12"/>
        <v>15000000000000</v>
      </c>
      <c r="J15" s="62">
        <f t="shared" si="12"/>
        <v>28089000000000</v>
      </c>
      <c r="K15" s="62">
        <f t="shared" si="12"/>
        <v>43089000000000</v>
      </c>
      <c r="P15" s="62">
        <f>SUM(P4:P9)+SUM(P10:P12)</f>
        <v>15524380639698.361</v>
      </c>
      <c r="Q15" s="62">
        <f>SUM(Q4:Q9)+SUM(Q10:Q12)</f>
        <v>31453940482108.441</v>
      </c>
      <c r="R15" s="62">
        <f>SUM(R4:R9)+SUM(R10:R12)</f>
        <v>3842085071207.2036</v>
      </c>
      <c r="S15" s="62">
        <f>SUM(S4:S9)+SUM(S10:S12)</f>
        <v>8623774583777724</v>
      </c>
      <c r="V15" s="62">
        <f>SUM(V4:V9)+SUM(V10:V12)</f>
        <v>2575898118194911.5</v>
      </c>
      <c r="W15" s="62">
        <f>SUM(W4:W9)+SUM(W10:W12)</f>
        <v>5395908524595693</v>
      </c>
      <c r="X15" s="62">
        <f>SUM(X4:X9)+SUM(X10:X12)</f>
        <v>651967940987121.75</v>
      </c>
      <c r="Y15" s="68">
        <f>V15/P15</f>
        <v>165.92598300559069</v>
      </c>
    </row>
    <row r="16" spans="1:26" x14ac:dyDescent="0.25">
      <c r="P16">
        <f>P15/F15</f>
        <v>0.30547533565035556</v>
      </c>
      <c r="Q16">
        <f>Q15/F15</f>
        <v>0.61892343722416454</v>
      </c>
      <c r="R16">
        <f>R15/F15</f>
        <v>7.5601227125480036E-2</v>
      </c>
    </row>
    <row r="17" spans="1:26" s="22" customFormat="1" x14ac:dyDescent="0.25">
      <c r="A17" t="s">
        <v>387</v>
      </c>
      <c r="B17"/>
      <c r="C17"/>
      <c r="D17"/>
      <c r="E17"/>
      <c r="H17"/>
      <c r="J17"/>
      <c r="L17"/>
      <c r="M17"/>
      <c r="N17"/>
      <c r="O17"/>
      <c r="P17"/>
      <c r="Q17"/>
      <c r="R17"/>
      <c r="S17"/>
      <c r="T17"/>
      <c r="Z17"/>
    </row>
    <row r="18" spans="1:26" s="22" customFormat="1" x14ac:dyDescent="0.25">
      <c r="A18" s="22" t="s">
        <v>142</v>
      </c>
      <c r="B18" t="s">
        <v>10</v>
      </c>
      <c r="C18" s="2">
        <f t="shared" ref="C18:K18" si="13">C4/C$15</f>
        <v>0.15502027433931834</v>
      </c>
      <c r="D18" s="2">
        <f t="shared" si="13"/>
        <v>0.15482122965513978</v>
      </c>
      <c r="E18" s="2">
        <f t="shared" si="13"/>
        <v>0.15461738134276293</v>
      </c>
      <c r="F18" s="2">
        <f t="shared" si="13"/>
        <v>6.8196447329239934E-2</v>
      </c>
      <c r="G18" s="2">
        <f t="shared" si="13"/>
        <v>0.12226572817838179</v>
      </c>
      <c r="H18" s="2">
        <f t="shared" si="13"/>
        <v>0.1617785839419216</v>
      </c>
      <c r="I18" s="2">
        <f t="shared" si="13"/>
        <v>0.22600000000000001</v>
      </c>
      <c r="J18" s="2">
        <f t="shared" si="13"/>
        <v>0.10359927373705009</v>
      </c>
      <c r="K18" s="2">
        <f t="shared" si="13"/>
        <v>0.14620900925990393</v>
      </c>
      <c r="L18"/>
      <c r="M18"/>
      <c r="N18"/>
      <c r="O18"/>
      <c r="P18"/>
      <c r="Q18"/>
      <c r="R18" s="3">
        <f>R4/$R$15</f>
        <v>6.819644732923992E-2</v>
      </c>
      <c r="S18"/>
      <c r="T18"/>
      <c r="Z18"/>
    </row>
    <row r="19" spans="1:26" s="22" customFormat="1" x14ac:dyDescent="0.25">
      <c r="A19" s="22" t="s">
        <v>143</v>
      </c>
      <c r="B19" t="s">
        <v>10</v>
      </c>
      <c r="C19" s="2">
        <f t="shared" ref="C19:K19" si="14">C5/C$15</f>
        <v>0.11693474750326603</v>
      </c>
      <c r="D19" s="2">
        <f t="shared" si="14"/>
        <v>0.11678342441336403</v>
      </c>
      <c r="E19" s="2">
        <f t="shared" si="14"/>
        <v>0.11663364894964473</v>
      </c>
      <c r="F19" s="2">
        <f t="shared" si="14"/>
        <v>0.16865088044844814</v>
      </c>
      <c r="G19" s="2">
        <f t="shared" si="14"/>
        <v>0.18446059988559552</v>
      </c>
      <c r="H19" s="2">
        <f t="shared" si="14"/>
        <v>0.19594871652988791</v>
      </c>
      <c r="I19" s="2">
        <f t="shared" si="14"/>
        <v>0.20200000000000001</v>
      </c>
      <c r="J19" s="2">
        <f t="shared" si="14"/>
        <v>6.3156395742105451E-2</v>
      </c>
      <c r="K19" s="2">
        <f t="shared" si="14"/>
        <v>0.11149017150548864</v>
      </c>
      <c r="L19"/>
      <c r="M19"/>
      <c r="N19"/>
      <c r="O19"/>
      <c r="P19"/>
      <c r="Q19"/>
      <c r="R19" s="3">
        <f t="shared" ref="R19:R26" si="15">R5/$R$15</f>
        <v>0.16865088044844811</v>
      </c>
      <c r="S19"/>
      <c r="T19"/>
      <c r="Z19"/>
    </row>
    <row r="20" spans="1:26" s="22" customFormat="1" x14ac:dyDescent="0.25">
      <c r="A20" s="22" t="s">
        <v>144</v>
      </c>
      <c r="B20" t="s">
        <v>10</v>
      </c>
      <c r="C20" s="2">
        <f t="shared" ref="C20:K20" si="16">C6/C$15</f>
        <v>0.10739858492841325</v>
      </c>
      <c r="D20" s="2">
        <f t="shared" si="16"/>
        <v>0.10725846265846968</v>
      </c>
      <c r="E20" s="2">
        <f t="shared" si="16"/>
        <v>0.10711930395842476</v>
      </c>
      <c r="F20" s="2">
        <f t="shared" si="16"/>
        <v>4.7256193438871753E-2</v>
      </c>
      <c r="G20" s="2">
        <f t="shared" si="16"/>
        <v>8.4710080687954104E-2</v>
      </c>
      <c r="H20" s="2">
        <f t="shared" si="16"/>
        <v>0.11209757510312533</v>
      </c>
      <c r="I20" s="2">
        <f t="shared" si="16"/>
        <v>4.7333333333333331E-2</v>
      </c>
      <c r="J20" s="2">
        <f t="shared" si="16"/>
        <v>1.797856812275268E-2</v>
      </c>
      <c r="K20" s="2">
        <f t="shared" si="16"/>
        <v>2.8197451785838615E-2</v>
      </c>
      <c r="L20"/>
      <c r="M20"/>
      <c r="N20"/>
      <c r="O20"/>
      <c r="P20"/>
      <c r="Q20"/>
      <c r="R20" s="3">
        <f t="shared" si="15"/>
        <v>4.7256193438871746E-2</v>
      </c>
      <c r="S20"/>
      <c r="T20"/>
      <c r="Z20"/>
    </row>
    <row r="21" spans="1:26" s="22" customFormat="1" x14ac:dyDescent="0.25">
      <c r="A21" s="22" t="s">
        <v>145</v>
      </c>
      <c r="B21" t="s">
        <v>10</v>
      </c>
      <c r="C21" s="2">
        <f t="shared" ref="C21:K21" si="17">C7/C$15</f>
        <v>0.13092706984855854</v>
      </c>
      <c r="D21" s="2">
        <f t="shared" si="17"/>
        <v>0.13075588498227267</v>
      </c>
      <c r="E21" s="2">
        <f t="shared" si="17"/>
        <v>0.13058941530331267</v>
      </c>
      <c r="F21" s="2">
        <f t="shared" si="17"/>
        <v>0.1867865264894471</v>
      </c>
      <c r="G21" s="2">
        <f t="shared" si="17"/>
        <v>0.15878010347635943</v>
      </c>
      <c r="H21" s="2">
        <f t="shared" si="17"/>
        <v>0.13832800422399125</v>
      </c>
      <c r="I21" s="2">
        <f t="shared" si="17"/>
        <v>0.20133333333333334</v>
      </c>
      <c r="J21" s="2">
        <f t="shared" si="17"/>
        <v>0.23105130122111858</v>
      </c>
      <c r="K21" s="2">
        <f t="shared" si="17"/>
        <v>0.22070598064471211</v>
      </c>
      <c r="L21"/>
      <c r="M21"/>
      <c r="N21"/>
      <c r="O21"/>
      <c r="P21"/>
      <c r="Q21"/>
      <c r="R21" s="3">
        <f t="shared" si="15"/>
        <v>0.18678652648944705</v>
      </c>
      <c r="S21"/>
      <c r="T21"/>
      <c r="Z21"/>
    </row>
    <row r="22" spans="1:26" s="22" customFormat="1" x14ac:dyDescent="0.25">
      <c r="A22" s="22" t="s">
        <v>146</v>
      </c>
      <c r="B22" t="s">
        <v>10</v>
      </c>
      <c r="C22" s="2">
        <f t="shared" ref="C22:K22" si="18">C8/C$15</f>
        <v>9.6901835219704385E-2</v>
      </c>
      <c r="D22" s="2">
        <f t="shared" si="18"/>
        <v>9.6775555748253805E-2</v>
      </c>
      <c r="E22" s="2">
        <f t="shared" si="18"/>
        <v>9.6655712905298688E-2</v>
      </c>
      <c r="F22" s="2">
        <f t="shared" si="18"/>
        <v>0.13824457564105966</v>
      </c>
      <c r="G22" s="2">
        <f t="shared" si="18"/>
        <v>0.11751694967896237</v>
      </c>
      <c r="H22" s="2">
        <f t="shared" si="18"/>
        <v>0.1023834269567932</v>
      </c>
      <c r="I22" s="2">
        <f t="shared" si="18"/>
        <v>0.18266666666666667</v>
      </c>
      <c r="J22" s="2">
        <f t="shared" si="18"/>
        <v>0.25810815621773647</v>
      </c>
      <c r="K22" s="2">
        <f t="shared" si="18"/>
        <v>0.23184571468356194</v>
      </c>
      <c r="L22"/>
      <c r="M22"/>
      <c r="N22"/>
      <c r="O22"/>
      <c r="P22"/>
      <c r="Q22"/>
      <c r="R22" s="3">
        <f t="shared" si="15"/>
        <v>0.13824457564105963</v>
      </c>
      <c r="S22"/>
      <c r="T22"/>
      <c r="Z22"/>
    </row>
    <row r="23" spans="1:26" s="22" customFormat="1" x14ac:dyDescent="0.25">
      <c r="A23" s="22" t="s">
        <v>147</v>
      </c>
      <c r="B23" t="s">
        <v>10</v>
      </c>
      <c r="C23" s="2">
        <f t="shared" ref="C23:K23" si="19">C9/C$15</f>
        <v>0.16898206457086842</v>
      </c>
      <c r="D23" s="2">
        <f t="shared" si="19"/>
        <v>0.16876399285746202</v>
      </c>
      <c r="E23" s="2">
        <f t="shared" si="19"/>
        <v>0.16854520823551544</v>
      </c>
      <c r="F23" s="2">
        <f t="shared" si="19"/>
        <v>0.24107751679402209</v>
      </c>
      <c r="G23" s="2">
        <f t="shared" si="19"/>
        <v>0.20493428844617084</v>
      </c>
      <c r="H23" s="2">
        <f t="shared" si="19"/>
        <v>0.17853301680373207</v>
      </c>
      <c r="I23" s="2">
        <f t="shared" si="19"/>
        <v>0.13200000000000001</v>
      </c>
      <c r="J23" s="2">
        <f t="shared" si="19"/>
        <v>0.2826729324646659</v>
      </c>
      <c r="K23" s="2">
        <f t="shared" si="19"/>
        <v>0.23022117013622967</v>
      </c>
      <c r="L23"/>
      <c r="M23"/>
      <c r="N23"/>
      <c r="O23"/>
      <c r="P23"/>
      <c r="Q23"/>
      <c r="R23" s="3">
        <f t="shared" si="15"/>
        <v>0.24107751679402206</v>
      </c>
      <c r="S23"/>
      <c r="T23"/>
      <c r="Z23"/>
    </row>
    <row r="24" spans="1:26" s="22" customFormat="1" x14ac:dyDescent="0.25">
      <c r="A24" s="22" t="s">
        <v>148</v>
      </c>
      <c r="B24" t="s">
        <v>10</v>
      </c>
      <c r="C24" s="2">
        <f t="shared" ref="C24:K24" si="20">C10/C$15</f>
        <v>0.10499304183656832</v>
      </c>
      <c r="D24" s="2">
        <f t="shared" si="20"/>
        <v>0.10485848431129556</v>
      </c>
      <c r="E24" s="2">
        <f t="shared" si="20"/>
        <v>0.10472479709975992</v>
      </c>
      <c r="F24" s="2">
        <f t="shared" si="20"/>
        <v>0.14978785985891147</v>
      </c>
      <c r="G24" s="2">
        <f t="shared" si="20"/>
        <v>0.127332249646576</v>
      </c>
      <c r="H24" s="2">
        <f t="shared" si="20"/>
        <v>0.11093067644054871</v>
      </c>
      <c r="I24" s="2">
        <f t="shared" si="20"/>
        <v>8.6666666666666663E-3</v>
      </c>
      <c r="J24" s="2">
        <f t="shared" si="20"/>
        <v>4.3433372494570827E-2</v>
      </c>
      <c r="K24" s="2">
        <f t="shared" si="20"/>
        <v>3.1330501984265124E-2</v>
      </c>
      <c r="L24"/>
      <c r="M24"/>
      <c r="N24"/>
      <c r="O24"/>
      <c r="P24"/>
      <c r="Q24"/>
      <c r="R24" s="3">
        <f t="shared" si="15"/>
        <v>0.14978785985891144</v>
      </c>
      <c r="S24"/>
      <c r="T24"/>
      <c r="Z24"/>
    </row>
    <row r="25" spans="1:26" s="22" customFormat="1" x14ac:dyDescent="0.25">
      <c r="A25" s="22" t="s">
        <v>149</v>
      </c>
      <c r="B25" t="s">
        <v>10</v>
      </c>
      <c r="C25" s="2">
        <f t="shared" ref="C25:K25" si="21">C11/C$15</f>
        <v>0.10979807255010793</v>
      </c>
      <c r="D25" s="2">
        <f t="shared" si="21"/>
        <v>0.10965560663526319</v>
      </c>
      <c r="E25" s="2">
        <f t="shared" si="21"/>
        <v>0.10951745603452552</v>
      </c>
      <c r="F25" s="2">
        <f t="shared" si="21"/>
        <v>0</v>
      </c>
      <c r="G25" s="2">
        <f t="shared" si="21"/>
        <v>0</v>
      </c>
      <c r="H25" s="2">
        <f t="shared" si="21"/>
        <v>0</v>
      </c>
      <c r="I25" s="2">
        <f t="shared" si="21"/>
        <v>0</v>
      </c>
      <c r="J25" s="2">
        <f t="shared" si="21"/>
        <v>0</v>
      </c>
      <c r="K25" s="2">
        <f t="shared" si="21"/>
        <v>0</v>
      </c>
      <c r="L25"/>
      <c r="M25"/>
      <c r="N25"/>
      <c r="O25"/>
      <c r="P25"/>
      <c r="Q25"/>
      <c r="R25" s="3">
        <f t="shared" si="15"/>
        <v>0</v>
      </c>
      <c r="S25"/>
      <c r="T25"/>
      <c r="Z25"/>
    </row>
    <row r="26" spans="1:26" s="22" customFormat="1" x14ac:dyDescent="0.25">
      <c r="A26" s="22" t="s">
        <v>150</v>
      </c>
      <c r="B26" t="s">
        <v>10</v>
      </c>
      <c r="C26" s="2">
        <f t="shared" ref="C26:K26" si="22">C12/C$15</f>
        <v>9.0443092031947704E-3</v>
      </c>
      <c r="D26" s="2">
        <f t="shared" si="22"/>
        <v>1.032735873847924E-2</v>
      </c>
      <c r="E26" s="2">
        <f t="shared" si="22"/>
        <v>1.1597076170755297E-2</v>
      </c>
      <c r="F26" s="2">
        <f t="shared" si="22"/>
        <v>0</v>
      </c>
      <c r="G26" s="2">
        <f t="shared" si="22"/>
        <v>0</v>
      </c>
      <c r="H26" s="2">
        <f t="shared" si="22"/>
        <v>0</v>
      </c>
      <c r="I26" s="2">
        <f t="shared" si="22"/>
        <v>0</v>
      </c>
      <c r="J26" s="2">
        <f t="shared" si="22"/>
        <v>0</v>
      </c>
      <c r="K26" s="2">
        <f t="shared" si="22"/>
        <v>0</v>
      </c>
      <c r="L26"/>
      <c r="M26"/>
      <c r="N26"/>
      <c r="O26"/>
      <c r="P26"/>
      <c r="Q26"/>
      <c r="R26" s="3">
        <f t="shared" si="15"/>
        <v>0</v>
      </c>
      <c r="S26"/>
      <c r="T26"/>
      <c r="Z26"/>
    </row>
    <row r="28" spans="1:26" x14ac:dyDescent="0.25">
      <c r="A28" s="22"/>
      <c r="I28"/>
    </row>
    <row r="29" spans="1:26" x14ac:dyDescent="0.25">
      <c r="A29" s="22"/>
      <c r="I29"/>
    </row>
    <row r="30" spans="1:26" x14ac:dyDescent="0.25">
      <c r="A30" s="22"/>
      <c r="I30"/>
    </row>
    <row r="31" spans="1:26" x14ac:dyDescent="0.25">
      <c r="A31" s="34" t="s">
        <v>656</v>
      </c>
      <c r="B31" s="34"/>
      <c r="C31" s="34"/>
      <c r="D31" s="34"/>
      <c r="E31" s="34"/>
      <c r="F31" s="34"/>
      <c r="G31" s="34"/>
      <c r="H31" s="34"/>
      <c r="I31" s="46"/>
      <c r="J31" s="34"/>
      <c r="K31" s="4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30" x14ac:dyDescent="0.25">
      <c r="C32" s="122" t="s">
        <v>386</v>
      </c>
      <c r="D32" s="122"/>
      <c r="E32" s="122"/>
      <c r="F32" s="122" t="s">
        <v>384</v>
      </c>
      <c r="G32" s="122"/>
      <c r="H32" s="122"/>
      <c r="I32" s="69" t="s">
        <v>649</v>
      </c>
      <c r="K32" s="22" t="s">
        <v>647</v>
      </c>
      <c r="M32" s="22" t="s">
        <v>382</v>
      </c>
      <c r="N32" t="s">
        <v>385</v>
      </c>
      <c r="O32" s="22" t="s">
        <v>395</v>
      </c>
      <c r="P32" s="22" t="s">
        <v>382</v>
      </c>
      <c r="Q32" t="s">
        <v>385</v>
      </c>
      <c r="R32" s="22" t="s">
        <v>395</v>
      </c>
      <c r="S32" s="123" t="s">
        <v>432</v>
      </c>
      <c r="T32" s="123"/>
      <c r="U32" s="123"/>
      <c r="V32" t="s">
        <v>433</v>
      </c>
      <c r="W32" t="s">
        <v>434</v>
      </c>
      <c r="X32" t="s">
        <v>435</v>
      </c>
      <c r="Y32" t="s">
        <v>438</v>
      </c>
    </row>
    <row r="33" spans="1:26" x14ac:dyDescent="0.25">
      <c r="C33">
        <v>0.01</v>
      </c>
      <c r="D33">
        <v>0.5</v>
      </c>
      <c r="E33">
        <v>0.99</v>
      </c>
      <c r="F33">
        <v>0.01</v>
      </c>
      <c r="G33">
        <v>0.5</v>
      </c>
      <c r="H33">
        <v>0.99</v>
      </c>
      <c r="M33" s="22" t="s">
        <v>10</v>
      </c>
      <c r="N33" t="s">
        <v>10</v>
      </c>
      <c r="O33" s="22" t="s">
        <v>10</v>
      </c>
      <c r="P33" t="s">
        <v>7</v>
      </c>
      <c r="Q33" t="s">
        <v>7</v>
      </c>
      <c r="R33" t="s">
        <v>7</v>
      </c>
      <c r="S33">
        <v>0.01</v>
      </c>
      <c r="T33">
        <v>0.5</v>
      </c>
      <c r="U33">
        <v>0.99</v>
      </c>
      <c r="V33" t="s">
        <v>8</v>
      </c>
      <c r="W33" t="s">
        <v>8</v>
      </c>
      <c r="X33" t="s">
        <v>8</v>
      </c>
      <c r="Y33" t="s">
        <v>73</v>
      </c>
      <c r="Z33" t="s">
        <v>396</v>
      </c>
    </row>
    <row r="34" spans="1:26" x14ac:dyDescent="0.25">
      <c r="A34" s="22" t="s">
        <v>142</v>
      </c>
      <c r="B34" t="s">
        <v>7</v>
      </c>
      <c r="C34" s="1">
        <f t="shared" ref="C34:H42" si="23">C4</f>
        <v>22478779447271.242</v>
      </c>
      <c r="D34" s="1">
        <f t="shared" si="23"/>
        <v>22590032413200.258</v>
      </c>
      <c r="E34" s="1">
        <f t="shared" si="23"/>
        <v>22700950670784.012</v>
      </c>
      <c r="F34" s="1">
        <f t="shared" si="23"/>
        <v>3465771154192.458</v>
      </c>
      <c r="G34" s="1">
        <f t="shared" si="23"/>
        <v>7345582630063.0859</v>
      </c>
      <c r="H34" s="1">
        <f t="shared" si="23"/>
        <v>11211781661380.92</v>
      </c>
      <c r="I34" s="1">
        <f>I4*$I$46</f>
        <v>4090600000000.0005</v>
      </c>
      <c r="K34" s="1">
        <f t="shared" ref="K34:K42" si="24">F34*$K$43</f>
        <v>291166277352.92126</v>
      </c>
      <c r="M34" s="57">
        <f>IF(I34/F34&gt;0.9,0.9,I34/F34)</f>
        <v>0.9</v>
      </c>
      <c r="N34" s="57">
        <f>1-M34-O34</f>
        <v>1.5988025637323267E-2</v>
      </c>
      <c r="O34" s="3">
        <f>K34/F34</f>
        <v>8.4011974362676711E-2</v>
      </c>
      <c r="P34" s="1">
        <f t="shared" ref="P34:P40" si="25">M34*F34</f>
        <v>3119194038773.2124</v>
      </c>
      <c r="Q34" s="1">
        <f t="shared" ref="Q34:Q40" si="26">N34*F34</f>
        <v>55410838066.324463</v>
      </c>
      <c r="R34" s="1">
        <f t="shared" ref="R34:R40" si="27">O34*F34</f>
        <v>291166277352.92126</v>
      </c>
      <c r="S34">
        <f t="shared" ref="S34:U42" si="28">S4</f>
        <v>688581095338275.25</v>
      </c>
      <c r="T34">
        <f t="shared" si="28"/>
        <v>1464182629538661</v>
      </c>
      <c r="U34">
        <f t="shared" si="28"/>
        <v>2271334471779111</v>
      </c>
      <c r="V34">
        <f t="shared" ref="V34:V42" si="29">S34*M34</f>
        <v>619722985804447.75</v>
      </c>
      <c r="W34">
        <f t="shared" ref="W34:W42" si="30">S34*N34</f>
        <v>11009052205644.48</v>
      </c>
      <c r="X34">
        <f t="shared" ref="X34:X42" si="31">S34*O34</f>
        <v>57849057328183.031</v>
      </c>
      <c r="Y34" s="65">
        <f t="shared" ref="Y34:Y40" si="32">V34/P34</f>
        <v>198.6804854398178</v>
      </c>
    </row>
    <row r="35" spans="1:26" x14ac:dyDescent="0.25">
      <c r="A35" s="22" t="s">
        <v>143</v>
      </c>
      <c r="B35" t="s">
        <v>7</v>
      </c>
      <c r="C35" s="1">
        <f t="shared" si="23"/>
        <v>16956171765602.277</v>
      </c>
      <c r="D35" s="1">
        <f t="shared" si="23"/>
        <v>17039919839797.207</v>
      </c>
      <c r="E35" s="1">
        <f t="shared" si="23"/>
        <v>17124172511303.195</v>
      </c>
      <c r="F35" s="1">
        <f t="shared" si="23"/>
        <v>8570906249199.5781</v>
      </c>
      <c r="G35" s="1">
        <f t="shared" si="23"/>
        <v>11082178126594.793</v>
      </c>
      <c r="H35" s="1">
        <f t="shared" si="23"/>
        <v>13579882905574.346</v>
      </c>
      <c r="I35" s="1">
        <f t="shared" ref="I35:I42" si="33">I5*$I$46</f>
        <v>3656200000000.0005</v>
      </c>
      <c r="K35" s="1">
        <f t="shared" si="24"/>
        <v>720058756072.66052</v>
      </c>
      <c r="M35" s="57">
        <f t="shared" ref="M35:M40" si="34">IF(I35/F35&gt;0.9,0.9,I35/F35)</f>
        <v>0.42658266158744257</v>
      </c>
      <c r="N35" s="57">
        <f t="shared" ref="N35:N39" si="35">1-M35-O35</f>
        <v>0.48940536404988066</v>
      </c>
      <c r="O35" s="3">
        <f t="shared" ref="O35:O39" si="36">K35/F35</f>
        <v>8.4011974362676711E-2</v>
      </c>
      <c r="P35" s="1">
        <f t="shared" si="25"/>
        <v>3656200000000.0005</v>
      </c>
      <c r="Q35" s="1">
        <f t="shared" si="26"/>
        <v>4194647493126.9165</v>
      </c>
      <c r="R35" s="1">
        <f t="shared" si="27"/>
        <v>720058756072.66052</v>
      </c>
      <c r="S35">
        <f t="shared" si="28"/>
        <v>1309807804513675</v>
      </c>
      <c r="T35">
        <f t="shared" si="28"/>
        <v>1720431518877073.8</v>
      </c>
      <c r="U35">
        <f t="shared" si="28"/>
        <v>2158812158229980</v>
      </c>
      <c r="V35">
        <f t="shared" si="29"/>
        <v>558741299417448.13</v>
      </c>
      <c r="W35">
        <f t="shared" si="30"/>
        <v>641026965403390</v>
      </c>
      <c r="X35">
        <f t="shared" si="31"/>
        <v>110039539692836.73</v>
      </c>
      <c r="Y35" s="65">
        <f t="shared" si="32"/>
        <v>152.82022302320661</v>
      </c>
    </row>
    <row r="36" spans="1:26" x14ac:dyDescent="0.25">
      <c r="A36" s="22" t="s">
        <v>144</v>
      </c>
      <c r="B36" t="s">
        <v>7</v>
      </c>
      <c r="C36" s="1">
        <f t="shared" si="23"/>
        <v>15573376539577.646</v>
      </c>
      <c r="D36" s="1">
        <f t="shared" si="23"/>
        <v>15650128560805.043</v>
      </c>
      <c r="E36" s="1">
        <f t="shared" si="23"/>
        <v>15727274734127.025</v>
      </c>
      <c r="F36" s="1">
        <f t="shared" si="23"/>
        <v>2401578945699.1055</v>
      </c>
      <c r="G36" s="1">
        <f t="shared" si="23"/>
        <v>5089283044099.1826</v>
      </c>
      <c r="H36" s="1">
        <f t="shared" si="23"/>
        <v>7768726281333.2949</v>
      </c>
      <c r="I36" s="1">
        <f t="shared" si="33"/>
        <v>856733333333.33337</v>
      </c>
      <c r="K36" s="1">
        <f t="shared" si="24"/>
        <v>201761388816.01743</v>
      </c>
      <c r="M36" s="57">
        <f t="shared" si="34"/>
        <v>0.35673752672908121</v>
      </c>
      <c r="N36" s="57">
        <f t="shared" si="35"/>
        <v>0.55925049890824208</v>
      </c>
      <c r="O36" s="3">
        <f t="shared" si="36"/>
        <v>8.4011974362676711E-2</v>
      </c>
      <c r="P36" s="1">
        <f t="shared" si="25"/>
        <v>856733333333.33325</v>
      </c>
      <c r="Q36" s="1">
        <f t="shared" si="26"/>
        <v>1343084223549.7546</v>
      </c>
      <c r="R36" s="1">
        <f t="shared" si="27"/>
        <v>201761388816.01743</v>
      </c>
      <c r="S36">
        <f t="shared" si="28"/>
        <v>276230395506667.13</v>
      </c>
      <c r="T36">
        <f t="shared" si="28"/>
        <v>586982180398424.5</v>
      </c>
      <c r="U36">
        <f t="shared" si="28"/>
        <v>912236649508936.88</v>
      </c>
      <c r="V36">
        <f t="shared" si="29"/>
        <v>98541748100444.344</v>
      </c>
      <c r="W36">
        <f t="shared" si="30"/>
        <v>154481986500724.63</v>
      </c>
      <c r="X36">
        <f t="shared" si="31"/>
        <v>23206660905498.168</v>
      </c>
      <c r="Y36" s="65">
        <f t="shared" si="32"/>
        <v>115.02032694005644</v>
      </c>
    </row>
    <row r="37" spans="1:26" x14ac:dyDescent="0.25">
      <c r="A37" s="22" t="s">
        <v>145</v>
      </c>
      <c r="B37" t="s">
        <v>7</v>
      </c>
      <c r="C37" s="1">
        <f t="shared" si="23"/>
        <v>18985134295151.742</v>
      </c>
      <c r="D37" s="1">
        <f t="shared" si="23"/>
        <v>19078647589517.867</v>
      </c>
      <c r="E37" s="1">
        <f t="shared" si="23"/>
        <v>19173160541085.473</v>
      </c>
      <c r="F37" s="1">
        <f t="shared" si="23"/>
        <v>9492567147575.8711</v>
      </c>
      <c r="G37" s="1">
        <f t="shared" si="23"/>
        <v>9539323794758.9336</v>
      </c>
      <c r="H37" s="1">
        <f t="shared" si="23"/>
        <v>9586580270542.7363</v>
      </c>
      <c r="I37" s="1">
        <f t="shared" si="33"/>
        <v>3644133333333.3335</v>
      </c>
      <c r="K37" s="1">
        <f t="shared" si="24"/>
        <v>797489307838.13123</v>
      </c>
      <c r="M37" s="57">
        <f t="shared" si="34"/>
        <v>0.38389334272593906</v>
      </c>
      <c r="N37" s="57">
        <f t="shared" si="35"/>
        <v>0.53209468291138429</v>
      </c>
      <c r="O37" s="3">
        <f t="shared" si="36"/>
        <v>8.4011974362676711E-2</v>
      </c>
      <c r="P37" s="1">
        <f t="shared" si="25"/>
        <v>3644133333333.3335</v>
      </c>
      <c r="Q37" s="1">
        <f t="shared" si="26"/>
        <v>5050944506404.4072</v>
      </c>
      <c r="R37" s="1">
        <f t="shared" si="27"/>
        <v>797489307838.13123</v>
      </c>
      <c r="S37">
        <f t="shared" si="28"/>
        <v>1761935829919898.8</v>
      </c>
      <c r="T37">
        <f t="shared" si="28"/>
        <v>1878655552482332</v>
      </c>
      <c r="U37">
        <f t="shared" si="28"/>
        <v>1995773299546639</v>
      </c>
      <c r="V37">
        <f t="shared" si="29"/>
        <v>676395435416551.5</v>
      </c>
      <c r="W37">
        <f t="shared" si="30"/>
        <v>937516686731435.25</v>
      </c>
      <c r="X37">
        <f t="shared" si="31"/>
        <v>148023707771912.06</v>
      </c>
      <c r="Y37" s="65">
        <f t="shared" si="32"/>
        <v>185.61215343837168</v>
      </c>
    </row>
    <row r="38" spans="1:26" x14ac:dyDescent="0.25">
      <c r="A38" s="22" t="s">
        <v>146</v>
      </c>
      <c r="B38" t="s">
        <v>7</v>
      </c>
      <c r="C38" s="1">
        <f t="shared" si="23"/>
        <v>14051290976119</v>
      </c>
      <c r="D38" s="1">
        <f t="shared" si="23"/>
        <v>14120563090915.52</v>
      </c>
      <c r="E38" s="1">
        <f t="shared" si="23"/>
        <v>14191008485963.783</v>
      </c>
      <c r="F38" s="1">
        <f t="shared" si="23"/>
        <v>7025645488059.5</v>
      </c>
      <c r="G38" s="1">
        <f t="shared" si="23"/>
        <v>7060281545457.7598</v>
      </c>
      <c r="H38" s="1">
        <f t="shared" si="23"/>
        <v>7095504242981.8916</v>
      </c>
      <c r="I38" s="1">
        <f t="shared" si="33"/>
        <v>3306266666666.667</v>
      </c>
      <c r="K38" s="1">
        <f t="shared" si="24"/>
        <v>590238348624.10999</v>
      </c>
      <c r="M38" s="57">
        <f t="shared" si="34"/>
        <v>0.47059970109306865</v>
      </c>
      <c r="N38" s="57">
        <f t="shared" si="35"/>
        <v>0.44538832454425459</v>
      </c>
      <c r="O38" s="3">
        <f t="shared" si="36"/>
        <v>8.4011974362676711E-2</v>
      </c>
      <c r="P38" s="1">
        <f t="shared" si="25"/>
        <v>3306266666666.667</v>
      </c>
      <c r="Q38" s="1">
        <f t="shared" si="26"/>
        <v>3129140472768.7227</v>
      </c>
      <c r="R38" s="1">
        <f t="shared" si="27"/>
        <v>590238348624.10999</v>
      </c>
      <c r="S38">
        <f t="shared" si="28"/>
        <v>1205557588864931.3</v>
      </c>
      <c r="T38">
        <f t="shared" si="28"/>
        <v>1285427279747415</v>
      </c>
      <c r="U38">
        <f t="shared" si="28"/>
        <v>1365432539230531.5</v>
      </c>
      <c r="V38">
        <f t="shared" si="29"/>
        <v>567335040970317.13</v>
      </c>
      <c r="W38">
        <f t="shared" si="30"/>
        <v>536941274646163.06</v>
      </c>
      <c r="X38">
        <f t="shared" si="31"/>
        <v>101281273248450.95</v>
      </c>
      <c r="Y38" s="65">
        <f t="shared" si="32"/>
        <v>171.59385438873161</v>
      </c>
    </row>
    <row r="39" spans="1:26" x14ac:dyDescent="0.25">
      <c r="A39" s="22" t="s">
        <v>147</v>
      </c>
      <c r="B39" t="s">
        <v>7</v>
      </c>
      <c r="C39" s="1">
        <f t="shared" si="23"/>
        <v>24503314654950.715</v>
      </c>
      <c r="D39" s="1">
        <f t="shared" si="23"/>
        <v>24624427007350.023</v>
      </c>
      <c r="E39" s="1">
        <f t="shared" si="23"/>
        <v>24745836624082.383</v>
      </c>
      <c r="F39" s="1">
        <f t="shared" si="23"/>
        <v>12251657327475.357</v>
      </c>
      <c r="G39" s="1">
        <f t="shared" si="23"/>
        <v>12312213503675.012</v>
      </c>
      <c r="H39" s="1">
        <f t="shared" si="23"/>
        <v>12372918312041.191</v>
      </c>
      <c r="I39" s="1">
        <f t="shared" si="33"/>
        <v>2389200000000</v>
      </c>
      <c r="K39" s="1">
        <f t="shared" si="24"/>
        <v>1029285921296.16</v>
      </c>
      <c r="M39" s="57">
        <f t="shared" si="34"/>
        <v>0.19501035134585595</v>
      </c>
      <c r="N39" s="57">
        <f t="shared" si="35"/>
        <v>0.72097767429146731</v>
      </c>
      <c r="O39" s="3">
        <f t="shared" si="36"/>
        <v>8.4011974362676711E-2</v>
      </c>
      <c r="P39" s="1">
        <f t="shared" si="25"/>
        <v>2389200000000</v>
      </c>
      <c r="Q39" s="1">
        <f t="shared" si="26"/>
        <v>8833171406179.1973</v>
      </c>
      <c r="R39" s="1">
        <f t="shared" si="27"/>
        <v>1029285921296.16</v>
      </c>
      <c r="S39">
        <f t="shared" si="28"/>
        <v>2058860635019441.5</v>
      </c>
      <c r="T39">
        <f t="shared" si="28"/>
        <v>2194967583047297.5</v>
      </c>
      <c r="U39">
        <f t="shared" si="28"/>
        <v>2331683934544445.5</v>
      </c>
      <c r="V39">
        <f t="shared" si="29"/>
        <v>401499135807293.38</v>
      </c>
      <c r="W39">
        <f t="shared" si="30"/>
        <v>1484392552326570.5</v>
      </c>
      <c r="X39">
        <f t="shared" si="31"/>
        <v>172968946885577.63</v>
      </c>
      <c r="Y39" s="65">
        <f t="shared" si="32"/>
        <v>168.04752042829958</v>
      </c>
    </row>
    <row r="40" spans="1:26" x14ac:dyDescent="0.25">
      <c r="A40" s="22" t="s">
        <v>148</v>
      </c>
      <c r="B40" t="s">
        <v>7</v>
      </c>
      <c r="C40" s="1">
        <f t="shared" si="23"/>
        <v>15224559761624.273</v>
      </c>
      <c r="D40" s="1">
        <f t="shared" si="23"/>
        <v>15299946684750.926</v>
      </c>
      <c r="E40" s="1">
        <f t="shared" si="23"/>
        <v>15375712822992.973</v>
      </c>
      <c r="F40" s="1">
        <f t="shared" si="23"/>
        <v>7612279880812.1367</v>
      </c>
      <c r="G40" s="1">
        <f t="shared" si="23"/>
        <v>7649973342375.4629</v>
      </c>
      <c r="H40" s="1">
        <f t="shared" si="23"/>
        <v>7687856411496.4863</v>
      </c>
      <c r="I40" s="1">
        <f t="shared" si="33"/>
        <v>156866666666.66669</v>
      </c>
      <c r="J40" s="1">
        <f>J10*$J$46</f>
        <v>1459361315817.5798</v>
      </c>
      <c r="K40" s="1"/>
      <c r="M40" s="57">
        <f t="shared" si="34"/>
        <v>2.060705453855842E-2</v>
      </c>
      <c r="N40" s="57">
        <f>J40/F40</f>
        <v>0.19171146340744949</v>
      </c>
      <c r="O40" s="3">
        <f>1-N40-M40</f>
        <v>0.78768148205399213</v>
      </c>
      <c r="P40" s="1">
        <f t="shared" si="25"/>
        <v>156866666666.66669</v>
      </c>
      <c r="Q40" s="1">
        <f t="shared" si="26"/>
        <v>1459361315817.5798</v>
      </c>
      <c r="R40" s="1">
        <f t="shared" si="27"/>
        <v>5996051898327.8906</v>
      </c>
      <c r="S40">
        <f t="shared" si="28"/>
        <v>1322801234614836.5</v>
      </c>
      <c r="T40">
        <f t="shared" si="28"/>
        <v>1410442969325430</v>
      </c>
      <c r="U40">
        <f t="shared" si="28"/>
        <v>1498277659327360</v>
      </c>
      <c r="V40">
        <f t="shared" si="29"/>
        <v>27259037185380.348</v>
      </c>
      <c r="W40">
        <f t="shared" si="30"/>
        <v>253596160485191.25</v>
      </c>
      <c r="X40">
        <f t="shared" si="31"/>
        <v>1041946036944265</v>
      </c>
      <c r="Y40" s="65">
        <f t="shared" si="32"/>
        <v>173.77201775635578</v>
      </c>
    </row>
    <row r="41" spans="1:26" x14ac:dyDescent="0.25">
      <c r="A41" s="22" t="s">
        <v>149</v>
      </c>
      <c r="B41" t="s">
        <v>7</v>
      </c>
      <c r="C41" s="1">
        <f t="shared" si="23"/>
        <v>15921315241559.75</v>
      </c>
      <c r="D41" s="1">
        <f t="shared" si="23"/>
        <v>15999896872654.098</v>
      </c>
      <c r="E41" s="1">
        <f t="shared" si="23"/>
        <v>16079371836715.484</v>
      </c>
      <c r="F41" s="1">
        <f t="shared" si="23"/>
        <v>0</v>
      </c>
      <c r="G41" s="1">
        <f t="shared" si="23"/>
        <v>0</v>
      </c>
      <c r="H41" s="1">
        <f t="shared" si="23"/>
        <v>0</v>
      </c>
      <c r="I41" s="1">
        <f t="shared" si="33"/>
        <v>0</v>
      </c>
      <c r="K41" s="1">
        <f t="shared" si="24"/>
        <v>0</v>
      </c>
      <c r="M41" s="1">
        <v>0</v>
      </c>
      <c r="N41" s="1">
        <v>0</v>
      </c>
      <c r="O41" s="1">
        <v>0</v>
      </c>
      <c r="P41" s="1"/>
      <c r="Q41" s="1"/>
      <c r="R41" s="1"/>
      <c r="S41">
        <f t="shared" si="28"/>
        <v>0</v>
      </c>
      <c r="T41">
        <f t="shared" si="28"/>
        <v>0</v>
      </c>
      <c r="U41">
        <f t="shared" si="28"/>
        <v>0</v>
      </c>
      <c r="V41">
        <f t="shared" si="29"/>
        <v>0</v>
      </c>
      <c r="W41">
        <f t="shared" si="30"/>
        <v>0</v>
      </c>
      <c r="X41">
        <f t="shared" si="31"/>
        <v>0</v>
      </c>
      <c r="Y41" s="1"/>
    </row>
    <row r="42" spans="1:26" x14ac:dyDescent="0.25">
      <c r="A42" s="22" t="s">
        <v>150</v>
      </c>
      <c r="B42" t="s">
        <v>7</v>
      </c>
      <c r="C42" s="1">
        <f t="shared" si="23"/>
        <v>1311473823008.0386</v>
      </c>
      <c r="D42" s="1">
        <f t="shared" si="23"/>
        <v>1506869369043.5884</v>
      </c>
      <c r="E42" s="1">
        <f t="shared" si="23"/>
        <v>1702684729176.8804</v>
      </c>
      <c r="F42" s="1">
        <f t="shared" si="23"/>
        <v>0</v>
      </c>
      <c r="G42" s="1">
        <f t="shared" si="23"/>
        <v>0</v>
      </c>
      <c r="H42" s="1">
        <f t="shared" si="23"/>
        <v>0</v>
      </c>
      <c r="I42" s="1">
        <f t="shared" si="33"/>
        <v>0</v>
      </c>
      <c r="K42" s="1">
        <f t="shared" si="24"/>
        <v>0</v>
      </c>
      <c r="M42" s="1">
        <v>0</v>
      </c>
      <c r="N42" s="1">
        <v>0</v>
      </c>
      <c r="O42" s="1">
        <v>0</v>
      </c>
      <c r="P42" s="1"/>
      <c r="Q42" s="1"/>
      <c r="R42" s="1"/>
      <c r="S42">
        <f t="shared" si="28"/>
        <v>0</v>
      </c>
      <c r="T42">
        <f t="shared" si="28"/>
        <v>0</v>
      </c>
      <c r="U42">
        <f t="shared" si="28"/>
        <v>0</v>
      </c>
      <c r="V42">
        <f t="shared" si="29"/>
        <v>0</v>
      </c>
      <c r="W42">
        <f t="shared" si="30"/>
        <v>0</v>
      </c>
      <c r="X42">
        <f t="shared" si="31"/>
        <v>0</v>
      </c>
      <c r="Y42" s="1"/>
    </row>
    <row r="43" spans="1:26" x14ac:dyDescent="0.25">
      <c r="K43" s="3">
        <f>K44/F44</f>
        <v>8.4011974362676711E-2</v>
      </c>
      <c r="M43" s="22"/>
      <c r="O43" s="22"/>
    </row>
    <row r="44" spans="1:26" x14ac:dyDescent="0.25">
      <c r="A44" s="60" t="s">
        <v>436</v>
      </c>
      <c r="B44" s="61" t="s">
        <v>7</v>
      </c>
      <c r="C44" s="62">
        <f>SUM(C34:C39)</f>
        <v>112548067678672.63</v>
      </c>
      <c r="D44" s="1"/>
      <c r="E44" s="1"/>
      <c r="F44" s="62">
        <f>SUM(F34:F39)</f>
        <v>43208126312201.867</v>
      </c>
      <c r="G44" s="1"/>
      <c r="H44" s="1"/>
      <c r="K44" s="1">
        <f>D70</f>
        <v>3630000000000</v>
      </c>
      <c r="M44" s="63">
        <f>P44/F44</f>
        <v>0.3927901721420809</v>
      </c>
      <c r="N44" s="63">
        <f>Q44/F44</f>
        <v>0.52319785349524239</v>
      </c>
      <c r="O44" s="64">
        <f>R44/F44</f>
        <v>8.4011974362676711E-2</v>
      </c>
      <c r="P44" s="62">
        <f>SUM(P34:P39)</f>
        <v>16971727372106.547</v>
      </c>
      <c r="Q44" s="62">
        <f>SUM(Q34:Q39)</f>
        <v>22606398940095.32</v>
      </c>
      <c r="R44" s="62">
        <f>SUM(R34:R39)</f>
        <v>3630000000000.0005</v>
      </c>
      <c r="S44" s="62">
        <f>SUM(S34:S39)</f>
        <v>7300973349162888</v>
      </c>
      <c r="T44" s="61"/>
      <c r="U44" s="61"/>
      <c r="V44" s="62">
        <f>SUM(V34:V39)</f>
        <v>2922235645516502.5</v>
      </c>
      <c r="W44" s="62">
        <f>SUM(W34:W39)</f>
        <v>3765368517813928</v>
      </c>
      <c r="X44" s="62">
        <f>SUM(X34:X39)</f>
        <v>613369185832458.5</v>
      </c>
      <c r="Y44" s="65">
        <f>V44/P44</f>
        <v>172.18257054489746</v>
      </c>
    </row>
    <row r="45" spans="1:26" x14ac:dyDescent="0.25">
      <c r="A45" s="60" t="s">
        <v>0</v>
      </c>
      <c r="B45" s="61" t="s">
        <v>7</v>
      </c>
      <c r="C45" s="62">
        <f>SUM(C34:C39)+SUM(C40:C42)</f>
        <v>145005416504864.69</v>
      </c>
      <c r="D45" s="62"/>
      <c r="E45" s="62"/>
      <c r="F45" s="62">
        <f>SUM(F34:F39)+SUM(F40:F42)</f>
        <v>50820406193014</v>
      </c>
      <c r="G45" s="62"/>
      <c r="H45" s="62"/>
      <c r="I45" s="62">
        <f>SUM(I34:I39)+SUM(I40:I42)</f>
        <v>18100000000000.004</v>
      </c>
      <c r="M45" s="63">
        <f>P45/F45</f>
        <v>0.33704165948063175</v>
      </c>
      <c r="N45" s="63">
        <f>Q45/F45</f>
        <v>0.47354521655163562</v>
      </c>
      <c r="O45" s="64">
        <f>R45/F45</f>
        <v>0.18941312396773269</v>
      </c>
      <c r="P45" s="62">
        <f>SUM(P34:P39)+SUM(P40:P42)</f>
        <v>17128594038773.213</v>
      </c>
      <c r="Q45" s="62">
        <f>SUM(Q34:Q39)+SUM(Q40:Q42)</f>
        <v>24065760255912.898</v>
      </c>
      <c r="R45" s="62">
        <f>SUM(R34:R39)+SUM(R40:R42)</f>
        <v>9626051898327.8906</v>
      </c>
      <c r="S45" s="62">
        <f>SUM(S34:S39)+SUM(S40:S42)</f>
        <v>8623774583777724</v>
      </c>
      <c r="T45" s="61"/>
      <c r="U45" s="61"/>
      <c r="V45" s="62">
        <f>SUM(V34:V39)+SUM(V40:V42)</f>
        <v>2949494682701883</v>
      </c>
      <c r="W45" s="62">
        <f>SUM(W34:W39)+SUM(W40:W42)</f>
        <v>4018964678299119</v>
      </c>
      <c r="X45" s="62">
        <f>SUM(X34:X39)+SUM(X40:X42)</f>
        <v>1655315222776723.5</v>
      </c>
      <c r="Y45" s="65">
        <f>V45/P45</f>
        <v>172.19712698107313</v>
      </c>
    </row>
    <row r="46" spans="1:26" x14ac:dyDescent="0.25">
      <c r="A46" s="60"/>
      <c r="B46" s="61"/>
      <c r="C46" s="62"/>
      <c r="D46" s="62"/>
      <c r="E46" s="62"/>
      <c r="F46" s="62"/>
      <c r="G46" s="62"/>
      <c r="H46" s="62" t="s">
        <v>648</v>
      </c>
      <c r="I46" s="62">
        <f>(C71+C73)/F71</f>
        <v>1.2066666666666668</v>
      </c>
      <c r="J46" s="1">
        <f>D80/C80</f>
        <v>1.1961977998504754</v>
      </c>
      <c r="K46" s="1">
        <f>D70/E70</f>
        <v>1.0300794551645858</v>
      </c>
      <c r="P46" s="62"/>
      <c r="Q46" s="62"/>
      <c r="R46" s="62"/>
      <c r="S46" s="62"/>
      <c r="T46" s="61"/>
      <c r="U46" s="61"/>
      <c r="V46" s="62"/>
      <c r="W46" s="62"/>
      <c r="X46" s="62"/>
      <c r="Y46" s="65"/>
    </row>
    <row r="47" spans="1:26" x14ac:dyDescent="0.25">
      <c r="A47" s="60"/>
      <c r="B47" s="61"/>
      <c r="C47" s="62"/>
      <c r="D47" s="62"/>
      <c r="E47" s="62"/>
      <c r="F47" s="62"/>
      <c r="G47" s="62"/>
      <c r="H47" s="62"/>
      <c r="I47" s="62"/>
      <c r="K47" s="1"/>
      <c r="P47" s="62"/>
      <c r="Q47" s="62"/>
      <c r="R47" s="62"/>
      <c r="S47" s="62"/>
      <c r="T47" s="61"/>
      <c r="U47" s="61"/>
      <c r="V47" s="62"/>
      <c r="W47" s="62"/>
      <c r="X47" s="62"/>
      <c r="Y47" s="65"/>
    </row>
    <row r="48" spans="1:26" x14ac:dyDescent="0.25">
      <c r="A48" s="34" t="s">
        <v>654</v>
      </c>
      <c r="B48" s="34"/>
      <c r="C48" s="34"/>
      <c r="D48" s="34"/>
      <c r="E48" s="34"/>
      <c r="F48" s="34"/>
      <c r="G48" s="34"/>
      <c r="H48" s="34"/>
      <c r="I48" s="46"/>
      <c r="J48" s="34"/>
      <c r="K48" s="46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8" x14ac:dyDescent="0.25">
      <c r="C49" s="122" t="s">
        <v>386</v>
      </c>
      <c r="D49" s="122"/>
      <c r="E49" s="122"/>
      <c r="F49" s="122" t="s">
        <v>384</v>
      </c>
      <c r="G49" s="122"/>
      <c r="H49" s="122"/>
      <c r="L49" t="s">
        <v>451</v>
      </c>
      <c r="M49" s="22" t="s">
        <v>382</v>
      </c>
      <c r="N49" t="s">
        <v>385</v>
      </c>
      <c r="O49" s="22" t="s">
        <v>395</v>
      </c>
      <c r="P49" s="22" t="s">
        <v>382</v>
      </c>
      <c r="Q49" t="s">
        <v>385</v>
      </c>
      <c r="R49" s="22" t="s">
        <v>395</v>
      </c>
      <c r="S49" s="123" t="s">
        <v>432</v>
      </c>
      <c r="T49" s="123"/>
      <c r="U49" s="123"/>
      <c r="V49" t="s">
        <v>433</v>
      </c>
      <c r="W49" t="s">
        <v>434</v>
      </c>
      <c r="X49" t="s">
        <v>435</v>
      </c>
      <c r="Y49" t="s">
        <v>438</v>
      </c>
    </row>
    <row r="50" spans="1:28" x14ac:dyDescent="0.25">
      <c r="C50">
        <v>0.01</v>
      </c>
      <c r="D50">
        <v>0.5</v>
      </c>
      <c r="E50">
        <v>0.99</v>
      </c>
      <c r="F50">
        <v>0.01</v>
      </c>
      <c r="G50">
        <v>0.5</v>
      </c>
      <c r="H50">
        <v>0.99</v>
      </c>
      <c r="M50" s="22" t="s">
        <v>10</v>
      </c>
      <c r="N50" t="s">
        <v>10</v>
      </c>
      <c r="O50" s="22" t="s">
        <v>10</v>
      </c>
      <c r="P50" t="s">
        <v>7</v>
      </c>
      <c r="Q50" t="s">
        <v>7</v>
      </c>
      <c r="R50" t="s">
        <v>7</v>
      </c>
      <c r="S50">
        <v>0.01</v>
      </c>
      <c r="T50">
        <v>0.5</v>
      </c>
      <c r="U50">
        <v>0.99</v>
      </c>
      <c r="V50" t="s">
        <v>8</v>
      </c>
      <c r="W50" t="s">
        <v>8</v>
      </c>
      <c r="X50" t="s">
        <v>8</v>
      </c>
      <c r="Y50" t="s">
        <v>73</v>
      </c>
      <c r="Z50" t="s">
        <v>396</v>
      </c>
    </row>
    <row r="51" spans="1:28" x14ac:dyDescent="0.25">
      <c r="A51" s="22" t="s">
        <v>142</v>
      </c>
      <c r="B51" t="s">
        <v>7</v>
      </c>
      <c r="C51" s="1">
        <f t="shared" ref="C51:H59" si="37">C4</f>
        <v>22478779447271.242</v>
      </c>
      <c r="D51" s="1">
        <f t="shared" si="37"/>
        <v>22590032413200.258</v>
      </c>
      <c r="E51" s="1">
        <f t="shared" si="37"/>
        <v>22700950670784.012</v>
      </c>
      <c r="F51" s="1">
        <f t="shared" si="37"/>
        <v>3465771154192.458</v>
      </c>
      <c r="G51" s="1">
        <f t="shared" si="37"/>
        <v>7345582630063.0859</v>
      </c>
      <c r="H51" s="1">
        <f t="shared" si="37"/>
        <v>11211781661380.92</v>
      </c>
      <c r="M51" s="57">
        <v>0.9</v>
      </c>
      <c r="N51" s="70">
        <f t="shared" ref="N51:N56" si="38">1-M51-O51</f>
        <v>1.5988025637323267E-2</v>
      </c>
      <c r="O51" s="57">
        <f>O34</f>
        <v>8.4011974362676711E-2</v>
      </c>
      <c r="P51" s="1">
        <f>M51*F51</f>
        <v>3119194038773.2124</v>
      </c>
      <c r="Q51" s="1">
        <f t="shared" ref="Q51:Q57" si="39">N51*F51</f>
        <v>55410838066.324463</v>
      </c>
      <c r="R51" s="1">
        <f t="shared" ref="R51:R57" si="40">O51*F51</f>
        <v>291166277352.92126</v>
      </c>
      <c r="S51">
        <f t="shared" ref="S51:U56" si="41">S4</f>
        <v>688581095338275.25</v>
      </c>
      <c r="T51">
        <f t="shared" si="41"/>
        <v>1464182629538661</v>
      </c>
      <c r="U51">
        <f t="shared" si="41"/>
        <v>2271334471779111</v>
      </c>
      <c r="V51">
        <f t="shared" ref="V51:V59" si="42">S51*M51</f>
        <v>619722985804447.75</v>
      </c>
      <c r="W51">
        <f t="shared" ref="W51:W59" si="43">S51*N51</f>
        <v>11009052205644.48</v>
      </c>
      <c r="X51">
        <f t="shared" ref="X51:X59" si="44">S51*O51</f>
        <v>57849057328183.031</v>
      </c>
      <c r="Y51" s="65">
        <f t="shared" ref="Y51:Y57" si="45">V51/P51</f>
        <v>198.6804854398178</v>
      </c>
      <c r="AA51" s="65"/>
      <c r="AB51" s="65"/>
    </row>
    <row r="52" spans="1:28" x14ac:dyDescent="0.25">
      <c r="A52" s="22" t="s">
        <v>143</v>
      </c>
      <c r="B52" t="s">
        <v>7</v>
      </c>
      <c r="C52" s="1">
        <f t="shared" si="37"/>
        <v>16956171765602.277</v>
      </c>
      <c r="D52" s="1">
        <f t="shared" si="37"/>
        <v>17039919839797.207</v>
      </c>
      <c r="E52" s="1">
        <f t="shared" si="37"/>
        <v>17124172511303.195</v>
      </c>
      <c r="F52" s="1">
        <f t="shared" si="37"/>
        <v>8570906249199.5781</v>
      </c>
      <c r="G52" s="1">
        <f t="shared" si="37"/>
        <v>11082178126594.793</v>
      </c>
      <c r="H52" s="1">
        <f t="shared" si="37"/>
        <v>13579882905574.346</v>
      </c>
      <c r="L52">
        <v>1.5</v>
      </c>
      <c r="M52" s="57">
        <f>M35*L52</f>
        <v>0.63987399238116383</v>
      </c>
      <c r="N52" s="70">
        <f t="shared" si="38"/>
        <v>0.27611403325615946</v>
      </c>
      <c r="O52" s="57">
        <f t="shared" ref="O52:O56" si="46">O35</f>
        <v>8.4011974362676711E-2</v>
      </c>
      <c r="P52" s="1">
        <f t="shared" ref="P52:P57" si="47">M52*F52</f>
        <v>5484300000000</v>
      </c>
      <c r="Q52" s="1">
        <f t="shared" si="39"/>
        <v>2366547493126.9175</v>
      </c>
      <c r="R52" s="1">
        <f t="shared" si="40"/>
        <v>720058756072.66052</v>
      </c>
      <c r="S52">
        <f t="shared" si="41"/>
        <v>1309807804513675</v>
      </c>
      <c r="T52">
        <f t="shared" si="41"/>
        <v>1720431518877073.8</v>
      </c>
      <c r="U52">
        <f t="shared" si="41"/>
        <v>2158812158229980</v>
      </c>
      <c r="V52">
        <f t="shared" si="42"/>
        <v>838111949126172.25</v>
      </c>
      <c r="W52">
        <f t="shared" si="43"/>
        <v>361656315694666.06</v>
      </c>
      <c r="X52">
        <f t="shared" si="44"/>
        <v>110039539692836.73</v>
      </c>
      <c r="Y52" s="65">
        <f t="shared" si="45"/>
        <v>152.82022302320667</v>
      </c>
      <c r="AA52" s="65"/>
      <c r="AB52" s="65"/>
    </row>
    <row r="53" spans="1:28" x14ac:dyDescent="0.25">
      <c r="A53" s="22" t="s">
        <v>144</v>
      </c>
      <c r="B53" t="s">
        <v>7</v>
      </c>
      <c r="C53" s="1">
        <f t="shared" si="37"/>
        <v>15573376539577.646</v>
      </c>
      <c r="D53" s="1">
        <f t="shared" si="37"/>
        <v>15650128560805.043</v>
      </c>
      <c r="E53" s="1">
        <f t="shared" si="37"/>
        <v>15727274734127.025</v>
      </c>
      <c r="F53" s="1">
        <f t="shared" si="37"/>
        <v>2401578945699.1055</v>
      </c>
      <c r="G53" s="1">
        <f t="shared" si="37"/>
        <v>5089283044099.1826</v>
      </c>
      <c r="H53" s="1">
        <f t="shared" si="37"/>
        <v>7768726281333.2949</v>
      </c>
      <c r="L53">
        <v>1.5</v>
      </c>
      <c r="M53" s="57">
        <f>M36*L53</f>
        <v>0.53510629009362187</v>
      </c>
      <c r="N53" s="70">
        <f t="shared" si="38"/>
        <v>0.38088173554370142</v>
      </c>
      <c r="O53" s="57">
        <f t="shared" si="46"/>
        <v>8.4011974362676711E-2</v>
      </c>
      <c r="P53" s="1">
        <f t="shared" si="47"/>
        <v>1285100000000</v>
      </c>
      <c r="Q53" s="1">
        <f t="shared" si="39"/>
        <v>914717556883.08801</v>
      </c>
      <c r="R53" s="1">
        <f t="shared" si="40"/>
        <v>201761388816.01743</v>
      </c>
      <c r="S53">
        <f t="shared" si="41"/>
        <v>276230395506667.13</v>
      </c>
      <c r="T53">
        <f t="shared" si="41"/>
        <v>586982180398424.5</v>
      </c>
      <c r="U53">
        <f t="shared" si="41"/>
        <v>912236649508936.88</v>
      </c>
      <c r="V53">
        <f t="shared" si="42"/>
        <v>147812622150666.53</v>
      </c>
      <c r="W53">
        <f t="shared" si="43"/>
        <v>105211112450502.44</v>
      </c>
      <c r="X53">
        <f t="shared" si="44"/>
        <v>23206660905498.168</v>
      </c>
      <c r="Y53" s="65">
        <f t="shared" si="45"/>
        <v>115.02032694005644</v>
      </c>
      <c r="AA53" s="65"/>
      <c r="AB53" s="65"/>
    </row>
    <row r="54" spans="1:28" x14ac:dyDescent="0.25">
      <c r="A54" s="22" t="s">
        <v>145</v>
      </c>
      <c r="B54" t="s">
        <v>7</v>
      </c>
      <c r="C54" s="1">
        <f t="shared" si="37"/>
        <v>18985134295151.742</v>
      </c>
      <c r="D54" s="1">
        <f t="shared" si="37"/>
        <v>19078647589517.867</v>
      </c>
      <c r="E54" s="1">
        <f t="shared" si="37"/>
        <v>19173160541085.473</v>
      </c>
      <c r="F54" s="1">
        <f t="shared" si="37"/>
        <v>9492567147575.8711</v>
      </c>
      <c r="G54" s="1">
        <f t="shared" si="37"/>
        <v>9539323794758.9336</v>
      </c>
      <c r="H54" s="1">
        <f t="shared" si="37"/>
        <v>9586580270542.7363</v>
      </c>
      <c r="L54">
        <v>1.25</v>
      </c>
      <c r="M54" s="57">
        <f>M37*L54</f>
        <v>0.47986667840742381</v>
      </c>
      <c r="N54" s="70">
        <f t="shared" si="38"/>
        <v>0.43612134722989948</v>
      </c>
      <c r="O54" s="57">
        <f t="shared" si="46"/>
        <v>8.4011974362676711E-2</v>
      </c>
      <c r="P54" s="1">
        <f t="shared" si="47"/>
        <v>4555166666666.667</v>
      </c>
      <c r="Q54" s="1">
        <f t="shared" si="39"/>
        <v>4139911173071.0728</v>
      </c>
      <c r="R54" s="1">
        <f t="shared" si="40"/>
        <v>797489307838.13123</v>
      </c>
      <c r="S54">
        <f t="shared" si="41"/>
        <v>1761935829919898.8</v>
      </c>
      <c r="T54">
        <f t="shared" si="41"/>
        <v>1878655552482332</v>
      </c>
      <c r="U54">
        <f t="shared" si="41"/>
        <v>1995773299546639</v>
      </c>
      <c r="V54">
        <f t="shared" si="42"/>
        <v>845494294270689.38</v>
      </c>
      <c r="W54">
        <f t="shared" si="43"/>
        <v>768417827877297.25</v>
      </c>
      <c r="X54">
        <f t="shared" si="44"/>
        <v>148023707771912.06</v>
      </c>
      <c r="Y54" s="65">
        <f t="shared" si="45"/>
        <v>185.61215343837165</v>
      </c>
      <c r="AA54" s="65"/>
      <c r="AB54" s="65"/>
    </row>
    <row r="55" spans="1:28" x14ac:dyDescent="0.25">
      <c r="A55" s="22" t="s">
        <v>146</v>
      </c>
      <c r="B55" t="s">
        <v>7</v>
      </c>
      <c r="C55" s="1">
        <f t="shared" si="37"/>
        <v>14051290976119</v>
      </c>
      <c r="D55" s="1">
        <f t="shared" si="37"/>
        <v>14120563090915.52</v>
      </c>
      <c r="E55" s="1">
        <f t="shared" si="37"/>
        <v>14191008485963.783</v>
      </c>
      <c r="F55" s="1">
        <f t="shared" si="37"/>
        <v>7025645488059.5</v>
      </c>
      <c r="G55" s="1">
        <f t="shared" si="37"/>
        <v>7060281545457.7598</v>
      </c>
      <c r="H55" s="1">
        <f t="shared" si="37"/>
        <v>7095504242981.8916</v>
      </c>
      <c r="L55">
        <v>1.25</v>
      </c>
      <c r="M55" s="57">
        <f>M38*L55</f>
        <v>0.58824962636633582</v>
      </c>
      <c r="N55" s="70">
        <f t="shared" si="38"/>
        <v>0.32773839927098747</v>
      </c>
      <c r="O55" s="57">
        <f t="shared" si="46"/>
        <v>8.4011974362676711E-2</v>
      </c>
      <c r="P55" s="1">
        <f t="shared" si="47"/>
        <v>4132833333333.334</v>
      </c>
      <c r="Q55" s="1">
        <f t="shared" si="39"/>
        <v>2302573806102.0562</v>
      </c>
      <c r="R55" s="1">
        <f t="shared" si="40"/>
        <v>590238348624.10999</v>
      </c>
      <c r="S55">
        <f t="shared" si="41"/>
        <v>1205557588864931.3</v>
      </c>
      <c r="T55">
        <f t="shared" si="41"/>
        <v>1285427279747415</v>
      </c>
      <c r="U55">
        <f t="shared" si="41"/>
        <v>1365432539230531.5</v>
      </c>
      <c r="V55">
        <f t="shared" si="42"/>
        <v>709168801212896.5</v>
      </c>
      <c r="W55">
        <f t="shared" si="43"/>
        <v>395107514403583.81</v>
      </c>
      <c r="X55">
        <f t="shared" si="44"/>
        <v>101281273248450.95</v>
      </c>
      <c r="Y55" s="65">
        <f t="shared" si="45"/>
        <v>171.59385438873164</v>
      </c>
      <c r="AA55" s="65"/>
      <c r="AB55" s="65"/>
    </row>
    <row r="56" spans="1:28" x14ac:dyDescent="0.25">
      <c r="A56" s="22" t="s">
        <v>147</v>
      </c>
      <c r="B56" t="s">
        <v>7</v>
      </c>
      <c r="C56" s="1">
        <f t="shared" si="37"/>
        <v>24503314654950.715</v>
      </c>
      <c r="D56" s="1">
        <f t="shared" si="37"/>
        <v>24624427007350.023</v>
      </c>
      <c r="E56" s="1">
        <f t="shared" si="37"/>
        <v>24745836624082.383</v>
      </c>
      <c r="F56" s="1">
        <f t="shared" si="37"/>
        <v>12251657327475.357</v>
      </c>
      <c r="G56" s="1">
        <f t="shared" si="37"/>
        <v>12312213503675.012</v>
      </c>
      <c r="H56" s="1">
        <f t="shared" si="37"/>
        <v>12372918312041.191</v>
      </c>
      <c r="L56">
        <v>1.25</v>
      </c>
      <c r="M56" s="57">
        <f>M39*L56</f>
        <v>0.24376293918231995</v>
      </c>
      <c r="N56" s="70">
        <f t="shared" si="38"/>
        <v>0.67222508645500334</v>
      </c>
      <c r="O56" s="57">
        <f t="shared" si="46"/>
        <v>8.4011974362676711E-2</v>
      </c>
      <c r="P56" s="1">
        <f t="shared" si="47"/>
        <v>2986500000000</v>
      </c>
      <c r="Q56" s="1">
        <f t="shared" si="39"/>
        <v>8235871406179.1973</v>
      </c>
      <c r="R56" s="1">
        <f t="shared" si="40"/>
        <v>1029285921296.16</v>
      </c>
      <c r="S56">
        <f t="shared" si="41"/>
        <v>2058860635019441.5</v>
      </c>
      <c r="T56">
        <f t="shared" si="41"/>
        <v>2194967583047297.5</v>
      </c>
      <c r="U56">
        <f t="shared" si="41"/>
        <v>2331683934544445.5</v>
      </c>
      <c r="V56">
        <f t="shared" si="42"/>
        <v>501873919759116.75</v>
      </c>
      <c r="W56">
        <f t="shared" si="43"/>
        <v>1384017768374747.3</v>
      </c>
      <c r="X56">
        <f t="shared" si="44"/>
        <v>172968946885577.63</v>
      </c>
      <c r="Y56" s="65">
        <f t="shared" si="45"/>
        <v>168.04752042829961</v>
      </c>
      <c r="AA56" s="65"/>
      <c r="AB56" s="65"/>
    </row>
    <row r="57" spans="1:28" x14ac:dyDescent="0.25">
      <c r="A57" s="22" t="s">
        <v>148</v>
      </c>
      <c r="B57" t="s">
        <v>7</v>
      </c>
      <c r="C57" s="1">
        <f t="shared" si="37"/>
        <v>15224559761624.273</v>
      </c>
      <c r="D57" s="1">
        <f t="shared" si="37"/>
        <v>15299946684750.926</v>
      </c>
      <c r="E57" s="1">
        <f t="shared" si="37"/>
        <v>15375712822992.973</v>
      </c>
      <c r="F57" s="1">
        <f t="shared" si="37"/>
        <v>7612279880812.1367</v>
      </c>
      <c r="G57" s="1">
        <f t="shared" si="37"/>
        <v>7649973342375.4629</v>
      </c>
      <c r="H57" s="1">
        <f t="shared" si="37"/>
        <v>7687856411496.4863</v>
      </c>
      <c r="I57" s="1">
        <f>I40</f>
        <v>156866666666.66669</v>
      </c>
      <c r="J57" s="1">
        <f>J10*J46</f>
        <v>1459361315817.5798</v>
      </c>
      <c r="M57" s="57">
        <f>I57/F57</f>
        <v>2.060705453855842E-2</v>
      </c>
      <c r="N57" s="57">
        <f>J57/F57</f>
        <v>0.19171146340744949</v>
      </c>
      <c r="O57" s="3">
        <f>1-M57-N57</f>
        <v>0.78768148205399213</v>
      </c>
      <c r="P57" s="1">
        <f t="shared" si="47"/>
        <v>156866666666.66669</v>
      </c>
      <c r="Q57" s="1">
        <f t="shared" si="39"/>
        <v>1459361315817.5798</v>
      </c>
      <c r="R57" s="1">
        <f t="shared" si="40"/>
        <v>5996051898327.8906</v>
      </c>
      <c r="S57">
        <f t="shared" ref="S57:U59" si="48">S10</f>
        <v>1322801234614836.5</v>
      </c>
      <c r="T57">
        <f t="shared" si="48"/>
        <v>1410442969325430</v>
      </c>
      <c r="U57">
        <f t="shared" si="48"/>
        <v>1498277659327360</v>
      </c>
      <c r="V57">
        <f t="shared" si="42"/>
        <v>27259037185380.348</v>
      </c>
      <c r="W57">
        <f t="shared" si="43"/>
        <v>253596160485191.25</v>
      </c>
      <c r="X57">
        <f t="shared" si="44"/>
        <v>1041946036944265</v>
      </c>
      <c r="Y57" s="65">
        <f t="shared" si="45"/>
        <v>173.77201775635578</v>
      </c>
      <c r="Z57" t="s">
        <v>397</v>
      </c>
      <c r="AA57" s="65"/>
      <c r="AB57" s="65"/>
    </row>
    <row r="58" spans="1:28" x14ac:dyDescent="0.25">
      <c r="A58" s="22" t="s">
        <v>149</v>
      </c>
      <c r="B58" t="s">
        <v>7</v>
      </c>
      <c r="C58" s="1">
        <f t="shared" si="37"/>
        <v>15921315241559.75</v>
      </c>
      <c r="D58" s="1">
        <f t="shared" si="37"/>
        <v>15999896872654.098</v>
      </c>
      <c r="E58" s="1">
        <f t="shared" si="37"/>
        <v>16079371836715.484</v>
      </c>
      <c r="F58" s="1">
        <f t="shared" si="37"/>
        <v>0</v>
      </c>
      <c r="G58" s="1">
        <f t="shared" si="37"/>
        <v>0</v>
      </c>
      <c r="H58" s="1">
        <f t="shared" si="37"/>
        <v>0</v>
      </c>
      <c r="M58" s="1">
        <v>0</v>
      </c>
      <c r="N58" s="1">
        <v>0</v>
      </c>
      <c r="O58" s="1">
        <v>0</v>
      </c>
      <c r="P58" s="1"/>
      <c r="Q58" s="1"/>
      <c r="R58" s="1"/>
      <c r="S58">
        <f t="shared" si="48"/>
        <v>0</v>
      </c>
      <c r="T58">
        <f t="shared" si="48"/>
        <v>0</v>
      </c>
      <c r="U58">
        <f t="shared" si="48"/>
        <v>0</v>
      </c>
      <c r="V58">
        <f t="shared" si="42"/>
        <v>0</v>
      </c>
      <c r="W58">
        <f t="shared" si="43"/>
        <v>0</v>
      </c>
      <c r="X58">
        <f t="shared" si="44"/>
        <v>0</v>
      </c>
      <c r="Y58" s="1"/>
    </row>
    <row r="59" spans="1:28" x14ac:dyDescent="0.25">
      <c r="A59" s="22" t="s">
        <v>150</v>
      </c>
      <c r="B59" t="s">
        <v>7</v>
      </c>
      <c r="C59" s="1">
        <f t="shared" si="37"/>
        <v>1311473823008.0386</v>
      </c>
      <c r="D59" s="1">
        <f t="shared" si="37"/>
        <v>1506869369043.5884</v>
      </c>
      <c r="E59" s="1">
        <f t="shared" si="37"/>
        <v>1702684729176.8804</v>
      </c>
      <c r="F59" s="1">
        <f t="shared" si="37"/>
        <v>0</v>
      </c>
      <c r="G59" s="1">
        <f t="shared" si="37"/>
        <v>0</v>
      </c>
      <c r="H59" s="1">
        <f t="shared" si="37"/>
        <v>0</v>
      </c>
      <c r="M59" s="1">
        <v>0</v>
      </c>
      <c r="N59" s="1">
        <v>0</v>
      </c>
      <c r="O59" s="1">
        <v>0</v>
      </c>
      <c r="P59" s="1"/>
      <c r="Q59" s="1"/>
      <c r="R59" s="1"/>
      <c r="S59">
        <f t="shared" si="48"/>
        <v>0</v>
      </c>
      <c r="T59">
        <f t="shared" si="48"/>
        <v>0</v>
      </c>
      <c r="U59">
        <f t="shared" si="48"/>
        <v>0</v>
      </c>
      <c r="V59">
        <f t="shared" si="42"/>
        <v>0</v>
      </c>
      <c r="W59">
        <f t="shared" si="43"/>
        <v>0</v>
      </c>
      <c r="X59">
        <f t="shared" si="44"/>
        <v>0</v>
      </c>
      <c r="Y59" s="1"/>
    </row>
    <row r="60" spans="1:28" x14ac:dyDescent="0.25">
      <c r="M60" s="22"/>
      <c r="O60" s="22"/>
    </row>
    <row r="61" spans="1:28" s="61" customFormat="1" x14ac:dyDescent="0.25">
      <c r="A61" s="60" t="s">
        <v>436</v>
      </c>
      <c r="B61" s="61" t="s">
        <v>7</v>
      </c>
      <c r="C61" s="62">
        <f>SUM(C51:C56)</f>
        <v>112548067678672.63</v>
      </c>
      <c r="D61" s="62"/>
      <c r="E61" s="62"/>
      <c r="F61" s="62">
        <f>SUM(F51:F56)</f>
        <v>43208126312201.867</v>
      </c>
      <c r="G61" s="62"/>
      <c r="H61" s="62"/>
      <c r="I61" s="60"/>
      <c r="K61" s="60"/>
      <c r="M61" s="63">
        <f>P61/F61</f>
        <v>0.49905181916402258</v>
      </c>
      <c r="N61" s="63">
        <f>Q61/F61</f>
        <v>0.41693620647330076</v>
      </c>
      <c r="O61" s="64">
        <f>R61/F61</f>
        <v>8.4011974362676711E-2</v>
      </c>
      <c r="P61" s="62">
        <f>SUM(P51:P56)</f>
        <v>21563094038773.211</v>
      </c>
      <c r="Q61" s="62">
        <f>SUM(Q51:Q56)</f>
        <v>18015032273428.656</v>
      </c>
      <c r="R61" s="62">
        <f>SUM(R51:R56)</f>
        <v>3630000000000.0005</v>
      </c>
      <c r="S61" s="62">
        <f>SUM(S51:S56)</f>
        <v>7300973349162888</v>
      </c>
      <c r="V61" s="62">
        <f>SUM(V51:V56)</f>
        <v>3662184572323989</v>
      </c>
      <c r="W61" s="62">
        <f>SUM(W51:W56)</f>
        <v>3025419591006441</v>
      </c>
      <c r="X61" s="62">
        <f>SUM(X51:X56)</f>
        <v>613369185832458.5</v>
      </c>
      <c r="Y61" s="65">
        <f>V61/P61</f>
        <v>169.83576502235306</v>
      </c>
      <c r="AA61" s="65"/>
      <c r="AB61" s="65"/>
    </row>
    <row r="62" spans="1:28" s="61" customFormat="1" x14ac:dyDescent="0.25">
      <c r="A62" s="60" t="s">
        <v>0</v>
      </c>
      <c r="B62" s="61" t="s">
        <v>7</v>
      </c>
      <c r="C62" s="62">
        <f>SUM(C51:C56)+SUM(C57:C59)</f>
        <v>145005416504864.69</v>
      </c>
      <c r="D62" s="62"/>
      <c r="E62" s="62"/>
      <c r="F62" s="62">
        <f>SUM(F51:F56)+SUM(F57:F59)</f>
        <v>50820406193014</v>
      </c>
      <c r="G62" s="62"/>
      <c r="H62" s="62"/>
      <c r="I62" s="60"/>
      <c r="K62" s="60"/>
      <c r="M62" s="63">
        <f>P62/F62</f>
        <v>0.42738660181007371</v>
      </c>
      <c r="N62" s="63">
        <f>Q62/F62</f>
        <v>0.38320027422219366</v>
      </c>
      <c r="O62" s="64">
        <f>R62/F62</f>
        <v>0.18941312396773269</v>
      </c>
      <c r="P62" s="62">
        <f>SUM(P51:P56)+SUM(P57:P59)</f>
        <v>21719960705439.879</v>
      </c>
      <c r="Q62" s="62">
        <f>SUM(Q51:Q56)+SUM(Q57:Q59)</f>
        <v>19474393589246.234</v>
      </c>
      <c r="R62" s="62">
        <f>SUM(R51:R56)+SUM(R57:R59)</f>
        <v>9626051898327.8906</v>
      </c>
      <c r="S62" s="62">
        <f>SUM(S51:S56)+SUM(S57:S59)</f>
        <v>8623774583777724</v>
      </c>
      <c r="V62" s="62">
        <f>SUM(V51:V56)+SUM(V57:V59)</f>
        <v>3689443609509369.5</v>
      </c>
      <c r="W62" s="62">
        <f>SUM(W51:W56)+SUM(W57:W59)</f>
        <v>3279015751491632</v>
      </c>
      <c r="X62" s="62">
        <f>SUM(X51:X56)+SUM(X57:X59)</f>
        <v>1655315222776723.5</v>
      </c>
      <c r="Y62" s="65">
        <f>V62/P62</f>
        <v>169.86419356575212</v>
      </c>
    </row>
    <row r="65" spans="1:25" x14ac:dyDescent="0.25">
      <c r="A65" s="60"/>
      <c r="B65" s="61"/>
      <c r="C65" s="62"/>
      <c r="D65" s="62"/>
      <c r="E65" s="62"/>
      <c r="F65" s="62"/>
      <c r="G65" s="62"/>
      <c r="H65" s="62"/>
      <c r="M65" s="22"/>
      <c r="O65" s="22"/>
      <c r="P65" s="62"/>
      <c r="Q65" s="62"/>
      <c r="R65" s="62"/>
      <c r="S65" s="62"/>
      <c r="T65" s="61"/>
      <c r="U65" s="61"/>
      <c r="V65" s="62"/>
      <c r="W65" s="62"/>
      <c r="X65" s="62"/>
      <c r="Y65" s="65"/>
    </row>
    <row r="66" spans="1:25" x14ac:dyDescent="0.25">
      <c r="A66" s="60"/>
      <c r="B66" s="61"/>
      <c r="C66" s="62"/>
      <c r="D66" s="62"/>
      <c r="E66" s="62"/>
      <c r="F66" s="62"/>
      <c r="G66" s="62"/>
      <c r="H66" s="62"/>
      <c r="M66" s="22"/>
      <c r="O66" s="22"/>
      <c r="P66" s="62"/>
      <c r="Q66" s="62"/>
      <c r="R66" s="62"/>
      <c r="S66" s="62"/>
      <c r="T66" s="61"/>
      <c r="U66" s="61"/>
      <c r="V66" s="62"/>
      <c r="W66" s="62"/>
      <c r="X66" s="62"/>
      <c r="Y66" s="65"/>
    </row>
    <row r="67" spans="1:25" x14ac:dyDescent="0.25">
      <c r="A67" s="34" t="s">
        <v>398</v>
      </c>
      <c r="B67" s="34"/>
      <c r="C67" s="34"/>
      <c r="D67" s="34"/>
      <c r="E67" s="34"/>
      <c r="F67" s="34"/>
      <c r="G67" s="34"/>
      <c r="H67" s="34"/>
      <c r="I67" s="46"/>
      <c r="J67" s="34"/>
      <c r="K67" s="46"/>
      <c r="L67" s="34"/>
      <c r="M67" s="34"/>
      <c r="N67" s="34"/>
      <c r="O67" s="34"/>
    </row>
    <row r="68" spans="1:25" x14ac:dyDescent="0.25">
      <c r="C68" t="s">
        <v>400</v>
      </c>
      <c r="D68" s="35" t="s">
        <v>2</v>
      </c>
      <c r="E68" t="s">
        <v>442</v>
      </c>
      <c r="F68" t="s">
        <v>441</v>
      </c>
    </row>
    <row r="69" spans="1:25" x14ac:dyDescent="0.25">
      <c r="A69" t="s">
        <v>401</v>
      </c>
      <c r="B69" t="s">
        <v>402</v>
      </c>
      <c r="C69">
        <v>2010</v>
      </c>
      <c r="D69">
        <v>2015</v>
      </c>
      <c r="E69">
        <v>2000</v>
      </c>
      <c r="F69">
        <v>2000</v>
      </c>
      <c r="H69" t="s">
        <v>396</v>
      </c>
    </row>
    <row r="70" spans="1:25" x14ac:dyDescent="0.25">
      <c r="A70" t="s">
        <v>399</v>
      </c>
      <c r="B70" t="s">
        <v>7</v>
      </c>
      <c r="C70" s="5">
        <v>3100000000000</v>
      </c>
      <c r="D70" s="5">
        <v>3630000000000</v>
      </c>
      <c r="E70" s="5">
        <v>3524000000000</v>
      </c>
      <c r="H70" t="s">
        <v>652</v>
      </c>
    </row>
    <row r="71" spans="1:25" x14ac:dyDescent="0.25">
      <c r="A71" t="s">
        <v>382</v>
      </c>
      <c r="B71" t="s">
        <v>7</v>
      </c>
      <c r="C71" s="5">
        <v>15300000000000</v>
      </c>
      <c r="F71" s="1">
        <f>I15</f>
        <v>15000000000000</v>
      </c>
    </row>
    <row r="72" spans="1:25" x14ac:dyDescent="0.25">
      <c r="A72" t="s">
        <v>385</v>
      </c>
      <c r="B72" t="s">
        <v>7</v>
      </c>
      <c r="C72" s="5">
        <v>33600000000000</v>
      </c>
      <c r="F72" s="1">
        <f>J15</f>
        <v>28089000000000</v>
      </c>
    </row>
    <row r="73" spans="1:25" x14ac:dyDescent="0.25">
      <c r="A73" t="s">
        <v>383</v>
      </c>
      <c r="B73" t="s">
        <v>7</v>
      </c>
      <c r="C73" s="5">
        <v>2800000000000</v>
      </c>
      <c r="H73" t="s">
        <v>653</v>
      </c>
    </row>
    <row r="74" spans="1:25" x14ac:dyDescent="0.25">
      <c r="A74" t="s">
        <v>1</v>
      </c>
      <c r="B74" t="s">
        <v>7</v>
      </c>
      <c r="C74" s="1">
        <f>C71+C72+C73</f>
        <v>51700000000000</v>
      </c>
      <c r="D74" s="5">
        <v>48626000000000</v>
      </c>
    </row>
    <row r="76" spans="1:25" x14ac:dyDescent="0.25">
      <c r="I76" s="22" t="s">
        <v>663</v>
      </c>
      <c r="J76" t="s">
        <v>253</v>
      </c>
      <c r="K76" s="22" t="s">
        <v>255</v>
      </c>
    </row>
    <row r="77" spans="1:25" x14ac:dyDescent="0.25">
      <c r="A77" t="s">
        <v>403</v>
      </c>
      <c r="C77">
        <v>2000</v>
      </c>
      <c r="D77">
        <v>2010</v>
      </c>
      <c r="E77" t="s">
        <v>384</v>
      </c>
      <c r="F77" t="s">
        <v>651</v>
      </c>
      <c r="G77" t="s">
        <v>657</v>
      </c>
      <c r="H77" t="s">
        <v>655</v>
      </c>
      <c r="I77" s="22">
        <v>2015</v>
      </c>
      <c r="J77" s="22">
        <v>2015</v>
      </c>
      <c r="K77">
        <v>2015</v>
      </c>
    </row>
    <row r="78" spans="1:25" x14ac:dyDescent="0.25">
      <c r="A78" t="s">
        <v>399</v>
      </c>
      <c r="B78" t="s">
        <v>7</v>
      </c>
      <c r="C78" s="1">
        <f>E70</f>
        <v>3524000000000</v>
      </c>
      <c r="D78" s="1">
        <f>D70</f>
        <v>3630000000000</v>
      </c>
      <c r="F78" s="1">
        <f>R15</f>
        <v>3842085071207.2036</v>
      </c>
      <c r="G78" s="1">
        <f>R45</f>
        <v>9626051898327.8906</v>
      </c>
      <c r="H78" s="1">
        <f>R62</f>
        <v>9626051898327.8906</v>
      </c>
      <c r="I78" s="1">
        <v>3627647058823.5293</v>
      </c>
      <c r="J78" s="1">
        <v>3627647058823.5293</v>
      </c>
      <c r="K78" s="1">
        <v>3627647058823.5293</v>
      </c>
    </row>
    <row r="79" spans="1:25" x14ac:dyDescent="0.25">
      <c r="A79" t="s">
        <v>382</v>
      </c>
      <c r="B79" t="s">
        <v>7</v>
      </c>
      <c r="C79" s="1">
        <f>F71</f>
        <v>15000000000000</v>
      </c>
      <c r="D79" s="1">
        <f>C71+C73</f>
        <v>18100000000000</v>
      </c>
      <c r="F79" s="1">
        <f>P15</f>
        <v>15524380639698.361</v>
      </c>
      <c r="G79" s="1">
        <f>P45</f>
        <v>17128594038773.213</v>
      </c>
      <c r="H79" s="1">
        <f>P62</f>
        <v>21719960705439.879</v>
      </c>
      <c r="I79" s="1">
        <f>15900000000000+2900000000000</f>
        <v>18800000000000</v>
      </c>
      <c r="J79" s="1">
        <f>15900000000000+2900000000000</f>
        <v>18800000000000</v>
      </c>
      <c r="K79">
        <f>18900000000000+2900000000000</f>
        <v>21800000000000</v>
      </c>
    </row>
    <row r="80" spans="1:25" x14ac:dyDescent="0.25">
      <c r="A80" t="s">
        <v>385</v>
      </c>
      <c r="B80" t="s">
        <v>7</v>
      </c>
      <c r="C80" s="1">
        <f>F72</f>
        <v>28089000000000</v>
      </c>
      <c r="D80" s="1">
        <f>C72</f>
        <v>33600000000000</v>
      </c>
      <c r="F80" s="1">
        <f>Q15</f>
        <v>31453940482108.441</v>
      </c>
      <c r="G80" s="1">
        <f>Q45</f>
        <v>24065760255912.898</v>
      </c>
      <c r="H80" s="1">
        <f>Q62</f>
        <v>19474393589246.234</v>
      </c>
      <c r="I80" s="1">
        <v>48000000000000</v>
      </c>
      <c r="J80" s="1">
        <v>38800000000000</v>
      </c>
      <c r="K80" s="1">
        <v>61900000000000</v>
      </c>
    </row>
    <row r="81" spans="1:11" x14ac:dyDescent="0.25">
      <c r="A81" s="22" t="s">
        <v>142</v>
      </c>
      <c r="B81" t="s">
        <v>7</v>
      </c>
      <c r="E81" s="1">
        <f t="shared" ref="E81:E87" si="49">F4</f>
        <v>3465771154192.458</v>
      </c>
      <c r="I81" s="1"/>
      <c r="J81" s="22"/>
      <c r="K81"/>
    </row>
    <row r="82" spans="1:11" x14ac:dyDescent="0.25">
      <c r="A82" s="22" t="s">
        <v>143</v>
      </c>
      <c r="B82" t="s">
        <v>7</v>
      </c>
      <c r="E82" s="1">
        <f t="shared" si="49"/>
        <v>8570906249199.5781</v>
      </c>
      <c r="I82" s="1"/>
      <c r="J82" s="22"/>
      <c r="K82"/>
    </row>
    <row r="83" spans="1:11" x14ac:dyDescent="0.25">
      <c r="A83" s="22" t="s">
        <v>144</v>
      </c>
      <c r="B83" t="s">
        <v>7</v>
      </c>
      <c r="E83" s="1">
        <f t="shared" si="49"/>
        <v>2401578945699.1055</v>
      </c>
      <c r="I83" s="1"/>
      <c r="J83" s="22"/>
      <c r="K83"/>
    </row>
    <row r="84" spans="1:11" x14ac:dyDescent="0.25">
      <c r="A84" s="22" t="s">
        <v>145</v>
      </c>
      <c r="B84" t="s">
        <v>7</v>
      </c>
      <c r="E84" s="1">
        <f t="shared" si="49"/>
        <v>9492567147575.8711</v>
      </c>
      <c r="I84" s="1"/>
      <c r="J84" s="22"/>
      <c r="K84"/>
    </row>
    <row r="85" spans="1:11" x14ac:dyDescent="0.25">
      <c r="A85" s="22" t="s">
        <v>146</v>
      </c>
      <c r="B85" t="s">
        <v>7</v>
      </c>
      <c r="E85" s="1">
        <f t="shared" si="49"/>
        <v>7025645488059.5</v>
      </c>
      <c r="I85" s="1"/>
      <c r="J85" s="22"/>
      <c r="K85"/>
    </row>
    <row r="86" spans="1:11" x14ac:dyDescent="0.25">
      <c r="A86" s="22" t="s">
        <v>147</v>
      </c>
      <c r="B86" t="s">
        <v>7</v>
      </c>
      <c r="E86" s="1">
        <f t="shared" si="49"/>
        <v>12251657327475.357</v>
      </c>
      <c r="I86" s="1"/>
      <c r="J86" s="22"/>
      <c r="K86"/>
    </row>
    <row r="87" spans="1:11" x14ac:dyDescent="0.25">
      <c r="A87" s="22" t="s">
        <v>148</v>
      </c>
      <c r="B87" t="s">
        <v>7</v>
      </c>
      <c r="E87" s="1">
        <f t="shared" si="49"/>
        <v>7612279880812.1367</v>
      </c>
      <c r="I87" s="1"/>
      <c r="J87" s="22"/>
      <c r="K87"/>
    </row>
    <row r="88" spans="1:11" x14ac:dyDescent="0.25">
      <c r="A88" s="22"/>
      <c r="E88" s="1"/>
      <c r="I88" s="1">
        <f>SUM(I78:I80)</f>
        <v>70427647058823.531</v>
      </c>
      <c r="J88" s="1">
        <f t="shared" ref="J88:K88" si="50">SUM(J78:J80)</f>
        <v>61227647058823.531</v>
      </c>
      <c r="K88" s="1">
        <f t="shared" si="50"/>
        <v>87327647058823.531</v>
      </c>
    </row>
    <row r="89" spans="1:11" x14ac:dyDescent="0.25">
      <c r="A89" s="22"/>
    </row>
  </sheetData>
  <mergeCells count="9">
    <mergeCell ref="C32:E32"/>
    <mergeCell ref="F32:H32"/>
    <mergeCell ref="S49:U49"/>
    <mergeCell ref="C1:E1"/>
    <mergeCell ref="F1:H1"/>
    <mergeCell ref="C49:E49"/>
    <mergeCell ref="F49:H49"/>
    <mergeCell ref="S1:U1"/>
    <mergeCell ref="S32:U32"/>
  </mergeCells>
  <hyperlinks>
    <hyperlink ref="D68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6" sqref="Q26:W34"/>
    </sheetView>
  </sheetViews>
  <sheetFormatPr baseColWidth="10" defaultRowHeight="15" x14ac:dyDescent="0.25"/>
  <cols>
    <col min="1" max="1" width="54.140625" bestFit="1" customWidth="1"/>
    <col min="3" max="3" width="8.42578125" customWidth="1"/>
    <col min="4" max="4" width="7.5703125" customWidth="1"/>
    <col min="5" max="7" width="12" bestFit="1" customWidth="1"/>
    <col min="8" max="8" width="11.5703125" style="22" bestFit="1" customWidth="1"/>
    <col min="9" max="9" width="11.7109375" customWidth="1"/>
  </cols>
  <sheetData>
    <row r="1" spans="1:9" x14ac:dyDescent="0.25">
      <c r="A1" s="85" t="s">
        <v>452</v>
      </c>
      <c r="E1" t="s">
        <v>323</v>
      </c>
      <c r="F1" t="s">
        <v>331</v>
      </c>
      <c r="G1" t="s">
        <v>80</v>
      </c>
    </row>
    <row r="2" spans="1:9" x14ac:dyDescent="0.25">
      <c r="B2" t="s">
        <v>36</v>
      </c>
      <c r="C2" t="s">
        <v>220</v>
      </c>
      <c r="D2" t="s">
        <v>221</v>
      </c>
      <c r="E2" t="s">
        <v>253</v>
      </c>
      <c r="F2" t="s">
        <v>254</v>
      </c>
      <c r="G2" t="s">
        <v>255</v>
      </c>
      <c r="H2" s="22" t="s">
        <v>256</v>
      </c>
      <c r="I2" t="s">
        <v>4</v>
      </c>
    </row>
    <row r="3" spans="1:9" x14ac:dyDescent="0.25">
      <c r="A3" s="34" t="s">
        <v>453</v>
      </c>
      <c r="B3" s="34"/>
      <c r="C3" s="34"/>
      <c r="D3" s="34"/>
      <c r="E3" s="34"/>
      <c r="F3" s="34"/>
      <c r="G3" s="34"/>
      <c r="H3" s="46"/>
      <c r="I3" s="34"/>
    </row>
    <row r="4" spans="1:9" x14ac:dyDescent="0.25">
      <c r="A4" t="s">
        <v>267</v>
      </c>
      <c r="B4" t="s">
        <v>10</v>
      </c>
      <c r="E4" s="12">
        <v>0.18</v>
      </c>
      <c r="F4" s="12">
        <f>(E4+G4)/2</f>
        <v>0.24</v>
      </c>
      <c r="G4" s="12">
        <v>0.3</v>
      </c>
      <c r="H4" s="45">
        <v>2</v>
      </c>
      <c r="I4" t="s">
        <v>310</v>
      </c>
    </row>
    <row r="5" spans="1:9" x14ac:dyDescent="0.25">
      <c r="A5" t="s">
        <v>454</v>
      </c>
      <c r="B5" t="s">
        <v>10</v>
      </c>
      <c r="E5" s="12">
        <v>0.17</v>
      </c>
      <c r="F5" s="12">
        <v>0.25</v>
      </c>
      <c r="G5" s="12">
        <v>0.4</v>
      </c>
      <c r="H5" s="45">
        <v>2</v>
      </c>
      <c r="I5" t="s">
        <v>552</v>
      </c>
    </row>
    <row r="6" spans="1:9" x14ac:dyDescent="0.25">
      <c r="A6" t="s">
        <v>455</v>
      </c>
      <c r="B6" t="s">
        <v>10</v>
      </c>
      <c r="E6" s="12">
        <v>0.94</v>
      </c>
      <c r="F6">
        <f>(E6+G6)/2</f>
        <v>0.95750000000000002</v>
      </c>
      <c r="G6" s="12">
        <v>0.97499999999999998</v>
      </c>
      <c r="H6" s="45">
        <v>5</v>
      </c>
      <c r="I6" t="s">
        <v>456</v>
      </c>
    </row>
    <row r="7" spans="1:9" x14ac:dyDescent="0.25">
      <c r="A7" t="s">
        <v>457</v>
      </c>
      <c r="B7" t="s">
        <v>10</v>
      </c>
      <c r="E7" s="12">
        <v>0.89</v>
      </c>
      <c r="F7">
        <f>(E7+G7)/2</f>
        <v>0.93500000000000005</v>
      </c>
      <c r="G7" s="12">
        <v>0.98</v>
      </c>
      <c r="H7" s="45">
        <v>5</v>
      </c>
      <c r="I7" t="s">
        <v>456</v>
      </c>
    </row>
    <row r="8" spans="1:9" x14ac:dyDescent="0.25">
      <c r="A8" t="s">
        <v>265</v>
      </c>
      <c r="B8" t="s">
        <v>10</v>
      </c>
      <c r="E8" s="12">
        <v>0.8</v>
      </c>
      <c r="F8" s="12">
        <v>0.86</v>
      </c>
      <c r="G8" s="12">
        <v>0.9</v>
      </c>
      <c r="H8" s="45">
        <v>2</v>
      </c>
      <c r="I8" t="s">
        <v>456</v>
      </c>
    </row>
    <row r="9" spans="1:9" x14ac:dyDescent="0.25">
      <c r="A9" t="s">
        <v>458</v>
      </c>
      <c r="B9" t="s">
        <v>10</v>
      </c>
      <c r="E9">
        <f>PRODUCT(E5:E8)</f>
        <v>0.11377759999999999</v>
      </c>
      <c r="F9">
        <f t="shared" ref="F9:G9" si="0">PRODUCT(F5:F8)</f>
        <v>0.19248143750000002</v>
      </c>
      <c r="G9">
        <f t="shared" si="0"/>
        <v>0.34398000000000001</v>
      </c>
    </row>
    <row r="14" spans="1:9" x14ac:dyDescent="0.25">
      <c r="A14" s="34" t="s">
        <v>459</v>
      </c>
      <c r="B14" s="34"/>
      <c r="C14" s="34"/>
      <c r="D14" s="34"/>
      <c r="E14" s="34"/>
      <c r="F14" s="34"/>
      <c r="G14" s="34"/>
      <c r="H14" s="46"/>
      <c r="I14" s="34"/>
    </row>
    <row r="15" spans="1:9" x14ac:dyDescent="0.25">
      <c r="A15" t="s">
        <v>267</v>
      </c>
      <c r="B15" t="s">
        <v>10</v>
      </c>
      <c r="E15" s="12">
        <v>0.2</v>
      </c>
      <c r="F15" s="12">
        <f>(E15+G15)/2</f>
        <v>0.5</v>
      </c>
      <c r="G15" s="12">
        <v>0.8</v>
      </c>
      <c r="H15" s="45">
        <v>2</v>
      </c>
      <c r="I15" t="s">
        <v>310</v>
      </c>
    </row>
    <row r="16" spans="1:9" x14ac:dyDescent="0.25">
      <c r="A16" t="s">
        <v>454</v>
      </c>
      <c r="B16" t="s">
        <v>10</v>
      </c>
      <c r="E16" s="12">
        <v>0.17</v>
      </c>
      <c r="F16" s="12">
        <v>0.25</v>
      </c>
      <c r="G16" s="12">
        <v>0.4</v>
      </c>
      <c r="H16" s="45">
        <v>2</v>
      </c>
      <c r="I16" t="s">
        <v>552</v>
      </c>
    </row>
    <row r="17" spans="1:23" x14ac:dyDescent="0.25">
      <c r="A17" t="s">
        <v>455</v>
      </c>
      <c r="B17" t="s">
        <v>10</v>
      </c>
      <c r="E17" s="12">
        <v>0.97399999999999998</v>
      </c>
      <c r="F17">
        <f>(E17+G17)/2</f>
        <v>0.97449999999999992</v>
      </c>
      <c r="G17" s="12">
        <v>0.97499999999999998</v>
      </c>
      <c r="H17" s="45">
        <v>5</v>
      </c>
      <c r="I17" t="s">
        <v>461</v>
      </c>
    </row>
    <row r="18" spans="1:23" x14ac:dyDescent="0.25">
      <c r="A18" t="s">
        <v>457</v>
      </c>
      <c r="B18" t="s">
        <v>10</v>
      </c>
      <c r="E18" s="12">
        <v>0.89</v>
      </c>
      <c r="F18">
        <f>(E18+G18)/2</f>
        <v>0.90500000000000003</v>
      </c>
      <c r="G18" s="12">
        <v>0.92</v>
      </c>
      <c r="H18" s="45">
        <v>5</v>
      </c>
      <c r="I18" t="s">
        <v>461</v>
      </c>
    </row>
    <row r="19" spans="1:23" x14ac:dyDescent="0.25">
      <c r="A19" t="s">
        <v>265</v>
      </c>
      <c r="B19" t="s">
        <v>10</v>
      </c>
      <c r="E19" s="12">
        <v>0.8</v>
      </c>
      <c r="F19" s="12">
        <v>0.86</v>
      </c>
      <c r="G19" s="12">
        <v>0.9</v>
      </c>
      <c r="H19" s="45">
        <v>2</v>
      </c>
      <c r="I19" t="s">
        <v>456</v>
      </c>
    </row>
    <row r="20" spans="1:23" x14ac:dyDescent="0.25">
      <c r="A20" t="s">
        <v>460</v>
      </c>
      <c r="B20" t="s">
        <v>10</v>
      </c>
      <c r="E20">
        <f>PRODUCT(E15:E19)</f>
        <v>2.3578592000000002E-2</v>
      </c>
      <c r="F20">
        <f>PRODUCT(F15:F19)</f>
        <v>9.4806668749999989E-2</v>
      </c>
      <c r="G20">
        <f>PRODUCT(G15:G19)</f>
        <v>0.25833600000000007</v>
      </c>
    </row>
    <row r="24" spans="1:23" x14ac:dyDescent="0.25">
      <c r="C24" s="121" t="s">
        <v>444</v>
      </c>
      <c r="D24" s="121"/>
      <c r="E24" s="121"/>
      <c r="F24" s="121"/>
      <c r="G24" s="121"/>
      <c r="H24" s="121"/>
      <c r="I24" s="121"/>
      <c r="J24" s="121" t="s">
        <v>445</v>
      </c>
      <c r="K24" s="121"/>
      <c r="L24" s="121"/>
      <c r="M24" s="121"/>
      <c r="N24" s="121"/>
      <c r="O24" s="121"/>
      <c r="P24" s="121"/>
      <c r="Q24" s="121" t="s">
        <v>446</v>
      </c>
      <c r="R24" s="121"/>
      <c r="S24" s="121"/>
      <c r="T24" s="121"/>
      <c r="U24" s="121"/>
      <c r="V24" s="121"/>
      <c r="W24" s="121"/>
    </row>
    <row r="25" spans="1:23" ht="15.75" thickBot="1" x14ac:dyDescent="0.3">
      <c r="A25" t="s">
        <v>443</v>
      </c>
      <c r="C25" s="2">
        <v>1.3500000000000001E-3</v>
      </c>
      <c r="D25" s="2">
        <v>0.01</v>
      </c>
      <c r="E25" s="2">
        <v>0.25</v>
      </c>
      <c r="F25" s="2">
        <v>0.5</v>
      </c>
      <c r="G25" s="2">
        <v>0.75</v>
      </c>
      <c r="H25" s="2">
        <v>0.99</v>
      </c>
      <c r="I25" s="2">
        <v>0.99865000000000004</v>
      </c>
      <c r="J25" s="2">
        <v>1.3500000000000001E-3</v>
      </c>
      <c r="K25" s="2">
        <v>0.01</v>
      </c>
      <c r="L25" s="2">
        <v>0.25</v>
      </c>
      <c r="M25" s="2">
        <v>0.5</v>
      </c>
      <c r="N25" s="2">
        <v>0.75</v>
      </c>
      <c r="O25" s="2">
        <v>0.99</v>
      </c>
      <c r="P25" s="2">
        <v>0.99865000000000004</v>
      </c>
      <c r="Q25" s="2">
        <v>1.3500000000000001E-3</v>
      </c>
      <c r="R25" s="2">
        <v>0.01</v>
      </c>
      <c r="S25" s="2">
        <v>0.25</v>
      </c>
      <c r="T25" s="2">
        <v>0.5</v>
      </c>
      <c r="U25" s="2">
        <v>0.75</v>
      </c>
      <c r="V25" s="2">
        <v>0.99</v>
      </c>
      <c r="W25" s="2">
        <v>0.99865000000000004</v>
      </c>
    </row>
    <row r="26" spans="1:23" x14ac:dyDescent="0.25">
      <c r="A26" s="22" t="s">
        <v>142</v>
      </c>
      <c r="B26">
        <v>1</v>
      </c>
      <c r="C26" s="86">
        <v>1728218750739.7676</v>
      </c>
      <c r="D26" s="87">
        <v>2070047086016.3228</v>
      </c>
      <c r="E26" s="87">
        <v>3878796091027.832</v>
      </c>
      <c r="F26" s="87">
        <v>5319454712605.7773</v>
      </c>
      <c r="G26" s="87">
        <v>6942121192411.9092</v>
      </c>
      <c r="H26" s="87">
        <v>11067558751518.789</v>
      </c>
      <c r="I26" s="88">
        <v>12486377599338.16</v>
      </c>
      <c r="J26" s="86">
        <v>1920485617769.9858</v>
      </c>
      <c r="K26" s="87">
        <v>2300342855960.3916</v>
      </c>
      <c r="L26" s="87">
        <v>4310317836727.9951</v>
      </c>
      <c r="M26" s="87">
        <v>5911251839829.4297</v>
      </c>
      <c r="N26" s="87">
        <v>7714442341941.0332</v>
      </c>
      <c r="O26" s="87">
        <v>12298840871283.16</v>
      </c>
      <c r="P26" s="88">
        <v>13875505393810.598</v>
      </c>
      <c r="Q26" s="86">
        <v>1920485617769.9858</v>
      </c>
      <c r="R26" s="87">
        <v>2300342855960.3916</v>
      </c>
      <c r="S26" s="87">
        <v>4310317836727.9951</v>
      </c>
      <c r="T26" s="87">
        <v>5911251839829.4297</v>
      </c>
      <c r="U26" s="87">
        <v>7714442341941.0332</v>
      </c>
      <c r="V26" s="87">
        <v>12298840871283.16</v>
      </c>
      <c r="W26" s="88">
        <v>13875505393810.598</v>
      </c>
    </row>
    <row r="27" spans="1:23" x14ac:dyDescent="0.25">
      <c r="A27" s="22" t="s">
        <v>143</v>
      </c>
      <c r="B27">
        <v>2</v>
      </c>
      <c r="C27" s="89">
        <v>3116932378387.6865</v>
      </c>
      <c r="D27" s="90">
        <v>3574885709034.2319</v>
      </c>
      <c r="E27" s="90">
        <v>5330651270878.3223</v>
      </c>
      <c r="F27" s="90">
        <v>6343364204132.1719</v>
      </c>
      <c r="G27" s="90">
        <v>7533526878310.5039</v>
      </c>
      <c r="H27" s="90">
        <v>10922007761739.258</v>
      </c>
      <c r="I27" s="91">
        <v>12187712966018.93</v>
      </c>
      <c r="J27" s="89">
        <v>3463695670292.2119</v>
      </c>
      <c r="K27" s="90">
        <v>3972596979654.8633</v>
      </c>
      <c r="L27" s="90">
        <v>5923694031607.375</v>
      </c>
      <c r="M27" s="90">
        <v>7049072761823.7656</v>
      </c>
      <c r="N27" s="90">
        <v>8371642776521.1279</v>
      </c>
      <c r="O27" s="90">
        <v>12137097120728.363</v>
      </c>
      <c r="P27" s="91">
        <v>13543613882634.363</v>
      </c>
      <c r="Q27" s="89">
        <v>3463695670292.2119</v>
      </c>
      <c r="R27" s="90">
        <v>3972596979654.8633</v>
      </c>
      <c r="S27" s="90">
        <v>5923694031607.375</v>
      </c>
      <c r="T27" s="90">
        <v>7049072761823.7656</v>
      </c>
      <c r="U27" s="90">
        <v>8371642776521.1279</v>
      </c>
      <c r="V27" s="90">
        <v>12137097120728.363</v>
      </c>
      <c r="W27" s="91">
        <v>13543613882634.363</v>
      </c>
    </row>
    <row r="28" spans="1:23" x14ac:dyDescent="0.25">
      <c r="A28" s="22" t="s">
        <v>144</v>
      </c>
      <c r="B28">
        <v>3</v>
      </c>
      <c r="C28" s="89">
        <v>704269975019.15491</v>
      </c>
      <c r="D28" s="90">
        <v>837177246029.11353</v>
      </c>
      <c r="E28" s="90">
        <v>1558056318954.9341</v>
      </c>
      <c r="F28" s="90">
        <v>2135676047089.7227</v>
      </c>
      <c r="G28" s="90">
        <v>2788856571945.0586</v>
      </c>
      <c r="H28" s="90">
        <v>4434697937859.9785</v>
      </c>
      <c r="I28" s="91">
        <v>5057262912784.2168</v>
      </c>
      <c r="J28" s="89">
        <v>782621041157.2937</v>
      </c>
      <c r="K28" s="90">
        <v>930314440712.42798</v>
      </c>
      <c r="L28" s="90">
        <v>1731392366242.8555</v>
      </c>
      <c r="M28" s="90">
        <v>2373273135068.1143</v>
      </c>
      <c r="N28" s="90">
        <v>3099120949909.3574</v>
      </c>
      <c r="O28" s="90">
        <v>4928064578149.4297</v>
      </c>
      <c r="P28" s="91">
        <v>5619890818292.6621</v>
      </c>
      <c r="Q28" s="89">
        <v>782621041157.2937</v>
      </c>
      <c r="R28" s="90">
        <v>930314440712.42798</v>
      </c>
      <c r="S28" s="90">
        <v>1731392366242.8555</v>
      </c>
      <c r="T28" s="90">
        <v>2373273135068.1143</v>
      </c>
      <c r="U28" s="90">
        <v>3099120949909.3574</v>
      </c>
      <c r="V28" s="90">
        <v>4928064578149.4297</v>
      </c>
      <c r="W28" s="91">
        <v>5619890818292.6621</v>
      </c>
    </row>
    <row r="29" spans="1:23" x14ac:dyDescent="0.25">
      <c r="A29" s="22" t="s">
        <v>145</v>
      </c>
      <c r="B29">
        <v>4</v>
      </c>
      <c r="C29" s="89">
        <v>3865476319594.3789</v>
      </c>
      <c r="D29" s="90">
        <v>4338870136089.3848</v>
      </c>
      <c r="E29" s="90">
        <v>6022335549002.7773</v>
      </c>
      <c r="F29" s="90">
        <v>6977901339670.459</v>
      </c>
      <c r="G29" s="90">
        <v>8091967258023.123</v>
      </c>
      <c r="H29" s="90">
        <v>10891279433534.949</v>
      </c>
      <c r="I29" s="91">
        <v>11858069645010.252</v>
      </c>
      <c r="J29" s="89">
        <v>4295516221215.5029</v>
      </c>
      <c r="K29" s="90">
        <v>4821575793090.1514</v>
      </c>
      <c r="L29" s="90">
        <v>6692329198658.4326</v>
      </c>
      <c r="M29" s="90">
        <v>7754203082982.8262</v>
      </c>
      <c r="N29" s="90">
        <v>8992210466323.7188</v>
      </c>
      <c r="O29" s="90">
        <v>12102950221009.082</v>
      </c>
      <c r="P29" s="91">
        <v>13177297259394.33</v>
      </c>
      <c r="Q29" s="89">
        <v>4295516221215.5029</v>
      </c>
      <c r="R29" s="90">
        <v>4821575793090.1514</v>
      </c>
      <c r="S29" s="90">
        <v>6692329198658.4326</v>
      </c>
      <c r="T29" s="90">
        <v>7754203082982.8262</v>
      </c>
      <c r="U29" s="90">
        <v>8992210466323.7188</v>
      </c>
      <c r="V29" s="90">
        <v>12102950221009.082</v>
      </c>
      <c r="W29" s="91">
        <v>13177297259394.33</v>
      </c>
    </row>
    <row r="30" spans="1:23" x14ac:dyDescent="0.25">
      <c r="A30" s="22" t="s">
        <v>146</v>
      </c>
      <c r="B30">
        <v>5</v>
      </c>
      <c r="C30" s="89">
        <v>2644220713136.9429</v>
      </c>
      <c r="D30" s="90">
        <v>2969093019769.335</v>
      </c>
      <c r="E30" s="90">
        <v>4120979464184.2319</v>
      </c>
      <c r="F30" s="90">
        <v>4774811241904.0332</v>
      </c>
      <c r="G30" s="90">
        <v>5535955038884.2773</v>
      </c>
      <c r="H30" s="90">
        <v>7451998954029.1426</v>
      </c>
      <c r="I30" s="91">
        <v>8108489693775.1543</v>
      </c>
      <c r="J30" s="89">
        <v>2938394139986.7734</v>
      </c>
      <c r="K30" s="90">
        <v>3299408966513.9141</v>
      </c>
      <c r="L30" s="90">
        <v>4579444464830.3672</v>
      </c>
      <c r="M30" s="90">
        <v>5306015985371.0195</v>
      </c>
      <c r="N30" s="90">
        <v>6151838144475.4082</v>
      </c>
      <c r="O30" s="90">
        <v>8281044751264.2129</v>
      </c>
      <c r="P30" s="91">
        <v>9010571047250.5938</v>
      </c>
      <c r="Q30" s="89">
        <v>2938394139986.7734</v>
      </c>
      <c r="R30" s="90">
        <v>3299408966513.9141</v>
      </c>
      <c r="S30" s="90">
        <v>4579444464830.3672</v>
      </c>
      <c r="T30" s="90">
        <v>5306015985371.0195</v>
      </c>
      <c r="U30" s="90">
        <v>6151838144475.4082</v>
      </c>
      <c r="V30" s="90">
        <v>8281044751264.2129</v>
      </c>
      <c r="W30" s="91">
        <v>9010571047250.5938</v>
      </c>
    </row>
    <row r="31" spans="1:23" x14ac:dyDescent="0.25">
      <c r="A31" s="22" t="s">
        <v>147</v>
      </c>
      <c r="B31">
        <v>6</v>
      </c>
      <c r="C31" s="89">
        <v>4516858007516.8867</v>
      </c>
      <c r="D31" s="90">
        <v>5069314749992.5762</v>
      </c>
      <c r="E31" s="90">
        <v>7036830076080.6377</v>
      </c>
      <c r="F31" s="90">
        <v>8152844856512.3594</v>
      </c>
      <c r="G31" s="90">
        <v>9454300424932.5605</v>
      </c>
      <c r="H31" s="90">
        <v>12729349150620.934</v>
      </c>
      <c r="I31" s="91">
        <v>13858137924054.561</v>
      </c>
      <c r="J31" s="89">
        <v>5019365075880.709</v>
      </c>
      <c r="K31" s="90">
        <v>5633283440040.6055</v>
      </c>
      <c r="L31" s="90">
        <v>7819687727620.9336</v>
      </c>
      <c r="M31" s="90">
        <v>9059860786801.3242</v>
      </c>
      <c r="N31" s="90">
        <v>10506105193215.602</v>
      </c>
      <c r="O31" s="90">
        <v>14145507886010.207</v>
      </c>
      <c r="P31" s="91">
        <v>15399876063621.73</v>
      </c>
      <c r="Q31" s="89">
        <v>5019365075880.709</v>
      </c>
      <c r="R31" s="90">
        <v>5633283440040.6055</v>
      </c>
      <c r="S31" s="90">
        <v>7819687727620.9336</v>
      </c>
      <c r="T31" s="90">
        <v>9059860786801.3242</v>
      </c>
      <c r="U31" s="90">
        <v>10506105193215.602</v>
      </c>
      <c r="V31" s="90">
        <v>14145507886010.207</v>
      </c>
      <c r="W31" s="91">
        <v>15399876063621.73</v>
      </c>
    </row>
    <row r="32" spans="1:23" x14ac:dyDescent="0.25">
      <c r="A32" s="22" t="s">
        <v>148</v>
      </c>
      <c r="B32">
        <v>7</v>
      </c>
      <c r="C32" s="89">
        <v>3816735387418.3789</v>
      </c>
      <c r="D32" s="90">
        <v>4695878215576.4551</v>
      </c>
      <c r="E32" s="90">
        <v>8513830701892.6777</v>
      </c>
      <c r="F32" s="90">
        <v>10675420696277.859</v>
      </c>
      <c r="G32" s="90">
        <v>13076152099937.504</v>
      </c>
      <c r="H32" s="90">
        <v>19841662355992.844</v>
      </c>
      <c r="I32" s="91">
        <v>22271547298291.297</v>
      </c>
      <c r="J32" s="89">
        <v>39766177096302.492</v>
      </c>
      <c r="K32" s="90">
        <v>48925876642863.203</v>
      </c>
      <c r="L32" s="90">
        <v>88704734568566.344</v>
      </c>
      <c r="M32" s="90">
        <v>111226120465443.63</v>
      </c>
      <c r="N32" s="90">
        <v>136239096338302.94</v>
      </c>
      <c r="O32" s="90">
        <v>206728258326324.28</v>
      </c>
      <c r="P32" s="91">
        <v>232044981947669.5</v>
      </c>
      <c r="Q32" s="89">
        <v>39766177096302.492</v>
      </c>
      <c r="R32" s="90">
        <v>48925876642863.203</v>
      </c>
      <c r="S32" s="90">
        <v>88704734568566.344</v>
      </c>
      <c r="T32" s="90">
        <v>111226120465443.63</v>
      </c>
      <c r="U32" s="90">
        <v>136239096338302.94</v>
      </c>
      <c r="V32" s="90">
        <v>206728258326324.28</v>
      </c>
      <c r="W32" s="91">
        <v>232044981947669.5</v>
      </c>
    </row>
    <row r="33" spans="1:23" x14ac:dyDescent="0.25">
      <c r="A33" s="22" t="s">
        <v>149</v>
      </c>
      <c r="B33">
        <v>8</v>
      </c>
      <c r="C33" s="89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1">
        <v>0</v>
      </c>
      <c r="J33" s="89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1">
        <v>0</v>
      </c>
      <c r="Q33" s="89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1">
        <v>0</v>
      </c>
    </row>
    <row r="34" spans="1:23" ht="15.75" thickBot="1" x14ac:dyDescent="0.3">
      <c r="A34" s="22" t="s">
        <v>150</v>
      </c>
      <c r="B34">
        <v>9</v>
      </c>
      <c r="C34" s="92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4">
        <v>0</v>
      </c>
      <c r="J34" s="92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4">
        <v>0</v>
      </c>
      <c r="Q34" s="92">
        <v>0</v>
      </c>
      <c r="R34" s="93">
        <v>0</v>
      </c>
      <c r="S34" s="93">
        <v>0</v>
      </c>
      <c r="T34" s="93">
        <v>0</v>
      </c>
      <c r="U34" s="93">
        <v>0</v>
      </c>
      <c r="V34" s="93">
        <v>0</v>
      </c>
      <c r="W34" s="94">
        <v>0</v>
      </c>
    </row>
    <row r="35" spans="1:23" x14ac:dyDescent="0.25">
      <c r="H35"/>
    </row>
    <row r="36" spans="1:23" x14ac:dyDescent="0.25">
      <c r="A36" s="22" t="s">
        <v>447</v>
      </c>
      <c r="C36">
        <f>SUM(C26:C31)</f>
        <v>16575976144394.818</v>
      </c>
      <c r="D36" s="51">
        <f t="shared" ref="D36:W36" si="1">SUM(D26:D31)</f>
        <v>18859387946930.961</v>
      </c>
      <c r="E36">
        <f t="shared" si="1"/>
        <v>27947648770128.734</v>
      </c>
      <c r="F36">
        <f t="shared" si="1"/>
        <v>33704052401914.523</v>
      </c>
      <c r="G36">
        <f t="shared" si="1"/>
        <v>40346727364507.43</v>
      </c>
      <c r="H36">
        <f t="shared" si="1"/>
        <v>57496891989303.047</v>
      </c>
      <c r="I36">
        <f t="shared" si="1"/>
        <v>63556050740981.273</v>
      </c>
      <c r="J36">
        <f t="shared" si="1"/>
        <v>18420077766302.477</v>
      </c>
      <c r="K36" s="51">
        <f t="shared" si="1"/>
        <v>20957522475972.352</v>
      </c>
      <c r="L36">
        <f t="shared" si="1"/>
        <v>31056865625687.961</v>
      </c>
      <c r="M36">
        <f t="shared" si="1"/>
        <v>37453677591876.477</v>
      </c>
      <c r="N36">
        <f t="shared" si="1"/>
        <v>44835359872386.242</v>
      </c>
      <c r="O36">
        <f t="shared" si="1"/>
        <v>63893505428444.453</v>
      </c>
      <c r="P36">
        <f t="shared" si="1"/>
        <v>70626754465004.281</v>
      </c>
      <c r="Q36">
        <f t="shared" si="1"/>
        <v>18420077766302.477</v>
      </c>
      <c r="R36" s="51">
        <f t="shared" si="1"/>
        <v>20957522475972.352</v>
      </c>
      <c r="S36">
        <f t="shared" si="1"/>
        <v>31056865625687.961</v>
      </c>
      <c r="T36">
        <f t="shared" si="1"/>
        <v>37453677591876.477</v>
      </c>
      <c r="U36">
        <f t="shared" si="1"/>
        <v>44835359872386.242</v>
      </c>
      <c r="V36">
        <f t="shared" si="1"/>
        <v>63893505428444.453</v>
      </c>
      <c r="W36">
        <f t="shared" si="1"/>
        <v>70626754465004.281</v>
      </c>
    </row>
    <row r="37" spans="1:23" x14ac:dyDescent="0.25">
      <c r="A37" s="22" t="s">
        <v>0</v>
      </c>
      <c r="C37">
        <f>SUM(C26:C34)</f>
        <v>20392711531813.195</v>
      </c>
      <c r="D37" s="51">
        <f t="shared" ref="D37:W37" si="2">SUM(D26:D34)</f>
        <v>23555266162507.414</v>
      </c>
      <c r="E37">
        <f t="shared" si="2"/>
        <v>36461479472021.414</v>
      </c>
      <c r="F37">
        <f t="shared" si="2"/>
        <v>44379473098192.383</v>
      </c>
      <c r="G37">
        <f t="shared" si="2"/>
        <v>53422879464444.938</v>
      </c>
      <c r="H37">
        <f t="shared" si="2"/>
        <v>77338554345295.891</v>
      </c>
      <c r="I37">
        <f t="shared" si="2"/>
        <v>85827598039272.563</v>
      </c>
      <c r="J37">
        <f t="shared" si="2"/>
        <v>58186254862604.969</v>
      </c>
      <c r="K37" s="51">
        <f t="shared" si="2"/>
        <v>69883399118835.555</v>
      </c>
      <c r="L37">
        <f t="shared" si="2"/>
        <v>119761600194254.31</v>
      </c>
      <c r="M37">
        <f t="shared" si="2"/>
        <v>148679798057320.09</v>
      </c>
      <c r="N37">
        <f t="shared" si="2"/>
        <v>181074456210689.19</v>
      </c>
      <c r="O37">
        <f t="shared" si="2"/>
        <v>270621763754768.75</v>
      </c>
      <c r="P37">
        <f t="shared" si="2"/>
        <v>302671736412673.75</v>
      </c>
      <c r="Q37">
        <f t="shared" si="2"/>
        <v>58186254862604.969</v>
      </c>
      <c r="R37" s="51">
        <f t="shared" si="2"/>
        <v>69883399118835.555</v>
      </c>
      <c r="S37">
        <f t="shared" si="2"/>
        <v>119761600194254.31</v>
      </c>
      <c r="T37">
        <f t="shared" si="2"/>
        <v>148679798057320.09</v>
      </c>
      <c r="U37">
        <f t="shared" si="2"/>
        <v>181074456210689.19</v>
      </c>
      <c r="V37">
        <f t="shared" si="2"/>
        <v>270621763754768.75</v>
      </c>
      <c r="W37">
        <f t="shared" si="2"/>
        <v>302671736412673.75</v>
      </c>
    </row>
  </sheetData>
  <mergeCells count="3">
    <mergeCell ref="C24:I24"/>
    <mergeCell ref="J24:P24"/>
    <mergeCell ref="Q24:W24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baseColWidth="10" defaultRowHeight="15" x14ac:dyDescent="0.25"/>
  <cols>
    <col min="1" max="1" width="42.42578125" bestFit="1" customWidth="1"/>
    <col min="2" max="2" width="7.7109375" bestFit="1" customWidth="1"/>
    <col min="3" max="3" width="11" bestFit="1" customWidth="1"/>
    <col min="4" max="4" width="11.5703125" customWidth="1"/>
    <col min="5" max="5" width="12" bestFit="1" customWidth="1"/>
    <col min="8" max="8" width="11.5703125" style="22" bestFit="1" customWidth="1"/>
    <col min="9" max="9" width="16.85546875" customWidth="1"/>
    <col min="10" max="10" width="10.140625" style="22" customWidth="1"/>
    <col min="11" max="11" width="41" bestFit="1" customWidth="1"/>
  </cols>
  <sheetData>
    <row r="1" spans="1:17" ht="24" customHeight="1" x14ac:dyDescent="0.25">
      <c r="A1" s="84" t="s">
        <v>201</v>
      </c>
      <c r="E1" t="s">
        <v>323</v>
      </c>
      <c r="G1" t="s">
        <v>80</v>
      </c>
    </row>
    <row r="2" spans="1:17" x14ac:dyDescent="0.25">
      <c r="B2" t="s">
        <v>36</v>
      </c>
      <c r="C2" t="s">
        <v>220</v>
      </c>
      <c r="D2" t="s">
        <v>221</v>
      </c>
      <c r="E2" t="s">
        <v>253</v>
      </c>
      <c r="F2" t="s">
        <v>254</v>
      </c>
      <c r="G2" t="s">
        <v>255</v>
      </c>
      <c r="H2" s="22" t="s">
        <v>256</v>
      </c>
      <c r="I2" t="s">
        <v>4</v>
      </c>
      <c r="K2" s="22"/>
    </row>
    <row r="3" spans="1:17" x14ac:dyDescent="0.25">
      <c r="A3" t="s">
        <v>202</v>
      </c>
      <c r="B3" t="s">
        <v>7</v>
      </c>
      <c r="E3" s="1">
        <f>X!C26</f>
        <v>11298421825798.742</v>
      </c>
      <c r="F3" s="1">
        <f>X!F26</f>
        <v>15247557711794.836</v>
      </c>
      <c r="G3" s="1">
        <f>X!I26</f>
        <v>19211561475493.691</v>
      </c>
      <c r="I3" s="10" t="s">
        <v>263</v>
      </c>
      <c r="K3" s="22"/>
      <c r="L3" s="1"/>
      <c r="M3" s="1"/>
      <c r="N3" s="1"/>
      <c r="O3" s="1"/>
      <c r="P3" s="1"/>
      <c r="Q3" s="1"/>
    </row>
    <row r="4" spans="1:17" x14ac:dyDescent="0.25">
      <c r="A4" t="s">
        <v>203</v>
      </c>
      <c r="B4" t="s">
        <v>7</v>
      </c>
      <c r="E4" s="1">
        <f>X!C27</f>
        <v>3413474671955.3037</v>
      </c>
      <c r="F4" s="1">
        <f>X!F27</f>
        <v>5956746881119.0576</v>
      </c>
      <c r="G4" s="1">
        <f>X!I27</f>
        <v>8520811666902.209</v>
      </c>
      <c r="I4" s="10" t="s">
        <v>263</v>
      </c>
      <c r="K4" s="22"/>
      <c r="L4" s="1"/>
      <c r="M4" s="1"/>
      <c r="N4" s="1"/>
      <c r="O4" s="1"/>
      <c r="P4" s="1"/>
      <c r="Q4" s="1"/>
    </row>
    <row r="5" spans="1:17" x14ac:dyDescent="0.25">
      <c r="A5" t="s">
        <v>204</v>
      </c>
      <c r="B5" t="s">
        <v>7</v>
      </c>
      <c r="E5" s="1">
        <f>X!C28</f>
        <v>7827548008624.6846</v>
      </c>
      <c r="F5" s="1">
        <f>X!F28</f>
        <v>10561632756182.797</v>
      </c>
      <c r="G5" s="1">
        <f>X!I28</f>
        <v>13312097169320.863</v>
      </c>
      <c r="I5" s="10" t="s">
        <v>263</v>
      </c>
      <c r="K5" s="22"/>
      <c r="L5" s="1"/>
      <c r="M5" s="1"/>
      <c r="N5" s="1"/>
      <c r="O5" s="1"/>
      <c r="P5" s="1"/>
      <c r="Q5" s="1"/>
    </row>
    <row r="6" spans="1:17" x14ac:dyDescent="0.25">
      <c r="A6" t="s">
        <v>311</v>
      </c>
      <c r="B6" t="s">
        <v>7</v>
      </c>
      <c r="E6" s="1">
        <f>SUM(E3:E5)</f>
        <v>22539444506378.73</v>
      </c>
      <c r="F6" s="1">
        <f>SUM(F3:F5)</f>
        <v>31765937349096.691</v>
      </c>
      <c r="G6" s="1">
        <f>SUM(G3:G5)</f>
        <v>41044470311716.766</v>
      </c>
      <c r="I6" s="10"/>
      <c r="K6" s="22"/>
      <c r="L6" s="1"/>
      <c r="M6" s="1"/>
      <c r="N6" s="1"/>
      <c r="O6" s="1"/>
      <c r="P6" s="1"/>
      <c r="Q6" s="1"/>
    </row>
    <row r="7" spans="1:17" x14ac:dyDescent="0.25">
      <c r="I7" s="10"/>
      <c r="K7" s="22"/>
      <c r="L7" s="1"/>
      <c r="M7" s="1"/>
      <c r="N7" s="1"/>
      <c r="O7" s="1"/>
      <c r="P7" s="1"/>
      <c r="Q7" s="1"/>
    </row>
    <row r="8" spans="1:17" x14ac:dyDescent="0.25">
      <c r="A8" t="s">
        <v>207</v>
      </c>
      <c r="B8" t="s">
        <v>10</v>
      </c>
      <c r="E8" s="12">
        <v>0.4</v>
      </c>
      <c r="F8" s="12">
        <v>0.36</v>
      </c>
      <c r="G8" s="12">
        <v>0.13</v>
      </c>
      <c r="H8" s="45">
        <v>2</v>
      </c>
      <c r="I8" t="s">
        <v>205</v>
      </c>
      <c r="K8" s="22"/>
      <c r="L8" s="1"/>
      <c r="M8" s="1"/>
      <c r="N8" s="1"/>
      <c r="O8" s="1"/>
      <c r="P8" s="1"/>
      <c r="Q8" s="1"/>
    </row>
    <row r="9" spans="1:17" x14ac:dyDescent="0.25">
      <c r="A9" t="s">
        <v>313</v>
      </c>
      <c r="B9" t="s">
        <v>10</v>
      </c>
      <c r="E9" s="31">
        <f>1-E8</f>
        <v>0.6</v>
      </c>
      <c r="F9" s="31">
        <f>1-F8</f>
        <v>0.64</v>
      </c>
      <c r="G9" s="31">
        <f>1-G8</f>
        <v>0.87</v>
      </c>
      <c r="H9" s="41">
        <v>2</v>
      </c>
      <c r="K9" s="22"/>
      <c r="L9" s="1"/>
      <c r="M9" s="1"/>
      <c r="N9" s="1"/>
      <c r="O9" s="1"/>
      <c r="P9" s="1"/>
      <c r="Q9" s="1"/>
    </row>
    <row r="10" spans="1:17" x14ac:dyDescent="0.25">
      <c r="A10" t="s">
        <v>206</v>
      </c>
      <c r="B10" t="s">
        <v>7</v>
      </c>
      <c r="E10" s="1">
        <f>E9*E6</f>
        <v>13523666703827.238</v>
      </c>
      <c r="F10" s="1">
        <f>F9*F6</f>
        <v>20330199903421.883</v>
      </c>
      <c r="G10" s="1">
        <f>G9*G6</f>
        <v>35708689171193.586</v>
      </c>
      <c r="K10" s="2"/>
      <c r="L10" s="1"/>
      <c r="M10" s="1"/>
      <c r="N10" s="1"/>
      <c r="O10" s="1"/>
      <c r="P10" s="1"/>
      <c r="Q10" s="1"/>
    </row>
    <row r="11" spans="1:17" x14ac:dyDescent="0.25">
      <c r="A11" t="s">
        <v>208</v>
      </c>
      <c r="B11" t="s">
        <v>10</v>
      </c>
      <c r="E11" s="12">
        <v>0.6</v>
      </c>
      <c r="F11" s="12">
        <v>0.8</v>
      </c>
      <c r="G11" s="12">
        <v>0.9</v>
      </c>
      <c r="H11" s="45">
        <v>2</v>
      </c>
      <c r="I11" t="s">
        <v>210</v>
      </c>
      <c r="K11" s="2"/>
      <c r="L11" s="1"/>
      <c r="M11" s="1"/>
      <c r="N11" s="1"/>
      <c r="O11" s="1"/>
      <c r="P11" s="1"/>
      <c r="Q11" s="1"/>
    </row>
    <row r="12" spans="1:17" x14ac:dyDescent="0.25">
      <c r="A12" t="s">
        <v>209</v>
      </c>
      <c r="B12" t="s">
        <v>7</v>
      </c>
      <c r="E12" s="1">
        <f>E10*E11</f>
        <v>8114200022296.3428</v>
      </c>
      <c r="F12" s="1">
        <f>F10*F11</f>
        <v>16264159922737.508</v>
      </c>
      <c r="G12" s="1">
        <f>G10*G11</f>
        <v>32137820254074.227</v>
      </c>
      <c r="K12" s="2"/>
      <c r="L12" s="1"/>
      <c r="M12" s="1"/>
      <c r="N12" s="1"/>
      <c r="O12" s="1"/>
      <c r="P12" s="1"/>
      <c r="Q12" s="1"/>
    </row>
    <row r="13" spans="1:17" x14ac:dyDescent="0.25">
      <c r="K13" s="2"/>
      <c r="L13" s="1"/>
      <c r="M13" s="1"/>
      <c r="N13" s="1"/>
      <c r="O13" s="1"/>
      <c r="P13" s="1"/>
      <c r="Q13" s="1"/>
    </row>
    <row r="14" spans="1:17" x14ac:dyDescent="0.25">
      <c r="A14" t="s">
        <v>211</v>
      </c>
      <c r="B14" t="s">
        <v>213</v>
      </c>
      <c r="E14" s="5">
        <v>1.9000000000000001E-4</v>
      </c>
      <c r="F14" s="5">
        <v>2.0900000000000001E-4</v>
      </c>
      <c r="G14" s="5">
        <v>3.5E-4</v>
      </c>
      <c r="H14" s="45">
        <v>1</v>
      </c>
      <c r="I14" t="s">
        <v>210</v>
      </c>
      <c r="K14" s="2"/>
      <c r="L14" s="1"/>
      <c r="M14" s="1"/>
      <c r="N14" s="1"/>
      <c r="O14" s="1"/>
      <c r="P14" s="1"/>
      <c r="Q14" s="1"/>
    </row>
    <row r="15" spans="1:17" x14ac:dyDescent="0.25">
      <c r="A15" t="s">
        <v>212</v>
      </c>
      <c r="B15" t="s">
        <v>10</v>
      </c>
      <c r="E15" s="44">
        <v>0.6</v>
      </c>
      <c r="F15" s="44">
        <v>0.7</v>
      </c>
      <c r="G15" s="44">
        <v>0.8</v>
      </c>
      <c r="H15" s="45">
        <v>2</v>
      </c>
      <c r="I15" t="s">
        <v>210</v>
      </c>
      <c r="K15" s="2"/>
      <c r="L15" s="1"/>
      <c r="M15" s="1"/>
      <c r="N15" s="1"/>
      <c r="O15" s="1"/>
      <c r="P15" s="1"/>
      <c r="Q15" s="1"/>
    </row>
    <row r="16" spans="1:17" x14ac:dyDescent="0.25">
      <c r="A16" t="s">
        <v>315</v>
      </c>
      <c r="B16" t="s">
        <v>10</v>
      </c>
      <c r="E16" s="44">
        <f>1-0.08</f>
        <v>0.92</v>
      </c>
      <c r="F16" s="44">
        <f>1-0.07</f>
        <v>0.92999999999999994</v>
      </c>
      <c r="G16" s="44">
        <f>1-0.06</f>
        <v>0.94</v>
      </c>
      <c r="H16" s="45">
        <v>2</v>
      </c>
      <c r="I16" t="s">
        <v>210</v>
      </c>
      <c r="K16" s="2"/>
      <c r="L16" s="1"/>
      <c r="M16" s="1"/>
      <c r="N16" s="1"/>
      <c r="O16" s="1"/>
      <c r="P16" s="1"/>
      <c r="Q16" s="1"/>
    </row>
    <row r="17" spans="1:17" x14ac:dyDescent="0.25">
      <c r="A17" t="s">
        <v>215</v>
      </c>
      <c r="B17" t="s">
        <v>216</v>
      </c>
      <c r="E17" s="1">
        <f>E14*E12*E15*(E16)</f>
        <v>851017298.33844054</v>
      </c>
      <c r="F17" s="1">
        <f>F14*F12*F15*(F16)</f>
        <v>2212885334.9277425</v>
      </c>
      <c r="G17" s="1">
        <f>G14*G12*G15*(G16)</f>
        <v>8458674290.8723354</v>
      </c>
      <c r="K17" s="2"/>
      <c r="L17" s="1"/>
      <c r="M17" s="1"/>
      <c r="N17" s="1"/>
      <c r="O17" s="1"/>
      <c r="P17" s="1"/>
      <c r="Q17" s="1"/>
    </row>
    <row r="18" spans="1:17" x14ac:dyDescent="0.25">
      <c r="A18" t="s">
        <v>269</v>
      </c>
      <c r="B18" t="s">
        <v>8</v>
      </c>
      <c r="E18" s="1">
        <f>E17*E27</f>
        <v>242870233544.07547</v>
      </c>
      <c r="F18" s="1">
        <f>F17*F27</f>
        <v>746610222083.68774</v>
      </c>
      <c r="G18" s="1">
        <f>G17*G27</f>
        <v>3862408351996.5</v>
      </c>
      <c r="K18" s="2"/>
      <c r="L18" s="1"/>
      <c r="M18" s="1"/>
      <c r="N18" s="1"/>
      <c r="O18" s="1"/>
      <c r="P18" s="1"/>
      <c r="Q18" s="1"/>
    </row>
    <row r="19" spans="1:17" x14ac:dyDescent="0.25">
      <c r="A19" t="s">
        <v>270</v>
      </c>
      <c r="B19" t="s">
        <v>8</v>
      </c>
      <c r="E19" s="1">
        <f>X_irr!C26+X_irr!C27+X_irr!C28</f>
        <v>3554129991764400.5</v>
      </c>
      <c r="F19" s="1">
        <f>X_irr!F26+X_irr!F27+X_irr!F28</f>
        <v>5186932443632399</v>
      </c>
      <c r="G19" s="1">
        <f>X_irr!I26+X_irr!I27+X_irr!I28</f>
        <v>6980060585244924</v>
      </c>
      <c r="K19" s="2"/>
      <c r="L19" s="1"/>
      <c r="M19" s="1"/>
      <c r="N19" s="1"/>
      <c r="O19" s="1"/>
      <c r="P19" s="1"/>
      <c r="Q19" s="1"/>
    </row>
    <row r="20" spans="1:17" x14ac:dyDescent="0.25">
      <c r="A20" t="s">
        <v>271</v>
      </c>
      <c r="B20" t="s">
        <v>10</v>
      </c>
      <c r="E20" s="1">
        <f>E18/E19</f>
        <v>6.8334651266794481E-5</v>
      </c>
      <c r="F20" s="1">
        <f>F18/F19</f>
        <v>1.4394061040842051E-4</v>
      </c>
      <c r="G20" s="1">
        <f>G18/G19</f>
        <v>5.5334882911492261E-4</v>
      </c>
      <c r="K20" s="2"/>
      <c r="L20" s="1"/>
      <c r="M20" s="1"/>
      <c r="N20" s="1"/>
      <c r="O20" s="1"/>
      <c r="P20" s="1"/>
      <c r="Q20" s="1"/>
    </row>
    <row r="21" spans="1:17" x14ac:dyDescent="0.25">
      <c r="A21" t="s">
        <v>214</v>
      </c>
      <c r="B21" t="s">
        <v>10</v>
      </c>
      <c r="E21" s="12">
        <v>0.1</v>
      </c>
      <c r="F21" s="12">
        <v>0.11</v>
      </c>
      <c r="G21" s="12">
        <v>0.15</v>
      </c>
      <c r="H21" s="45">
        <v>1</v>
      </c>
      <c r="I21" t="s">
        <v>345</v>
      </c>
      <c r="K21" s="2"/>
      <c r="L21" s="1"/>
      <c r="M21" s="1"/>
      <c r="N21" s="1"/>
      <c r="O21" s="1"/>
      <c r="P21" s="1"/>
      <c r="Q21" s="1"/>
    </row>
    <row r="22" spans="1:17" x14ac:dyDescent="0.25">
      <c r="A22" t="s">
        <v>217</v>
      </c>
      <c r="B22" t="s">
        <v>10</v>
      </c>
      <c r="E22" s="12">
        <v>0.5</v>
      </c>
      <c r="F22" s="12">
        <v>0.45</v>
      </c>
      <c r="G22" s="12">
        <v>0.4</v>
      </c>
      <c r="H22" s="45">
        <v>1</v>
      </c>
      <c r="I22" t="s">
        <v>210</v>
      </c>
      <c r="K22" s="2"/>
      <c r="L22" s="1"/>
      <c r="M22" s="1"/>
      <c r="N22" s="1"/>
      <c r="O22" s="1"/>
      <c r="P22" s="1"/>
      <c r="Q22" s="1"/>
    </row>
    <row r="23" spans="1:17" x14ac:dyDescent="0.25">
      <c r="A23" t="s">
        <v>218</v>
      </c>
      <c r="B23" t="s">
        <v>216</v>
      </c>
      <c r="E23" s="1">
        <f>E17*(1-E21)*(1-E22)</f>
        <v>382957784.25229824</v>
      </c>
      <c r="F23" s="1">
        <f>F17*(1-F21)*(1-F22)</f>
        <v>1083207371.44713</v>
      </c>
      <c r="G23" s="1">
        <f>G17*(1-G21)*(1-G22)</f>
        <v>4313923888.3448906</v>
      </c>
      <c r="I23" s="10"/>
      <c r="K23" s="2"/>
      <c r="L23" s="1"/>
      <c r="M23" s="1"/>
      <c r="N23" s="1"/>
      <c r="O23" s="1"/>
      <c r="P23" s="1"/>
      <c r="Q23" s="1"/>
    </row>
    <row r="24" spans="1:17" x14ac:dyDescent="0.25">
      <c r="A24" t="s">
        <v>219</v>
      </c>
      <c r="B24" t="s">
        <v>216</v>
      </c>
      <c r="E24" s="1">
        <f>E17-E23</f>
        <v>468059514.0861423</v>
      </c>
      <c r="F24" s="1">
        <f>F17-F23</f>
        <v>1129677963.4806125</v>
      </c>
      <c r="G24" s="1">
        <f>G17-G23</f>
        <v>4144750402.5274448</v>
      </c>
      <c r="I24" s="10"/>
      <c r="K24" s="2"/>
      <c r="L24" s="1"/>
      <c r="M24" s="1"/>
      <c r="N24" s="1"/>
      <c r="O24" s="1"/>
      <c r="P24" s="1"/>
      <c r="Q24" s="1"/>
    </row>
    <row r="25" spans="1:17" x14ac:dyDescent="0.25">
      <c r="A25" t="s">
        <v>222</v>
      </c>
      <c r="B25" t="s">
        <v>223</v>
      </c>
      <c r="E25" s="5">
        <v>15000000</v>
      </c>
      <c r="F25" s="5">
        <v>15200000</v>
      </c>
      <c r="G25" s="5">
        <v>18000000</v>
      </c>
      <c r="H25" s="45">
        <v>3</v>
      </c>
      <c r="I25" t="s">
        <v>224</v>
      </c>
    </row>
    <row r="26" spans="1:17" x14ac:dyDescent="0.25">
      <c r="A26" t="s">
        <v>225</v>
      </c>
      <c r="B26" t="s">
        <v>226</v>
      </c>
      <c r="E26" s="5">
        <v>600</v>
      </c>
      <c r="F26" s="5">
        <v>700</v>
      </c>
      <c r="G26" s="5">
        <v>800</v>
      </c>
      <c r="H26" s="45">
        <v>3</v>
      </c>
      <c r="I26" t="s">
        <v>227</v>
      </c>
    </row>
    <row r="27" spans="1:17" x14ac:dyDescent="0.25">
      <c r="A27" t="s">
        <v>317</v>
      </c>
      <c r="B27" t="s">
        <v>318</v>
      </c>
      <c r="E27" s="7">
        <f>E25*E26/(3600*24*365)</f>
        <v>285.38812785388126</v>
      </c>
      <c r="F27" s="7">
        <f>F25*F26/(3600*24*365)</f>
        <v>337.39218670725518</v>
      </c>
      <c r="G27" s="7">
        <f>G25*G26/(3600*24*365)</f>
        <v>456.62100456621005</v>
      </c>
      <c r="H27" s="41">
        <v>3</v>
      </c>
    </row>
    <row r="28" spans="1:17" x14ac:dyDescent="0.25">
      <c r="A28" t="s">
        <v>228</v>
      </c>
      <c r="B28" t="s">
        <v>8</v>
      </c>
      <c r="E28">
        <f>E25*E26*E24/(3600*24*365)</f>
        <v>133578628449.24152</v>
      </c>
      <c r="F28">
        <f>F25*F26*F24/(3600*24*365)</f>
        <v>381144518373.72266</v>
      </c>
      <c r="G28">
        <f>G25*G26*G24/(3600*24*365)</f>
        <v>1892580092478.2854</v>
      </c>
    </row>
    <row r="29" spans="1:17" x14ac:dyDescent="0.25">
      <c r="A29" t="s">
        <v>229</v>
      </c>
      <c r="B29" t="s">
        <v>10</v>
      </c>
      <c r="E29" s="12">
        <v>0.2</v>
      </c>
      <c r="F29" s="12">
        <v>0.35</v>
      </c>
      <c r="G29" s="12">
        <v>0.4</v>
      </c>
      <c r="H29" s="45">
        <v>2</v>
      </c>
      <c r="I29" t="s">
        <v>266</v>
      </c>
    </row>
    <row r="30" spans="1:17" x14ac:dyDescent="0.25">
      <c r="A30" t="s">
        <v>230</v>
      </c>
      <c r="B30" t="s">
        <v>8</v>
      </c>
      <c r="E30" s="1">
        <f>E28*E29</f>
        <v>26715725689.848305</v>
      </c>
      <c r="F30">
        <f>F28*F29</f>
        <v>133400581430.80292</v>
      </c>
      <c r="G30">
        <f>G28*G29</f>
        <v>757032036991.31421</v>
      </c>
    </row>
    <row r="37" spans="1:9" x14ac:dyDescent="0.25">
      <c r="A37" t="s">
        <v>261</v>
      </c>
    </row>
    <row r="39" spans="1:9" x14ac:dyDescent="0.25">
      <c r="A39" t="s">
        <v>319</v>
      </c>
    </row>
    <row r="40" spans="1:9" x14ac:dyDescent="0.25">
      <c r="A40" s="22" t="s">
        <v>151</v>
      </c>
      <c r="B40" s="22" t="s">
        <v>129</v>
      </c>
      <c r="C40">
        <v>1</v>
      </c>
      <c r="D40">
        <v>2</v>
      </c>
      <c r="E40">
        <v>3</v>
      </c>
      <c r="F40">
        <v>4</v>
      </c>
      <c r="G40">
        <v>5</v>
      </c>
      <c r="H40" s="22">
        <v>6</v>
      </c>
      <c r="I40">
        <v>7</v>
      </c>
    </row>
    <row r="41" spans="1:9" x14ac:dyDescent="0.25">
      <c r="A41" s="2" t="s">
        <v>311</v>
      </c>
      <c r="B41" s="22">
        <v>1</v>
      </c>
      <c r="C41" s="32">
        <v>0</v>
      </c>
      <c r="D41" s="32"/>
      <c r="E41" s="32"/>
      <c r="F41" s="32"/>
      <c r="G41" s="32"/>
      <c r="H41" s="42"/>
      <c r="I41" s="32"/>
    </row>
    <row r="42" spans="1:9" x14ac:dyDescent="0.25">
      <c r="A42" t="s">
        <v>312</v>
      </c>
      <c r="B42" s="22">
        <v>2</v>
      </c>
      <c r="C42" s="33">
        <f>E9</f>
        <v>0.6</v>
      </c>
      <c r="D42" s="32">
        <v>0</v>
      </c>
      <c r="E42" s="32"/>
      <c r="F42" s="32"/>
      <c r="G42" s="32"/>
      <c r="H42" s="42"/>
      <c r="I42" s="32"/>
    </row>
    <row r="43" spans="1:9" x14ac:dyDescent="0.25">
      <c r="A43" t="s">
        <v>209</v>
      </c>
      <c r="B43" s="22">
        <v>3</v>
      </c>
      <c r="C43" s="33"/>
      <c r="D43" s="32">
        <f>E11</f>
        <v>0.6</v>
      </c>
      <c r="E43" s="32">
        <v>0</v>
      </c>
      <c r="F43" s="32"/>
      <c r="G43" s="32"/>
      <c r="H43" s="42"/>
      <c r="I43" s="32"/>
    </row>
    <row r="44" spans="1:9" x14ac:dyDescent="0.25">
      <c r="A44" s="2" t="s">
        <v>314</v>
      </c>
      <c r="B44" s="22">
        <v>4</v>
      </c>
      <c r="C44" s="32"/>
      <c r="D44" s="32"/>
      <c r="E44" s="33">
        <f>E14</f>
        <v>1.9000000000000001E-4</v>
      </c>
      <c r="F44" s="32">
        <v>0</v>
      </c>
      <c r="G44" s="32"/>
      <c r="H44" s="42"/>
      <c r="I44" s="32"/>
    </row>
    <row r="45" spans="1:9" x14ac:dyDescent="0.25">
      <c r="A45" t="s">
        <v>316</v>
      </c>
      <c r="B45" s="47">
        <v>5</v>
      </c>
      <c r="C45" s="32"/>
      <c r="D45" s="32"/>
      <c r="E45" s="32"/>
      <c r="F45" s="48">
        <f>E15</f>
        <v>0.6</v>
      </c>
      <c r="G45" s="32">
        <v>0</v>
      </c>
      <c r="H45" s="42"/>
      <c r="I45" s="32"/>
    </row>
    <row r="46" spans="1:9" x14ac:dyDescent="0.25">
      <c r="A46" t="s">
        <v>215</v>
      </c>
      <c r="B46" s="47">
        <v>6</v>
      </c>
      <c r="C46" s="32"/>
      <c r="D46" s="32"/>
      <c r="E46" s="32"/>
      <c r="F46" s="32"/>
      <c r="G46" s="48">
        <f>E16</f>
        <v>0.92</v>
      </c>
      <c r="H46" s="42">
        <v>0</v>
      </c>
      <c r="I46" s="32"/>
    </row>
    <row r="47" spans="1:9" x14ac:dyDescent="0.25">
      <c r="A47" t="s">
        <v>269</v>
      </c>
      <c r="B47" s="47">
        <v>7</v>
      </c>
      <c r="C47" s="32"/>
      <c r="D47" s="32"/>
      <c r="E47" s="32"/>
      <c r="F47" s="32"/>
      <c r="G47" s="32"/>
      <c r="H47" s="42">
        <f>E27</f>
        <v>285.38812785388126</v>
      </c>
      <c r="I47" s="32">
        <v>0</v>
      </c>
    </row>
    <row r="48" spans="1:9" x14ac:dyDescent="0.25">
      <c r="B48" s="47"/>
    </row>
    <row r="51" spans="1:9" x14ac:dyDescent="0.25">
      <c r="A51" t="s">
        <v>320</v>
      </c>
    </row>
    <row r="52" spans="1:9" x14ac:dyDescent="0.25">
      <c r="A52" s="22" t="s">
        <v>151</v>
      </c>
      <c r="B52" s="22" t="s">
        <v>129</v>
      </c>
      <c r="C52">
        <v>1</v>
      </c>
      <c r="D52">
        <v>2</v>
      </c>
      <c r="E52">
        <v>3</v>
      </c>
      <c r="F52">
        <v>4</v>
      </c>
      <c r="G52">
        <v>5</v>
      </c>
      <c r="H52" s="22">
        <v>6</v>
      </c>
      <c r="I52">
        <v>7</v>
      </c>
    </row>
    <row r="53" spans="1:9" x14ac:dyDescent="0.25">
      <c r="A53" s="2" t="s">
        <v>311</v>
      </c>
      <c r="B53" s="22">
        <v>1</v>
      </c>
      <c r="C53" s="32">
        <v>0</v>
      </c>
      <c r="D53" s="32"/>
      <c r="E53" s="32"/>
      <c r="F53" s="32"/>
      <c r="G53" s="32"/>
      <c r="H53" s="42"/>
      <c r="I53" s="32"/>
    </row>
    <row r="54" spans="1:9" x14ac:dyDescent="0.25">
      <c r="A54" t="s">
        <v>312</v>
      </c>
      <c r="B54" s="22">
        <v>2</v>
      </c>
      <c r="C54" s="33">
        <f>F9</f>
        <v>0.64</v>
      </c>
      <c r="D54" s="32">
        <v>0</v>
      </c>
      <c r="E54" s="32"/>
      <c r="F54" s="32"/>
      <c r="G54" s="32"/>
      <c r="H54" s="42"/>
      <c r="I54" s="32"/>
    </row>
    <row r="55" spans="1:9" x14ac:dyDescent="0.25">
      <c r="A55" t="s">
        <v>209</v>
      </c>
      <c r="B55" s="22">
        <v>3</v>
      </c>
      <c r="C55" s="33"/>
      <c r="D55" s="32">
        <f>F11</f>
        <v>0.8</v>
      </c>
      <c r="E55" s="32">
        <v>0</v>
      </c>
      <c r="F55" s="32"/>
      <c r="G55" s="32"/>
      <c r="H55" s="42"/>
      <c r="I55" s="32"/>
    </row>
    <row r="56" spans="1:9" x14ac:dyDescent="0.25">
      <c r="A56" s="2" t="s">
        <v>314</v>
      </c>
      <c r="B56" s="22">
        <v>4</v>
      </c>
      <c r="C56" s="32"/>
      <c r="D56" s="32"/>
      <c r="E56" s="33">
        <f>F14</f>
        <v>2.0900000000000001E-4</v>
      </c>
      <c r="F56" s="32">
        <v>0</v>
      </c>
      <c r="G56" s="32"/>
      <c r="H56" s="42"/>
      <c r="I56" s="32"/>
    </row>
    <row r="57" spans="1:9" x14ac:dyDescent="0.25">
      <c r="A57" t="s">
        <v>316</v>
      </c>
      <c r="B57" s="47">
        <v>5</v>
      </c>
      <c r="C57" s="32"/>
      <c r="D57" s="32"/>
      <c r="E57" s="32"/>
      <c r="F57" s="48">
        <f>F15</f>
        <v>0.7</v>
      </c>
      <c r="G57" s="32">
        <v>0</v>
      </c>
      <c r="H57" s="42"/>
      <c r="I57" s="32"/>
    </row>
    <row r="58" spans="1:9" x14ac:dyDescent="0.25">
      <c r="A58" t="s">
        <v>215</v>
      </c>
      <c r="B58" s="47">
        <v>6</v>
      </c>
      <c r="C58" s="32"/>
      <c r="D58" s="32"/>
      <c r="E58" s="32"/>
      <c r="F58" s="32"/>
      <c r="G58" s="48">
        <f>F16</f>
        <v>0.92999999999999994</v>
      </c>
      <c r="H58" s="42">
        <v>0</v>
      </c>
      <c r="I58" s="32"/>
    </row>
    <row r="59" spans="1:9" x14ac:dyDescent="0.25">
      <c r="A59" t="s">
        <v>269</v>
      </c>
      <c r="B59" s="47">
        <v>7</v>
      </c>
      <c r="C59" s="32"/>
      <c r="D59" s="32"/>
      <c r="E59" s="32"/>
      <c r="F59" s="32"/>
      <c r="G59" s="32"/>
      <c r="H59" s="42">
        <f>F27</f>
        <v>337.39218670725518</v>
      </c>
      <c r="I59" s="32">
        <v>0</v>
      </c>
    </row>
    <row r="63" spans="1:9" x14ac:dyDescent="0.25">
      <c r="A63" t="s">
        <v>321</v>
      </c>
    </row>
    <row r="64" spans="1:9" x14ac:dyDescent="0.25">
      <c r="A64" s="22" t="s">
        <v>151</v>
      </c>
      <c r="B64" s="22" t="s">
        <v>129</v>
      </c>
      <c r="C64">
        <v>1</v>
      </c>
      <c r="D64">
        <v>2</v>
      </c>
      <c r="E64">
        <v>3</v>
      </c>
      <c r="F64">
        <v>4</v>
      </c>
      <c r="G64">
        <v>5</v>
      </c>
      <c r="H64" s="22">
        <v>6</v>
      </c>
      <c r="I64">
        <v>7</v>
      </c>
    </row>
    <row r="65" spans="1:9" x14ac:dyDescent="0.25">
      <c r="A65" s="2" t="s">
        <v>311</v>
      </c>
      <c r="B65" s="22">
        <v>1</v>
      </c>
      <c r="C65" s="32">
        <v>0</v>
      </c>
      <c r="D65" s="32"/>
      <c r="E65" s="32"/>
      <c r="F65" s="32"/>
      <c r="G65" s="32"/>
      <c r="H65" s="42"/>
      <c r="I65" s="32"/>
    </row>
    <row r="66" spans="1:9" x14ac:dyDescent="0.25">
      <c r="A66" t="s">
        <v>312</v>
      </c>
      <c r="B66" s="22">
        <v>2</v>
      </c>
      <c r="C66" s="33">
        <f>G9</f>
        <v>0.87</v>
      </c>
      <c r="D66" s="32">
        <v>0</v>
      </c>
      <c r="E66" s="32"/>
      <c r="F66" s="32"/>
      <c r="G66" s="32"/>
      <c r="H66" s="42"/>
      <c r="I66" s="32"/>
    </row>
    <row r="67" spans="1:9" x14ac:dyDescent="0.25">
      <c r="A67" t="s">
        <v>209</v>
      </c>
      <c r="B67" s="22">
        <v>3</v>
      </c>
      <c r="C67" s="33"/>
      <c r="D67" s="32">
        <f>G11</f>
        <v>0.9</v>
      </c>
      <c r="E67" s="32">
        <v>0</v>
      </c>
      <c r="F67" s="32"/>
      <c r="G67" s="32"/>
      <c r="H67" s="42"/>
      <c r="I67" s="32"/>
    </row>
    <row r="68" spans="1:9" x14ac:dyDescent="0.25">
      <c r="A68" s="2" t="s">
        <v>314</v>
      </c>
      <c r="B68" s="22">
        <v>4</v>
      </c>
      <c r="C68" s="32"/>
      <c r="D68" s="32"/>
      <c r="E68" s="33">
        <f>G14</f>
        <v>3.5E-4</v>
      </c>
      <c r="F68" s="32">
        <v>0</v>
      </c>
      <c r="G68" s="32"/>
      <c r="H68" s="42"/>
      <c r="I68" s="32"/>
    </row>
    <row r="69" spans="1:9" x14ac:dyDescent="0.25">
      <c r="A69" t="s">
        <v>316</v>
      </c>
      <c r="B69" s="47">
        <v>5</v>
      </c>
      <c r="C69" s="32"/>
      <c r="D69" s="32"/>
      <c r="E69" s="32"/>
      <c r="F69" s="48">
        <f>G15</f>
        <v>0.8</v>
      </c>
      <c r="G69" s="32">
        <v>0</v>
      </c>
      <c r="H69" s="42"/>
      <c r="I69" s="32"/>
    </row>
    <row r="70" spans="1:9" x14ac:dyDescent="0.25">
      <c r="A70" t="s">
        <v>215</v>
      </c>
      <c r="B70" s="47">
        <v>6</v>
      </c>
      <c r="C70" s="32"/>
      <c r="D70" s="32"/>
      <c r="E70" s="32"/>
      <c r="F70" s="32"/>
      <c r="G70" s="48">
        <f>G16</f>
        <v>0.94</v>
      </c>
      <c r="H70" s="42">
        <v>0</v>
      </c>
      <c r="I70" s="32"/>
    </row>
    <row r="71" spans="1:9" x14ac:dyDescent="0.25">
      <c r="A71" t="s">
        <v>269</v>
      </c>
      <c r="B71" s="47">
        <v>7</v>
      </c>
      <c r="C71" s="32"/>
      <c r="D71" s="32"/>
      <c r="E71" s="32"/>
      <c r="F71" s="32"/>
      <c r="G71" s="32"/>
      <c r="H71" s="42">
        <f>G27</f>
        <v>456.62100456621005</v>
      </c>
      <c r="I71" s="32">
        <v>0</v>
      </c>
    </row>
    <row r="75" spans="1:9" x14ac:dyDescent="0.25">
      <c r="A75" t="s">
        <v>322</v>
      </c>
    </row>
    <row r="76" spans="1:9" x14ac:dyDescent="0.25">
      <c r="A76" s="22" t="s">
        <v>151</v>
      </c>
      <c r="B76" s="22" t="s">
        <v>129</v>
      </c>
      <c r="C76">
        <v>1</v>
      </c>
      <c r="D76">
        <v>2</v>
      </c>
      <c r="E76">
        <v>3</v>
      </c>
      <c r="F76">
        <v>4</v>
      </c>
      <c r="G76">
        <v>5</v>
      </c>
      <c r="H76" s="22">
        <v>6</v>
      </c>
      <c r="I76">
        <v>7</v>
      </c>
    </row>
    <row r="77" spans="1:9" x14ac:dyDescent="0.25">
      <c r="A77" s="2" t="s">
        <v>311</v>
      </c>
      <c r="B77" s="22">
        <v>1</v>
      </c>
      <c r="C77" s="42">
        <v>0</v>
      </c>
      <c r="D77" s="42"/>
      <c r="E77" s="42"/>
      <c r="F77" s="42"/>
      <c r="G77" s="42"/>
      <c r="H77" s="42"/>
      <c r="I77" s="42"/>
    </row>
    <row r="78" spans="1:9" x14ac:dyDescent="0.25">
      <c r="A78" t="s">
        <v>312</v>
      </c>
      <c r="B78" s="22">
        <v>2</v>
      </c>
      <c r="C78" s="42">
        <f>H9</f>
        <v>2</v>
      </c>
      <c r="D78" s="42">
        <v>0</v>
      </c>
      <c r="E78" s="42"/>
      <c r="F78" s="42"/>
      <c r="G78" s="42"/>
      <c r="H78" s="42"/>
      <c r="I78" s="42"/>
    </row>
    <row r="79" spans="1:9" x14ac:dyDescent="0.25">
      <c r="A79" t="s">
        <v>209</v>
      </c>
      <c r="B79" s="22">
        <v>3</v>
      </c>
      <c r="C79" s="42"/>
      <c r="D79" s="42">
        <f>H11</f>
        <v>2</v>
      </c>
      <c r="E79" s="42">
        <v>0</v>
      </c>
      <c r="F79" s="42"/>
      <c r="G79" s="42"/>
      <c r="H79" s="42"/>
      <c r="I79" s="42"/>
    </row>
    <row r="80" spans="1:9" x14ac:dyDescent="0.25">
      <c r="A80" s="2" t="s">
        <v>314</v>
      </c>
      <c r="B80" s="22">
        <v>4</v>
      </c>
      <c r="C80" s="42"/>
      <c r="D80" s="42"/>
      <c r="E80" s="42">
        <f>H14</f>
        <v>1</v>
      </c>
      <c r="F80" s="42">
        <v>0</v>
      </c>
      <c r="G80" s="42"/>
      <c r="H80" s="42"/>
      <c r="I80" s="42"/>
    </row>
    <row r="81" spans="1:10" x14ac:dyDescent="0.25">
      <c r="A81" t="s">
        <v>316</v>
      </c>
      <c r="B81" s="47">
        <v>5</v>
      </c>
      <c r="C81" s="42"/>
      <c r="D81" s="42"/>
      <c r="E81" s="42"/>
      <c r="F81" s="42">
        <f>H15</f>
        <v>2</v>
      </c>
      <c r="G81" s="42">
        <v>0</v>
      </c>
      <c r="H81" s="42"/>
      <c r="I81" s="42"/>
    </row>
    <row r="82" spans="1:10" x14ac:dyDescent="0.25">
      <c r="A82" t="s">
        <v>215</v>
      </c>
      <c r="B82" s="47">
        <v>6</v>
      </c>
      <c r="C82" s="42"/>
      <c r="D82" s="42"/>
      <c r="E82" s="42"/>
      <c r="F82" s="42"/>
      <c r="G82" s="42">
        <f>H16</f>
        <v>2</v>
      </c>
      <c r="H82" s="42">
        <v>0</v>
      </c>
      <c r="I82" s="42"/>
    </row>
    <row r="83" spans="1:10" x14ac:dyDescent="0.25">
      <c r="A83" t="s">
        <v>269</v>
      </c>
      <c r="B83" s="47">
        <v>7</v>
      </c>
      <c r="C83" s="42"/>
      <c r="D83" s="42"/>
      <c r="E83" s="42"/>
      <c r="F83" s="42"/>
      <c r="G83" s="42"/>
      <c r="H83" s="42">
        <f>H27</f>
        <v>3</v>
      </c>
      <c r="I83" s="42">
        <v>0</v>
      </c>
    </row>
    <row r="86" spans="1:10" x14ac:dyDescent="0.25">
      <c r="H86"/>
    </row>
    <row r="87" spans="1:10" x14ac:dyDescent="0.25">
      <c r="A87" s="2" t="s">
        <v>258</v>
      </c>
      <c r="C87" t="s">
        <v>332</v>
      </c>
      <c r="F87" t="s">
        <v>331</v>
      </c>
      <c r="H87"/>
      <c r="I87" t="s">
        <v>333</v>
      </c>
    </row>
    <row r="88" spans="1:10" x14ac:dyDescent="0.25">
      <c r="C88" s="49">
        <v>1.3500000000000001E-3</v>
      </c>
      <c r="D88" s="49">
        <v>0.01</v>
      </c>
      <c r="E88" s="49">
        <v>0.25</v>
      </c>
      <c r="F88" s="49">
        <v>0.5</v>
      </c>
      <c r="G88" s="49">
        <v>0.75</v>
      </c>
      <c r="H88" s="49">
        <v>0.99</v>
      </c>
      <c r="I88" s="49">
        <v>0.99865000000000004</v>
      </c>
    </row>
    <row r="89" spans="1:10" x14ac:dyDescent="0.25">
      <c r="A89" t="s">
        <v>324</v>
      </c>
      <c r="H89"/>
    </row>
    <row r="90" spans="1:10" x14ac:dyDescent="0.25">
      <c r="A90" s="2" t="s">
        <v>311</v>
      </c>
      <c r="B90" s="22">
        <v>1</v>
      </c>
      <c r="C90" s="80">
        <v>27287257521388.031</v>
      </c>
      <c r="D90" s="80">
        <v>28238896692839.543</v>
      </c>
      <c r="E90" s="80">
        <v>31948862481351.52</v>
      </c>
      <c r="F90" s="80">
        <v>33686516256966.836</v>
      </c>
      <c r="G90" s="80">
        <v>35429914905845.305</v>
      </c>
      <c r="H90" s="80">
        <v>39111819772046.391</v>
      </c>
      <c r="I90" s="80">
        <v>40014462250904.961</v>
      </c>
      <c r="J90" s="22" t="s">
        <v>167</v>
      </c>
    </row>
    <row r="91" spans="1:10" x14ac:dyDescent="0.25">
      <c r="A91" t="s">
        <v>312</v>
      </c>
      <c r="B91" s="22">
        <v>2</v>
      </c>
      <c r="C91" s="80">
        <v>17577355778803.672</v>
      </c>
      <c r="D91" s="80">
        <v>18513312943255.02</v>
      </c>
      <c r="E91" s="80">
        <v>21774613471993.074</v>
      </c>
      <c r="F91" s="80">
        <v>23478667128378.742</v>
      </c>
      <c r="G91" s="80">
        <v>25420044104838.836</v>
      </c>
      <c r="H91" s="80">
        <v>30418046902414.25</v>
      </c>
      <c r="I91" s="80">
        <v>32020099015632.961</v>
      </c>
      <c r="J91" s="22" t="s">
        <v>167</v>
      </c>
    </row>
    <row r="92" spans="1:10" x14ac:dyDescent="0.25">
      <c r="A92" t="s">
        <v>209</v>
      </c>
      <c r="B92" s="22">
        <v>3</v>
      </c>
      <c r="C92" s="80">
        <v>12048653955317.949</v>
      </c>
      <c r="D92" s="80">
        <v>13049855641985.111</v>
      </c>
      <c r="E92" s="80">
        <v>16366039134803.295</v>
      </c>
      <c r="F92" s="80">
        <v>18003734541432.781</v>
      </c>
      <c r="G92" s="80">
        <v>19802777082937.781</v>
      </c>
      <c r="H92" s="80">
        <v>24531666069196.801</v>
      </c>
      <c r="I92" s="80">
        <v>26311632041764.66</v>
      </c>
      <c r="J92" s="22" t="s">
        <v>167</v>
      </c>
    </row>
    <row r="93" spans="1:10" x14ac:dyDescent="0.25">
      <c r="A93" s="2" t="s">
        <v>314</v>
      </c>
      <c r="B93" s="22">
        <v>4</v>
      </c>
      <c r="C93" s="80">
        <v>2528962234.4182429</v>
      </c>
      <c r="D93" s="80">
        <v>2773999287.3066444</v>
      </c>
      <c r="E93" s="80">
        <v>3627399979.7054472</v>
      </c>
      <c r="F93" s="80">
        <v>4083960008.5805082</v>
      </c>
      <c r="G93" s="80">
        <v>4619257309.863203</v>
      </c>
      <c r="H93" s="80">
        <v>6234326475.6138592</v>
      </c>
      <c r="I93" s="80">
        <v>6988976341.2083731</v>
      </c>
      <c r="J93" s="22" t="s">
        <v>349</v>
      </c>
    </row>
    <row r="94" spans="1:10" x14ac:dyDescent="0.25">
      <c r="A94" t="s">
        <v>316</v>
      </c>
      <c r="B94" s="47">
        <v>5</v>
      </c>
      <c r="C94" s="80">
        <v>1700845092.693872</v>
      </c>
      <c r="D94" s="80">
        <v>1894123134.0749931</v>
      </c>
      <c r="E94" s="80">
        <v>2520419436.7960358</v>
      </c>
      <c r="F94" s="80">
        <v>2857634085.1246634</v>
      </c>
      <c r="G94" s="80">
        <v>3244302153.6322837</v>
      </c>
      <c r="H94" s="80">
        <v>4457114843.326622</v>
      </c>
      <c r="I94" s="80">
        <v>5022067778.2421045</v>
      </c>
      <c r="J94" s="22" t="s">
        <v>349</v>
      </c>
    </row>
    <row r="95" spans="1:10" x14ac:dyDescent="0.25">
      <c r="A95" t="s">
        <v>215</v>
      </c>
      <c r="B95" s="47">
        <v>6</v>
      </c>
      <c r="C95" s="80">
        <v>1583235782.8129287</v>
      </c>
      <c r="D95" s="80">
        <v>1760959623.6376829</v>
      </c>
      <c r="E95" s="80">
        <v>2344423231.06987</v>
      </c>
      <c r="F95" s="80">
        <v>2656829441.540154</v>
      </c>
      <c r="G95" s="80">
        <v>3017444438.7664862</v>
      </c>
      <c r="H95" s="80">
        <v>4145463582.4252701</v>
      </c>
      <c r="I95" s="80">
        <v>4666942832.174118</v>
      </c>
      <c r="J95" s="22" t="s">
        <v>349</v>
      </c>
    </row>
    <row r="96" spans="1:10" x14ac:dyDescent="0.25">
      <c r="A96" t="s">
        <v>269</v>
      </c>
      <c r="B96" s="47">
        <v>7</v>
      </c>
      <c r="C96" s="80">
        <v>461624646859.50903</v>
      </c>
      <c r="D96" s="80">
        <v>534061444248.95612</v>
      </c>
      <c r="E96" s="80">
        <v>769045013015.82349</v>
      </c>
      <c r="F96" s="80">
        <v>891872905926.78052</v>
      </c>
      <c r="G96" s="80">
        <v>1036073965834.9524</v>
      </c>
      <c r="H96" s="80">
        <v>1487533697272.8154</v>
      </c>
      <c r="I96" s="80">
        <v>1715639977390.4067</v>
      </c>
      <c r="J96" s="22" t="s">
        <v>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C70" sqref="C70:I70"/>
    </sheetView>
  </sheetViews>
  <sheetFormatPr baseColWidth="10" defaultRowHeight="15" x14ac:dyDescent="0.25"/>
  <cols>
    <col min="1" max="1" width="44.42578125" bestFit="1" customWidth="1"/>
    <col min="2" max="2" width="16.42578125" bestFit="1" customWidth="1"/>
    <col min="9" max="9" width="29" bestFit="1" customWidth="1"/>
    <col min="10" max="10" width="87.85546875" bestFit="1" customWidth="1"/>
  </cols>
  <sheetData>
    <row r="1" spans="1:10" x14ac:dyDescent="0.25">
      <c r="A1" s="84" t="s">
        <v>404</v>
      </c>
    </row>
    <row r="3" spans="1:10" x14ac:dyDescent="0.25">
      <c r="A3" t="s">
        <v>37</v>
      </c>
      <c r="B3" t="s">
        <v>36</v>
      </c>
      <c r="C3" s="55" t="s">
        <v>41</v>
      </c>
      <c r="D3" s="55" t="s">
        <v>38</v>
      </c>
      <c r="E3" s="55" t="s">
        <v>253</v>
      </c>
      <c r="F3" s="55" t="s">
        <v>254</v>
      </c>
      <c r="G3" s="55" t="s">
        <v>255</v>
      </c>
      <c r="H3" s="55" t="s">
        <v>256</v>
      </c>
      <c r="I3" t="s">
        <v>405</v>
      </c>
      <c r="J3" s="2" t="s">
        <v>380</v>
      </c>
    </row>
    <row r="4" spans="1:10" x14ac:dyDescent="0.25">
      <c r="A4" t="s">
        <v>406</v>
      </c>
      <c r="B4" s="1" t="s">
        <v>407</v>
      </c>
      <c r="C4" s="56">
        <v>-0.01</v>
      </c>
      <c r="D4" s="29">
        <f>G4/F4-1</f>
        <v>2.3504273504273421E-2</v>
      </c>
      <c r="E4" s="55">
        <f>F4+C4*F4</f>
        <v>463.32</v>
      </c>
      <c r="F4" s="56">
        <v>468</v>
      </c>
      <c r="G4" s="56">
        <v>479</v>
      </c>
      <c r="H4" s="56"/>
      <c r="I4" t="s">
        <v>408</v>
      </c>
      <c r="J4" t="s">
        <v>409</v>
      </c>
    </row>
    <row r="5" spans="1:10" x14ac:dyDescent="0.25">
      <c r="A5" t="s">
        <v>410</v>
      </c>
      <c r="B5" t="s">
        <v>411</v>
      </c>
      <c r="C5" s="2">
        <f>E5/F5-1</f>
        <v>0</v>
      </c>
      <c r="D5" s="29">
        <f>G5/F5-1</f>
        <v>0</v>
      </c>
      <c r="E5" s="56">
        <v>12</v>
      </c>
      <c r="F5" s="56">
        <v>12</v>
      </c>
      <c r="G5" s="56">
        <v>12</v>
      </c>
      <c r="H5" s="56"/>
      <c r="I5" s="57"/>
    </row>
    <row r="6" spans="1:10" x14ac:dyDescent="0.25">
      <c r="A6" t="s">
        <v>406</v>
      </c>
      <c r="B6" t="s">
        <v>412</v>
      </c>
      <c r="C6" s="2">
        <f>E6/F6-1</f>
        <v>-1.0000000000000009E-2</v>
      </c>
      <c r="D6" s="29">
        <f>G6/F6-1</f>
        <v>2.3504273504273421E-2</v>
      </c>
      <c r="E6" s="55">
        <f>E4/E5*1000</f>
        <v>38610</v>
      </c>
      <c r="F6" s="55">
        <f>F4/F5*1000</f>
        <v>39000</v>
      </c>
      <c r="G6" s="55">
        <f>G4/G5*1000</f>
        <v>39916.666666666664</v>
      </c>
      <c r="H6" s="55"/>
      <c r="I6" s="57"/>
    </row>
    <row r="7" spans="1:10" x14ac:dyDescent="0.25">
      <c r="A7" t="s">
        <v>413</v>
      </c>
      <c r="B7" t="s">
        <v>414</v>
      </c>
      <c r="C7" s="55"/>
      <c r="D7" s="55"/>
      <c r="E7" s="1">
        <f>E6/(3600*24*365)</f>
        <v>1.2243150684931507E-3</v>
      </c>
      <c r="F7" s="1">
        <f>F6/(3600*24*365)</f>
        <v>1.2366818873668188E-3</v>
      </c>
      <c r="G7" s="1">
        <f>G6/(3600*24*365)</f>
        <v>1.2657491966852697E-3</v>
      </c>
      <c r="H7" s="1"/>
      <c r="J7" s="2"/>
    </row>
    <row r="8" spans="1:10" x14ac:dyDescent="0.25">
      <c r="C8" s="55"/>
      <c r="D8" s="55"/>
      <c r="E8" s="1"/>
      <c r="F8" s="1"/>
      <c r="G8" s="1"/>
      <c r="H8" s="1"/>
      <c r="J8" s="2"/>
    </row>
    <row r="9" spans="1:10" x14ac:dyDescent="0.25">
      <c r="A9" t="s">
        <v>272</v>
      </c>
      <c r="C9" s="55"/>
      <c r="D9" s="55"/>
      <c r="E9" s="1"/>
      <c r="F9" s="1"/>
      <c r="G9" s="1"/>
      <c r="H9" s="1"/>
      <c r="J9" s="2"/>
    </row>
    <row r="10" spans="1:10" x14ac:dyDescent="0.25">
      <c r="A10" t="s">
        <v>202</v>
      </c>
      <c r="B10" t="s">
        <v>7</v>
      </c>
      <c r="E10" s="1">
        <f>X!C26</f>
        <v>11298421825798.742</v>
      </c>
      <c r="F10" s="1">
        <f>X!F26</f>
        <v>15247557711794.836</v>
      </c>
      <c r="G10" s="1">
        <f>X!I26</f>
        <v>19211561475493.691</v>
      </c>
      <c r="H10" s="1"/>
      <c r="I10" s="22"/>
      <c r="J10" s="10" t="s">
        <v>263</v>
      </c>
    </row>
    <row r="11" spans="1:10" x14ac:dyDescent="0.25">
      <c r="A11" t="s">
        <v>203</v>
      </c>
      <c r="B11" t="s">
        <v>7</v>
      </c>
      <c r="E11" s="1">
        <f>X!C27</f>
        <v>3413474671955.3037</v>
      </c>
      <c r="F11" s="1">
        <f>X!F27</f>
        <v>5956746881119.0576</v>
      </c>
      <c r="G11" s="1">
        <f>X!I27</f>
        <v>8520811666902.209</v>
      </c>
      <c r="H11" s="1"/>
      <c r="I11" s="22"/>
      <c r="J11" s="10" t="s">
        <v>263</v>
      </c>
    </row>
    <row r="12" spans="1:10" x14ac:dyDescent="0.25">
      <c r="A12" t="s">
        <v>204</v>
      </c>
      <c r="B12" t="s">
        <v>7</v>
      </c>
      <c r="E12" s="1">
        <f>X!C28</f>
        <v>7827548008624.6846</v>
      </c>
      <c r="F12" s="1">
        <f>X!F28</f>
        <v>10561632756182.797</v>
      </c>
      <c r="G12" s="1">
        <f>X!I28</f>
        <v>13312097169320.863</v>
      </c>
      <c r="H12" s="1"/>
      <c r="I12" s="22"/>
      <c r="J12" s="10" t="s">
        <v>263</v>
      </c>
    </row>
    <row r="13" spans="1:10" x14ac:dyDescent="0.25">
      <c r="A13" t="s">
        <v>311</v>
      </c>
      <c r="B13" t="s">
        <v>7</v>
      </c>
      <c r="E13" s="1">
        <f>SUM(E10:E12)</f>
        <v>22539444506378.73</v>
      </c>
      <c r="F13" s="1">
        <f>SUM(F10:F12)</f>
        <v>31765937349096.691</v>
      </c>
      <c r="G13" s="1">
        <f>SUM(G10:G12)</f>
        <v>41044470311716.766</v>
      </c>
      <c r="H13" s="1"/>
      <c r="I13" s="22"/>
      <c r="J13" s="10"/>
    </row>
    <row r="14" spans="1:10" x14ac:dyDescent="0.25">
      <c r="C14" s="55"/>
      <c r="D14" s="55"/>
      <c r="E14" s="1"/>
      <c r="F14" s="1"/>
      <c r="G14" s="1"/>
      <c r="H14" s="1"/>
      <c r="J14" s="2"/>
    </row>
    <row r="15" spans="1:10" x14ac:dyDescent="0.25">
      <c r="A15" t="s">
        <v>207</v>
      </c>
      <c r="B15" t="s">
        <v>10</v>
      </c>
      <c r="E15" s="12">
        <v>0.5</v>
      </c>
      <c r="F15" s="12">
        <v>0.36</v>
      </c>
      <c r="G15" s="12">
        <v>0.13</v>
      </c>
      <c r="H15" s="45">
        <v>2</v>
      </c>
      <c r="J15" t="s">
        <v>660</v>
      </c>
    </row>
    <row r="16" spans="1:10" x14ac:dyDescent="0.25">
      <c r="A16" t="s">
        <v>313</v>
      </c>
      <c r="B16" t="s">
        <v>10</v>
      </c>
      <c r="E16" s="31">
        <f>1-E15</f>
        <v>0.5</v>
      </c>
      <c r="F16" s="31">
        <f>1-F15</f>
        <v>0.64</v>
      </c>
      <c r="G16" s="31">
        <f>1-G15</f>
        <v>0.87</v>
      </c>
      <c r="H16" s="41">
        <v>2</v>
      </c>
    </row>
    <row r="17" spans="1:10" x14ac:dyDescent="0.25">
      <c r="A17" t="s">
        <v>208</v>
      </c>
      <c r="B17" t="s">
        <v>10</v>
      </c>
      <c r="E17" s="12">
        <v>0.6</v>
      </c>
      <c r="F17" s="12">
        <v>0.8</v>
      </c>
      <c r="G17" s="12">
        <v>0.9</v>
      </c>
      <c r="H17" s="45">
        <v>2</v>
      </c>
      <c r="J17" t="s">
        <v>210</v>
      </c>
    </row>
    <row r="18" spans="1:10" x14ac:dyDescent="0.25">
      <c r="A18" t="s">
        <v>211</v>
      </c>
      <c r="B18" t="s">
        <v>213</v>
      </c>
      <c r="E18" s="5">
        <v>1.9000000000000001E-4</v>
      </c>
      <c r="F18" s="5">
        <v>2.0900000000000001E-4</v>
      </c>
      <c r="G18" s="5">
        <v>3.5E-4</v>
      </c>
      <c r="H18" s="45">
        <v>1</v>
      </c>
      <c r="J18" t="s">
        <v>210</v>
      </c>
    </row>
    <row r="19" spans="1:10" x14ac:dyDescent="0.25">
      <c r="A19" t="s">
        <v>212</v>
      </c>
      <c r="B19" t="s">
        <v>10</v>
      </c>
      <c r="E19" s="44">
        <v>0.6</v>
      </c>
      <c r="F19" s="44">
        <v>0.7</v>
      </c>
      <c r="G19" s="44">
        <v>0.8</v>
      </c>
      <c r="H19" s="45">
        <v>2</v>
      </c>
      <c r="J19" t="s">
        <v>210</v>
      </c>
    </row>
    <row r="20" spans="1:10" x14ac:dyDescent="0.25">
      <c r="A20" t="s">
        <v>315</v>
      </c>
      <c r="B20" t="s">
        <v>10</v>
      </c>
      <c r="E20" s="44">
        <f>1-0.08</f>
        <v>0.92</v>
      </c>
      <c r="F20" s="44">
        <f>1-0.07</f>
        <v>0.92999999999999994</v>
      </c>
      <c r="G20" s="44">
        <f>1-0.06</f>
        <v>0.94</v>
      </c>
      <c r="H20" s="45">
        <v>2</v>
      </c>
      <c r="J20" t="s">
        <v>210</v>
      </c>
    </row>
    <row r="21" spans="1:10" x14ac:dyDescent="0.25">
      <c r="A21" t="s">
        <v>214</v>
      </c>
      <c r="B21" t="s">
        <v>10</v>
      </c>
      <c r="E21" s="12">
        <v>0.1</v>
      </c>
      <c r="F21" s="12">
        <v>0.11</v>
      </c>
      <c r="G21" s="12">
        <v>0.15</v>
      </c>
      <c r="H21" s="45">
        <v>1</v>
      </c>
      <c r="J21" t="s">
        <v>345</v>
      </c>
    </row>
    <row r="22" spans="1:10" x14ac:dyDescent="0.25">
      <c r="A22" t="s">
        <v>217</v>
      </c>
      <c r="B22" t="s">
        <v>10</v>
      </c>
      <c r="E22" s="12">
        <v>0.5</v>
      </c>
      <c r="F22" s="12">
        <v>0.45</v>
      </c>
      <c r="G22" s="12">
        <v>0.4</v>
      </c>
      <c r="H22" s="45">
        <v>1</v>
      </c>
      <c r="J22" t="s">
        <v>210</v>
      </c>
    </row>
    <row r="23" spans="1:10" x14ac:dyDescent="0.25">
      <c r="C23" s="55"/>
      <c r="D23" s="55"/>
      <c r="E23" s="1"/>
      <c r="F23" s="1"/>
      <c r="G23" s="1"/>
      <c r="J23" s="2"/>
    </row>
    <row r="24" spans="1:10" x14ac:dyDescent="0.25">
      <c r="A24" t="s">
        <v>222</v>
      </c>
      <c r="B24" t="s">
        <v>223</v>
      </c>
      <c r="E24" s="5">
        <v>15000000</v>
      </c>
      <c r="F24" s="5">
        <v>15200000</v>
      </c>
      <c r="G24" s="5">
        <v>18000000</v>
      </c>
      <c r="H24" s="45">
        <v>3</v>
      </c>
      <c r="J24" t="s">
        <v>224</v>
      </c>
    </row>
    <row r="25" spans="1:10" x14ac:dyDescent="0.25">
      <c r="A25" t="s">
        <v>225</v>
      </c>
      <c r="B25" t="s">
        <v>226</v>
      </c>
      <c r="E25" s="5">
        <v>600</v>
      </c>
      <c r="F25" s="5">
        <v>700</v>
      </c>
      <c r="G25" s="5">
        <v>800</v>
      </c>
      <c r="H25" s="45">
        <v>3</v>
      </c>
      <c r="J25" t="s">
        <v>227</v>
      </c>
    </row>
    <row r="26" spans="1:10" x14ac:dyDescent="0.25">
      <c r="A26" t="s">
        <v>317</v>
      </c>
      <c r="B26" t="s">
        <v>318</v>
      </c>
      <c r="E26" s="7">
        <f>E24*E25/(3600*24*365)</f>
        <v>285.38812785388126</v>
      </c>
      <c r="F26" s="7">
        <f>F24*F25/(3600*24*365)</f>
        <v>337.39218670725518</v>
      </c>
      <c r="G26" s="7">
        <f>G24*G25/(3600*24*365)</f>
        <v>456.62100456621005</v>
      </c>
      <c r="H26" s="41">
        <v>3</v>
      </c>
    </row>
    <row r="27" spans="1:10" x14ac:dyDescent="0.25">
      <c r="C27" s="55"/>
      <c r="D27" s="55"/>
      <c r="E27" s="1"/>
      <c r="F27" s="1"/>
      <c r="G27" s="1"/>
      <c r="J27" s="2"/>
    </row>
    <row r="28" spans="1:10" x14ac:dyDescent="0.25">
      <c r="A28" t="s">
        <v>229</v>
      </c>
      <c r="B28" t="s">
        <v>10</v>
      </c>
      <c r="E28" s="12">
        <v>0.2</v>
      </c>
      <c r="F28" s="12">
        <v>0.35</v>
      </c>
      <c r="G28" s="12">
        <v>0.4</v>
      </c>
      <c r="H28" s="45">
        <v>2</v>
      </c>
      <c r="J28" t="s">
        <v>266</v>
      </c>
    </row>
    <row r="29" spans="1:10" x14ac:dyDescent="0.25">
      <c r="C29" s="55"/>
      <c r="D29" s="55"/>
      <c r="E29" s="1"/>
      <c r="F29" s="1"/>
      <c r="G29" s="1"/>
      <c r="H29" s="1"/>
      <c r="J29" s="2"/>
    </row>
    <row r="30" spans="1:10" x14ac:dyDescent="0.25">
      <c r="C30" s="55"/>
      <c r="D30" s="55"/>
      <c r="E30" s="1"/>
      <c r="F30" s="1"/>
      <c r="G30" s="1"/>
      <c r="H30" s="1"/>
      <c r="J30" s="2"/>
    </row>
    <row r="31" spans="1:10" x14ac:dyDescent="0.25">
      <c r="C31" s="55"/>
      <c r="D31" s="55"/>
      <c r="E31" s="1"/>
      <c r="F31" s="1"/>
      <c r="G31" s="1"/>
      <c r="H31" s="1"/>
      <c r="J31" s="2"/>
    </row>
    <row r="32" spans="1:10" x14ac:dyDescent="0.25">
      <c r="C32" s="55"/>
      <c r="D32" s="55"/>
      <c r="E32" s="1"/>
      <c r="F32" s="1"/>
      <c r="G32" s="1"/>
      <c r="H32" s="1"/>
      <c r="J32" s="2"/>
    </row>
    <row r="33" spans="1:10" x14ac:dyDescent="0.25">
      <c r="C33" s="55"/>
      <c r="D33" s="55"/>
      <c r="E33" s="1"/>
      <c r="F33" s="1"/>
      <c r="G33" s="1"/>
      <c r="H33" s="1"/>
      <c r="J33" s="2"/>
    </row>
    <row r="34" spans="1:10" x14ac:dyDescent="0.25">
      <c r="A34" s="34" t="s">
        <v>268</v>
      </c>
      <c r="B34" s="34"/>
      <c r="C34" s="58"/>
      <c r="D34" s="58"/>
      <c r="E34" s="59"/>
      <c r="F34" s="59"/>
      <c r="G34" s="59"/>
      <c r="H34" s="59"/>
      <c r="I34" s="34"/>
      <c r="J34" s="2"/>
    </row>
    <row r="35" spans="1:10" x14ac:dyDescent="0.25">
      <c r="A35" t="s">
        <v>415</v>
      </c>
      <c r="B35" t="s">
        <v>73</v>
      </c>
      <c r="E35" s="1">
        <f>Land!K46</f>
        <v>163.29686156689024</v>
      </c>
      <c r="F35" s="1">
        <f>Land!L46</f>
        <v>174.53039059723577</v>
      </c>
      <c r="G35" s="1">
        <f>Land!M46</f>
        <v>186.51690601501153</v>
      </c>
      <c r="H35" s="1"/>
      <c r="I35" t="s">
        <v>416</v>
      </c>
    </row>
    <row r="36" spans="1:10" x14ac:dyDescent="0.25">
      <c r="A36" t="s">
        <v>417</v>
      </c>
      <c r="B36" t="s">
        <v>418</v>
      </c>
      <c r="C36">
        <f>-D36</f>
        <v>-0.01</v>
      </c>
      <c r="D36" s="12">
        <v>0.01</v>
      </c>
      <c r="E36">
        <f>F36*(1+C36)</f>
        <v>393.03</v>
      </c>
      <c r="F36" s="12">
        <v>397</v>
      </c>
      <c r="G36">
        <f>F36*(1+D36)</f>
        <v>400.97</v>
      </c>
      <c r="I36" t="s">
        <v>419</v>
      </c>
    </row>
    <row r="37" spans="1:10" x14ac:dyDescent="0.25">
      <c r="B37" t="s">
        <v>73</v>
      </c>
      <c r="E37" s="1">
        <f>E36*E7</f>
        <v>0.481192551369863</v>
      </c>
      <c r="F37" s="1">
        <f>F36*F7</f>
        <v>0.49096270928462704</v>
      </c>
      <c r="G37" s="1">
        <f>G36*G7</f>
        <v>0.50752745539489263</v>
      </c>
      <c r="H37" s="1"/>
    </row>
    <row r="38" spans="1:10" x14ac:dyDescent="0.25">
      <c r="A38" t="s">
        <v>420</v>
      </c>
      <c r="B38" t="s">
        <v>418</v>
      </c>
      <c r="C38">
        <f>-D38</f>
        <v>-0.01</v>
      </c>
      <c r="D38" s="12">
        <v>0.01</v>
      </c>
      <c r="E38">
        <f>F38*(1+C38)</f>
        <v>293.04000000000002</v>
      </c>
      <c r="F38" s="12">
        <v>296</v>
      </c>
      <c r="G38">
        <f>F38*(1+D38)</f>
        <v>298.95999999999998</v>
      </c>
      <c r="I38" t="s">
        <v>419</v>
      </c>
    </row>
    <row r="39" spans="1:10" x14ac:dyDescent="0.25">
      <c r="B39" t="s">
        <v>73</v>
      </c>
      <c r="E39" s="1">
        <f>E38*E7</f>
        <v>0.3587732876712329</v>
      </c>
      <c r="F39" s="1">
        <f>F38*F7</f>
        <v>0.36605783866057839</v>
      </c>
      <c r="G39" s="1">
        <f>G38*G7</f>
        <v>0.37840837984102821</v>
      </c>
      <c r="H39" s="1"/>
    </row>
    <row r="40" spans="1:10" x14ac:dyDescent="0.25">
      <c r="A40" t="s">
        <v>421</v>
      </c>
      <c r="B40" t="s">
        <v>418</v>
      </c>
      <c r="C40">
        <f>-D40</f>
        <v>-0.01</v>
      </c>
      <c r="D40" s="12">
        <v>0.01</v>
      </c>
      <c r="E40">
        <f>F40*(1+C40)</f>
        <v>428.67</v>
      </c>
      <c r="F40" s="12">
        <v>433</v>
      </c>
      <c r="G40">
        <f>F40*(1+D40)</f>
        <v>437.33</v>
      </c>
      <c r="I40" t="s">
        <v>419</v>
      </c>
    </row>
    <row r="41" spans="1:10" x14ac:dyDescent="0.25">
      <c r="B41" t="s">
        <v>73</v>
      </c>
      <c r="E41" s="1">
        <f>E40*E7</f>
        <v>0.5248271404109589</v>
      </c>
      <c r="F41" s="1">
        <f>F40*F7</f>
        <v>0.53548325722983259</v>
      </c>
      <c r="G41" s="1">
        <f>G40*G7</f>
        <v>0.55355009618636897</v>
      </c>
      <c r="H41" s="1"/>
    </row>
    <row r="42" spans="1:10" x14ac:dyDescent="0.25">
      <c r="A42" t="s">
        <v>422</v>
      </c>
      <c r="B42" t="s">
        <v>418</v>
      </c>
      <c r="C42">
        <f>-D42</f>
        <v>-0.01</v>
      </c>
      <c r="D42" s="12">
        <v>0.01</v>
      </c>
      <c r="E42">
        <f>F42*(1+C42)</f>
        <v>40.589999999999996</v>
      </c>
      <c r="F42" s="12">
        <v>41</v>
      </c>
      <c r="G42">
        <f>F42*(1+D42)</f>
        <v>41.410000000000004</v>
      </c>
      <c r="I42" t="s">
        <v>419</v>
      </c>
    </row>
    <row r="43" spans="1:10" x14ac:dyDescent="0.25">
      <c r="B43" t="s">
        <v>73</v>
      </c>
      <c r="E43" s="1">
        <f>E42*E7</f>
        <v>4.9694948630136987E-2</v>
      </c>
      <c r="F43" s="1">
        <f>F42*F7</f>
        <v>5.0703957382039574E-2</v>
      </c>
      <c r="G43" s="1">
        <f>G42*G7</f>
        <v>5.2414674234737023E-2</v>
      </c>
      <c r="H43" s="1"/>
    </row>
    <row r="45" spans="1:10" x14ac:dyDescent="0.25">
      <c r="A45" t="s">
        <v>430</v>
      </c>
      <c r="B45" t="s">
        <v>10</v>
      </c>
      <c r="E45" s="2">
        <f>E37/E35</f>
        <v>2.9467348407841579E-3</v>
      </c>
      <c r="F45" s="2">
        <f>F37/F35</f>
        <v>2.8130499657083963E-3</v>
      </c>
      <c r="G45" s="2">
        <f>G37/G35</f>
        <v>2.7210801757243659E-3</v>
      </c>
      <c r="H45" s="2"/>
    </row>
    <row r="46" spans="1:10" x14ac:dyDescent="0.25">
      <c r="A46" t="s">
        <v>423</v>
      </c>
      <c r="B46" t="s">
        <v>10</v>
      </c>
      <c r="E46" s="2">
        <f>E39/E37</f>
        <v>0.74559193954659952</v>
      </c>
      <c r="F46" s="2">
        <f>F39/F37</f>
        <v>0.74559193954659964</v>
      </c>
      <c r="G46" s="2">
        <f>G39/G37</f>
        <v>0.74559193954659941</v>
      </c>
      <c r="H46" s="2"/>
    </row>
    <row r="47" spans="1:10" x14ac:dyDescent="0.25">
      <c r="A47" t="s">
        <v>431</v>
      </c>
      <c r="B47" t="s">
        <v>10</v>
      </c>
      <c r="E47" s="2">
        <f>E41/E35</f>
        <v>3.2139450530467013E-3</v>
      </c>
      <c r="F47" s="2">
        <f>F41/F35</f>
        <v>3.068137620029561E-3</v>
      </c>
      <c r="G47" s="2">
        <f>G41/G35</f>
        <v>2.9678280002233006E-3</v>
      </c>
      <c r="H47" s="2"/>
    </row>
    <row r="48" spans="1:10" x14ac:dyDescent="0.25">
      <c r="A48" t="s">
        <v>424</v>
      </c>
      <c r="B48" t="s">
        <v>10</v>
      </c>
      <c r="E48" s="2">
        <f>E43/E41</f>
        <v>9.4688221709006926E-2</v>
      </c>
      <c r="F48" s="2">
        <f>F43/F41</f>
        <v>9.4688221709006926E-2</v>
      </c>
      <c r="G48" s="2">
        <f>G43/G41</f>
        <v>9.4688221709006939E-2</v>
      </c>
      <c r="H48" s="2"/>
    </row>
    <row r="50" spans="1:9" x14ac:dyDescent="0.25">
      <c r="A50" s="34" t="s">
        <v>425</v>
      </c>
      <c r="B50" s="34"/>
      <c r="C50" s="34"/>
      <c r="D50" s="34"/>
      <c r="E50" s="34"/>
      <c r="F50" s="34"/>
      <c r="G50" s="34"/>
      <c r="H50" s="34"/>
      <c r="I50" s="34"/>
    </row>
    <row r="51" spans="1:9" x14ac:dyDescent="0.25">
      <c r="A51" t="s">
        <v>426</v>
      </c>
      <c r="B51" t="s">
        <v>418</v>
      </c>
      <c r="C51">
        <f>-D51</f>
        <v>-0.01</v>
      </c>
      <c r="D51" s="12">
        <v>0.01</v>
      </c>
      <c r="E51">
        <f>F51*(1+C51)</f>
        <v>150.47999999999999</v>
      </c>
      <c r="F51" s="12">
        <v>152</v>
      </c>
      <c r="G51">
        <f>F51*(1+D51)</f>
        <v>153.52000000000001</v>
      </c>
      <c r="I51" t="s">
        <v>427</v>
      </c>
    </row>
    <row r="52" spans="1:9" x14ac:dyDescent="0.25">
      <c r="B52" t="s">
        <v>73</v>
      </c>
      <c r="E52" s="1">
        <f>E51*E7</f>
        <v>0.1842349315068493</v>
      </c>
      <c r="F52" s="1">
        <f>F51*F7</f>
        <v>0.18797564687975646</v>
      </c>
      <c r="G52" s="1">
        <f>G51*G7</f>
        <v>0.1943178166751226</v>
      </c>
      <c r="H52" s="1"/>
    </row>
    <row r="53" spans="1:9" x14ac:dyDescent="0.25">
      <c r="A53" t="s">
        <v>428</v>
      </c>
      <c r="B53" t="s">
        <v>73</v>
      </c>
      <c r="E53" s="1">
        <f>Land!K25</f>
        <v>151.34961338040924</v>
      </c>
      <c r="F53" s="1">
        <f>Land!L25</f>
        <v>164.09939489251943</v>
      </c>
      <c r="G53" s="1">
        <f>Land!M25</f>
        <v>177.1621721283604</v>
      </c>
      <c r="H53" s="1"/>
      <c r="I53" t="s">
        <v>416</v>
      </c>
    </row>
    <row r="55" spans="1:9" x14ac:dyDescent="0.25">
      <c r="A55" t="s">
        <v>429</v>
      </c>
      <c r="B55" t="s">
        <v>10</v>
      </c>
      <c r="E55" s="1">
        <f>E52/E53</f>
        <v>1.2172804898006879E-3</v>
      </c>
      <c r="F55" s="1">
        <f>F52/F53</f>
        <v>1.1454987204728897E-3</v>
      </c>
      <c r="G55" s="1">
        <f>G52/G53</f>
        <v>1.0968358218950505E-3</v>
      </c>
      <c r="H55" s="1"/>
    </row>
    <row r="69" spans="1:9" x14ac:dyDescent="0.25">
      <c r="C69" s="2">
        <v>1.3500000000000001E-3</v>
      </c>
      <c r="D69" s="2">
        <v>0.01</v>
      </c>
      <c r="E69" s="2">
        <v>0.25</v>
      </c>
      <c r="F69" s="2">
        <v>0.5</v>
      </c>
      <c r="G69" s="2">
        <v>0.75</v>
      </c>
      <c r="H69" s="2">
        <v>0.99</v>
      </c>
      <c r="I69" s="2">
        <v>0.99865000000000004</v>
      </c>
    </row>
    <row r="70" spans="1:9" x14ac:dyDescent="0.25">
      <c r="A70" t="s">
        <v>230</v>
      </c>
      <c r="B70" t="s">
        <v>8</v>
      </c>
      <c r="C70" s="75">
        <v>111283234284.72917</v>
      </c>
      <c r="D70" s="75">
        <v>134468768931.96507</v>
      </c>
      <c r="E70" s="75">
        <v>210670738354.27924</v>
      </c>
      <c r="F70" s="75">
        <v>252852408214.08755</v>
      </c>
      <c r="G70" s="75">
        <v>302065687810.24744</v>
      </c>
      <c r="H70" s="75">
        <v>458852714739.00043</v>
      </c>
      <c r="I70" s="75">
        <v>531834033677.80261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Overview</vt:lpstr>
      <vt:lpstr>Solar</vt:lpstr>
      <vt:lpstr>Land</vt:lpstr>
      <vt:lpstr>X</vt:lpstr>
      <vt:lpstr>X_irr</vt:lpstr>
      <vt:lpstr>LandUse</vt:lpstr>
      <vt:lpstr>SolarE</vt:lpstr>
      <vt:lpstr>SusForest</vt:lpstr>
      <vt:lpstr>BioE</vt:lpstr>
      <vt:lpstr>WindE</vt:lpstr>
      <vt:lpstr>HydroE</vt:lpstr>
      <vt:lpstr>GeoE</vt:lpstr>
      <vt:lpstr>results</vt:lpstr>
      <vt:lpstr>indicators</vt:lpstr>
      <vt:lpstr>TC_land</vt:lpstr>
      <vt:lpstr>M</vt:lpstr>
      <vt:lpstr>G</vt:lpstr>
      <vt:lpstr>A_min</vt:lpstr>
      <vt:lpstr>A_mode</vt:lpstr>
      <vt:lpstr>A_max</vt:lpstr>
      <vt:lpstr>A_d</vt:lpstr>
      <vt:lpstr>Input</vt:lpstr>
      <vt:lpstr>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2019-08-22T12:40:40Z</dcterms:modified>
</cp:coreProperties>
</file>