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s\Kunouz CRM\"/>
    </mc:Choice>
  </mc:AlternateContent>
  <bookViews>
    <workbookView xWindow="0" yWindow="0" windowWidth="20490" windowHeight="8310" activeTab="2"/>
  </bookViews>
  <sheets>
    <sheet name="الاقساط" sheetId="1" r:id="rId1"/>
    <sheet name="مقارنة" sheetId="5" r:id="rId2"/>
    <sheet name="NEW ENGINE" sheetId="4" r:id="rId3"/>
  </sheets>
  <definedNames>
    <definedName name="_xlnm.Print_Area" localSheetId="0">الاقساط!$A$1:$E$80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6" i="4" l="1"/>
  <c r="I27" i="4"/>
  <c r="E5" i="4" l="1"/>
  <c r="D5" i="4"/>
  <c r="C5" i="4"/>
  <c r="B5" i="4"/>
  <c r="E3" i="4"/>
  <c r="D3" i="4"/>
  <c r="C3" i="4"/>
  <c r="B3" i="4"/>
  <c r="B2" i="5"/>
  <c r="B5" i="1"/>
  <c r="D2" i="4" s="1"/>
  <c r="C2" i="4" l="1"/>
  <c r="E2" i="4"/>
  <c r="B2" i="4"/>
  <c r="I18" i="1" l="1"/>
  <c r="B15" i="1"/>
  <c r="B16" i="1" l="1"/>
  <c r="C19" i="1" s="1"/>
  <c r="E4" i="4"/>
  <c r="E6" i="4" s="1"/>
  <c r="D4" i="4"/>
  <c r="D6" i="4" s="1"/>
  <c r="C4" i="4"/>
  <c r="C6" i="4" s="1"/>
  <c r="B4" i="4"/>
  <c r="B6" i="4" s="1"/>
  <c r="C33" i="1"/>
  <c r="C28" i="1"/>
  <c r="C21" i="1"/>
  <c r="C31" i="1"/>
  <c r="C26" i="1"/>
  <c r="C23" i="1"/>
  <c r="C32" i="1"/>
  <c r="C27" i="1"/>
  <c r="C22" i="1"/>
  <c r="M4" i="4"/>
  <c r="M5" i="4"/>
  <c r="L5" i="4"/>
  <c r="K5" i="4"/>
  <c r="J5" i="4"/>
  <c r="I5" i="4"/>
  <c r="H5" i="4"/>
  <c r="G5" i="4"/>
  <c r="F5" i="4"/>
  <c r="H3" i="4"/>
  <c r="G3" i="4"/>
  <c r="F3" i="4"/>
  <c r="H2" i="4"/>
  <c r="G2" i="4"/>
  <c r="F2" i="4"/>
  <c r="M3" i="4"/>
  <c r="L3" i="4"/>
  <c r="K3" i="4"/>
  <c r="J3" i="4"/>
  <c r="M2" i="4"/>
  <c r="L2" i="4"/>
  <c r="K2" i="4"/>
  <c r="J2" i="4"/>
  <c r="I3" i="4"/>
  <c r="I2" i="4"/>
  <c r="E20" i="1"/>
  <c r="C25" i="1" l="1"/>
  <c r="C21" i="4"/>
  <c r="D21" i="4"/>
  <c r="E21" i="4"/>
  <c r="B21" i="4"/>
  <c r="C30" i="1"/>
  <c r="C20" i="1"/>
  <c r="C7" i="4"/>
  <c r="C8" i="4"/>
  <c r="C19" i="4"/>
  <c r="D19" i="4"/>
  <c r="D8" i="4"/>
  <c r="D7" i="4"/>
  <c r="E8" i="4"/>
  <c r="E7" i="4"/>
  <c r="E19" i="4"/>
  <c r="B19" i="4"/>
  <c r="B7" i="4"/>
  <c r="B8" i="4"/>
  <c r="M6" i="4"/>
  <c r="B7" i="1" s="1"/>
  <c r="E21" i="1"/>
  <c r="I21" i="1" s="1"/>
  <c r="I20" i="1"/>
  <c r="G4" i="4"/>
  <c r="G6" i="4" s="1"/>
  <c r="K4" i="4"/>
  <c r="K6" i="4" s="1"/>
  <c r="J4" i="4"/>
  <c r="J6" i="4" s="1"/>
  <c r="H4" i="4"/>
  <c r="H6" i="4" s="1"/>
  <c r="L4" i="4"/>
  <c r="L6" i="4" s="1"/>
  <c r="F4" i="4"/>
  <c r="F6" i="4" s="1"/>
  <c r="I4" i="4"/>
  <c r="I6" i="4" s="1"/>
  <c r="K19" i="4" l="1"/>
  <c r="M19" i="4"/>
  <c r="L19" i="4"/>
  <c r="G19" i="4"/>
  <c r="G21" i="4"/>
  <c r="H19" i="4"/>
  <c r="H21" i="4"/>
  <c r="I19" i="4"/>
  <c r="J19" i="4"/>
  <c r="F19" i="4"/>
  <c r="F21" i="4"/>
  <c r="C80" i="1"/>
  <c r="C9" i="4"/>
  <c r="E9" i="4"/>
  <c r="B9" i="4"/>
  <c r="D9" i="4"/>
  <c r="I8" i="4"/>
  <c r="K7" i="4"/>
  <c r="G8" i="4"/>
  <c r="L8" i="4"/>
  <c r="H8" i="4"/>
  <c r="J8" i="4"/>
  <c r="J7" i="4"/>
  <c r="G7" i="4"/>
  <c r="I7" i="4"/>
  <c r="M8" i="4"/>
  <c r="K8" i="4"/>
  <c r="F8" i="4"/>
  <c r="F7" i="4"/>
  <c r="M7" i="4"/>
  <c r="H7" i="4"/>
  <c r="E22" i="1"/>
  <c r="I22" i="1" s="1"/>
  <c r="C10" i="4" l="1"/>
  <c r="C11" i="4" s="1"/>
  <c r="C16" i="4"/>
  <c r="B10" i="4"/>
  <c r="B11" i="4" s="1"/>
  <c r="B16" i="4"/>
  <c r="E10" i="4"/>
  <c r="E12" i="4" s="1"/>
  <c r="E14" i="4" s="1"/>
  <c r="E16" i="4"/>
  <c r="D10" i="4"/>
  <c r="D11" i="4" s="1"/>
  <c r="D16" i="4"/>
  <c r="B9" i="1" s="1"/>
  <c r="D12" i="4"/>
  <c r="D14" i="4" s="1"/>
  <c r="G9" i="4"/>
  <c r="H9" i="4"/>
  <c r="K9" i="4"/>
  <c r="L7" i="4"/>
  <c r="L9" i="4" s="1"/>
  <c r="I9" i="4"/>
  <c r="J9" i="4"/>
  <c r="M9" i="4"/>
  <c r="F9" i="4"/>
  <c r="E23" i="1"/>
  <c r="B12" i="4" l="1"/>
  <c r="B14" i="4" s="1"/>
  <c r="B17" i="4" s="1"/>
  <c r="B18" i="4" s="1"/>
  <c r="E11" i="4"/>
  <c r="E17" i="4" s="1"/>
  <c r="E18" i="4" s="1"/>
  <c r="C12" i="4"/>
  <c r="C14" i="4" s="1"/>
  <c r="C17" i="4" s="1"/>
  <c r="C18" i="4" s="1"/>
  <c r="J10" i="4"/>
  <c r="J12" i="4" s="1"/>
  <c r="J14" i="4" s="1"/>
  <c r="J16" i="4"/>
  <c r="F10" i="4"/>
  <c r="F11" i="4" s="1"/>
  <c r="F16" i="4"/>
  <c r="K10" i="4"/>
  <c r="K12" i="4" s="1"/>
  <c r="K14" i="4" s="1"/>
  <c r="K16" i="4"/>
  <c r="M10" i="4"/>
  <c r="M12" i="4" s="1"/>
  <c r="M14" i="4" s="1"/>
  <c r="M16" i="4"/>
  <c r="I10" i="4"/>
  <c r="I11" i="4" s="1"/>
  <c r="I16" i="4"/>
  <c r="L10" i="4"/>
  <c r="L12" i="4" s="1"/>
  <c r="L14" i="4" s="1"/>
  <c r="L16" i="4"/>
  <c r="H10" i="4"/>
  <c r="H12" i="4" s="1"/>
  <c r="H14" i="4" s="1"/>
  <c r="H16" i="4"/>
  <c r="G10" i="4"/>
  <c r="G12" i="4" s="1"/>
  <c r="G14" i="4" s="1"/>
  <c r="G16" i="4"/>
  <c r="D17" i="4"/>
  <c r="D18" i="4" s="1"/>
  <c r="E24" i="1"/>
  <c r="I24" i="1" s="1"/>
  <c r="I23" i="1"/>
  <c r="M11" i="4"/>
  <c r="E25" i="1"/>
  <c r="G11" i="4" l="1"/>
  <c r="G17" i="4" s="1"/>
  <c r="G18" i="4" s="1"/>
  <c r="D7" i="5" s="1"/>
  <c r="I12" i="4"/>
  <c r="I14" i="4" s="1"/>
  <c r="I17" i="4" s="1"/>
  <c r="I18" i="4" s="1"/>
  <c r="I21" i="4" s="1"/>
  <c r="L11" i="4"/>
  <c r="L17" i="4" s="1"/>
  <c r="L18" i="4" s="1"/>
  <c r="L21" i="4" s="1"/>
  <c r="H11" i="4"/>
  <c r="H17" i="4" s="1"/>
  <c r="H18" i="4" s="1"/>
  <c r="M17" i="4"/>
  <c r="M18" i="4" s="1"/>
  <c r="M21" i="4" s="1"/>
  <c r="K11" i="4"/>
  <c r="K17" i="4" s="1"/>
  <c r="K18" i="4" s="1"/>
  <c r="F12" i="4"/>
  <c r="F14" i="4" s="1"/>
  <c r="F17" i="4" s="1"/>
  <c r="F18" i="4" s="1"/>
  <c r="J11" i="4"/>
  <c r="J17" i="4" s="1"/>
  <c r="J18" i="4" s="1"/>
  <c r="B20" i="4"/>
  <c r="C2" i="5" s="1"/>
  <c r="C20" i="4"/>
  <c r="C3" i="5" s="1"/>
  <c r="D3" i="5"/>
  <c r="E20" i="4"/>
  <c r="C5" i="5" s="1"/>
  <c r="D5" i="5"/>
  <c r="D2" i="5"/>
  <c r="D20" i="4"/>
  <c r="C4" i="5" s="1"/>
  <c r="D4" i="5"/>
  <c r="E26" i="1"/>
  <c r="I25" i="1"/>
  <c r="G20" i="4" l="1"/>
  <c r="C7" i="5" s="1"/>
  <c r="D8" i="5"/>
  <c r="H20" i="4"/>
  <c r="C8" i="5" s="1"/>
  <c r="L20" i="4"/>
  <c r="C12" i="5" s="1"/>
  <c r="D12" i="5"/>
  <c r="D13" i="5"/>
  <c r="B8" i="1"/>
  <c r="I20" i="4"/>
  <c r="C9" i="5" s="1"/>
  <c r="D9" i="5"/>
  <c r="D6" i="5"/>
  <c r="F20" i="4"/>
  <c r="C6" i="5" s="1"/>
  <c r="K21" i="4"/>
  <c r="B18" i="1" s="1"/>
  <c r="D11" i="5"/>
  <c r="K20" i="4"/>
  <c r="C11" i="5" s="1"/>
  <c r="J21" i="4"/>
  <c r="J20" i="4"/>
  <c r="C10" i="5" s="1"/>
  <c r="D10" i="5"/>
  <c r="M20" i="4"/>
  <c r="C13" i="5" s="1"/>
  <c r="E27" i="1"/>
  <c r="I26" i="1"/>
  <c r="E28" i="1" l="1"/>
  <c r="I27" i="1"/>
  <c r="B79" i="1"/>
  <c r="D79" i="1" s="1"/>
  <c r="B74" i="1"/>
  <c r="D74" i="1" s="1"/>
  <c r="B64" i="1"/>
  <c r="D64" i="1" s="1"/>
  <c r="B34" i="1"/>
  <c r="D34" i="1" s="1"/>
  <c r="B44" i="1"/>
  <c r="D44" i="1" s="1"/>
  <c r="B69" i="1"/>
  <c r="D69" i="1" s="1"/>
  <c r="B49" i="1"/>
  <c r="D49" i="1" s="1"/>
  <c r="B54" i="1"/>
  <c r="D54" i="1" s="1"/>
  <c r="B39" i="1"/>
  <c r="D39" i="1" s="1"/>
  <c r="B24" i="1"/>
  <c r="B29" i="1"/>
  <c r="D29" i="1" s="1"/>
  <c r="B59" i="1"/>
  <c r="D59" i="1" s="1"/>
  <c r="B19" i="1"/>
  <c r="D19" i="1" s="1"/>
  <c r="B6" i="1"/>
  <c r="D18" i="1" l="1"/>
  <c r="B32" i="1"/>
  <c r="D32" i="1" s="1"/>
  <c r="B21" i="1"/>
  <c r="D21" i="1" s="1"/>
  <c r="B25" i="1"/>
  <c r="D25" i="1" s="1"/>
  <c r="B27" i="1"/>
  <c r="D27" i="1" s="1"/>
  <c r="B31" i="1"/>
  <c r="D31" i="1" s="1"/>
  <c r="B28" i="1"/>
  <c r="D28" i="1" s="1"/>
  <c r="B22" i="1"/>
  <c r="D22" i="1" s="1"/>
  <c r="B20" i="1"/>
  <c r="D20" i="1" s="1"/>
  <c r="B23" i="1"/>
  <c r="D23" i="1" s="1"/>
  <c r="B33" i="1"/>
  <c r="D33" i="1" s="1"/>
  <c r="B26" i="1"/>
  <c r="D26" i="1" s="1"/>
  <c r="B30" i="1"/>
  <c r="D30" i="1" s="1"/>
  <c r="D24" i="1"/>
  <c r="E29" i="1"/>
  <c r="I29" i="1" s="1"/>
  <c r="I28" i="1"/>
  <c r="E30" i="1"/>
  <c r="B53" i="1"/>
  <c r="D53" i="1" s="1"/>
  <c r="B65" i="1"/>
  <c r="D65" i="1" s="1"/>
  <c r="B51" i="1"/>
  <c r="D51" i="1" s="1"/>
  <c r="B41" i="1"/>
  <c r="D41" i="1" s="1"/>
  <c r="B40" i="1"/>
  <c r="D40" i="1" s="1"/>
  <c r="B56" i="1"/>
  <c r="D56" i="1" s="1"/>
  <c r="B37" i="1"/>
  <c r="D37" i="1" s="1"/>
  <c r="B61" i="1"/>
  <c r="D61" i="1" s="1"/>
  <c r="B75" i="1"/>
  <c r="D75" i="1" s="1"/>
  <c r="B70" i="1"/>
  <c r="D70" i="1" s="1"/>
  <c r="B42" i="1"/>
  <c r="D42" i="1" s="1"/>
  <c r="B55" i="1"/>
  <c r="D55" i="1" s="1"/>
  <c r="B62" i="1"/>
  <c r="D62" i="1" s="1"/>
  <c r="B73" i="1"/>
  <c r="D73" i="1" s="1"/>
  <c r="B72" i="1"/>
  <c r="D72" i="1" s="1"/>
  <c r="B35" i="1"/>
  <c r="D35" i="1" s="1"/>
  <c r="B36" i="1"/>
  <c r="D36" i="1" s="1"/>
  <c r="B57" i="1"/>
  <c r="D57" i="1" s="1"/>
  <c r="B60" i="1"/>
  <c r="D60" i="1" s="1"/>
  <c r="H18" i="1"/>
  <c r="B43" i="1"/>
  <c r="D43" i="1" s="1"/>
  <c r="B50" i="1"/>
  <c r="D50" i="1" s="1"/>
  <c r="B46" i="1"/>
  <c r="D46" i="1" s="1"/>
  <c r="B45" i="1"/>
  <c r="D45" i="1" s="1"/>
  <c r="B71" i="1"/>
  <c r="D71" i="1" s="1"/>
  <c r="B67" i="1"/>
  <c r="D67" i="1" s="1"/>
  <c r="B38" i="1"/>
  <c r="D38" i="1" s="1"/>
  <c r="B58" i="1"/>
  <c r="D58" i="1" s="1"/>
  <c r="B48" i="1"/>
  <c r="D48" i="1" s="1"/>
  <c r="B47" i="1"/>
  <c r="D47" i="1" s="1"/>
  <c r="B52" i="1"/>
  <c r="D52" i="1" s="1"/>
  <c r="B66" i="1"/>
  <c r="D66" i="1" s="1"/>
  <c r="B78" i="1"/>
  <c r="D78" i="1" s="1"/>
  <c r="B76" i="1"/>
  <c r="D76" i="1" s="1"/>
  <c r="B77" i="1"/>
  <c r="D77" i="1" s="1"/>
  <c r="B68" i="1"/>
  <c r="D68" i="1" s="1"/>
  <c r="B63" i="1"/>
  <c r="D63" i="1" s="1"/>
  <c r="B80" i="1" l="1"/>
  <c r="D80" i="1" s="1"/>
  <c r="E31" i="1"/>
  <c r="I30" i="1"/>
  <c r="H19" i="1"/>
  <c r="E32" i="1" l="1"/>
  <c r="I31" i="1"/>
  <c r="H20" i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E33" i="1" l="1"/>
  <c r="I32" i="1"/>
  <c r="H50" i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E34" i="1" l="1"/>
  <c r="I34" i="1" s="1"/>
  <c r="I33" i="1"/>
  <c r="E35" i="1"/>
  <c r="E36" i="1" l="1"/>
  <c r="I35" i="1"/>
  <c r="E37" i="1" l="1"/>
  <c r="I36" i="1"/>
  <c r="E38" i="1" l="1"/>
  <c r="I37" i="1"/>
  <c r="E39" i="1" l="1"/>
  <c r="I39" i="1" s="1"/>
  <c r="I38" i="1"/>
  <c r="E40" i="1"/>
  <c r="E41" i="1" l="1"/>
  <c r="I40" i="1"/>
  <c r="E42" i="1" l="1"/>
  <c r="I41" i="1"/>
  <c r="E43" i="1" l="1"/>
  <c r="I42" i="1"/>
  <c r="E44" i="1" l="1"/>
  <c r="I44" i="1" s="1"/>
  <c r="I43" i="1"/>
  <c r="E45" i="1"/>
  <c r="E46" i="1" l="1"/>
  <c r="I45" i="1"/>
  <c r="E47" i="1" l="1"/>
  <c r="I46" i="1"/>
  <c r="E48" i="1" l="1"/>
  <c r="I47" i="1"/>
  <c r="E49" i="1" l="1"/>
  <c r="I49" i="1" s="1"/>
  <c r="I48" i="1"/>
  <c r="E50" i="1"/>
  <c r="E51" i="1" l="1"/>
  <c r="I50" i="1"/>
  <c r="E52" i="1" l="1"/>
  <c r="I51" i="1"/>
  <c r="E53" i="1" l="1"/>
  <c r="I52" i="1"/>
  <c r="E54" i="1" l="1"/>
  <c r="I54" i="1" s="1"/>
  <c r="I53" i="1"/>
  <c r="E55" i="1"/>
  <c r="E56" i="1" l="1"/>
  <c r="I55" i="1"/>
  <c r="E57" i="1" l="1"/>
  <c r="I56" i="1"/>
  <c r="E58" i="1" l="1"/>
  <c r="I57" i="1"/>
  <c r="E59" i="1" l="1"/>
  <c r="I59" i="1" s="1"/>
  <c r="I58" i="1"/>
  <c r="E60" i="1"/>
  <c r="E61" i="1" l="1"/>
  <c r="I60" i="1"/>
  <c r="E62" i="1" l="1"/>
  <c r="I61" i="1"/>
  <c r="E63" i="1" l="1"/>
  <c r="I62" i="1"/>
  <c r="E64" i="1" l="1"/>
  <c r="I64" i="1" s="1"/>
  <c r="I63" i="1"/>
  <c r="E65" i="1"/>
  <c r="E66" i="1" l="1"/>
  <c r="I65" i="1"/>
  <c r="E67" i="1" l="1"/>
  <c r="I66" i="1"/>
  <c r="E68" i="1" l="1"/>
  <c r="I67" i="1"/>
  <c r="E70" i="1" l="1"/>
  <c r="E71" i="1" s="1"/>
  <c r="I68" i="1"/>
  <c r="E69" i="1"/>
  <c r="I69" i="1" s="1"/>
  <c r="E72" i="1" l="1"/>
  <c r="I71" i="1"/>
  <c r="I70" i="1"/>
  <c r="I72" i="1" l="1"/>
  <c r="E73" i="1"/>
  <c r="E74" i="1" s="1"/>
  <c r="I74" i="1" s="1"/>
  <c r="E75" i="1" l="1"/>
  <c r="I73" i="1"/>
  <c r="E76" i="1" l="1"/>
  <c r="I75" i="1"/>
  <c r="I76" i="1" l="1"/>
  <c r="E77" i="1"/>
  <c r="E78" i="1" l="1"/>
  <c r="E79" i="1" s="1"/>
  <c r="I77" i="1"/>
  <c r="I79" i="1" l="1"/>
  <c r="I78" i="1"/>
  <c r="D16" i="1"/>
  <c r="E19" i="1" s="1"/>
  <c r="E80" i="1" l="1"/>
  <c r="I19" i="1"/>
</calcChain>
</file>

<file path=xl/sharedStrings.xml><?xml version="1.0" encoding="utf-8"?>
<sst xmlns="http://schemas.openxmlformats.org/spreadsheetml/2006/main" count="116" uniqueCount="95">
  <si>
    <t>رقم الوحده</t>
  </si>
  <si>
    <t>سعر الوحده</t>
  </si>
  <si>
    <t>المساحه</t>
  </si>
  <si>
    <t>موعد الاستحقاق</t>
  </si>
  <si>
    <t>دفعه تعاقد</t>
  </si>
  <si>
    <t>القسط الاول</t>
  </si>
  <si>
    <t>القسط الثانى</t>
  </si>
  <si>
    <t>القسط الثالث</t>
  </si>
  <si>
    <t>القسط الرابع</t>
  </si>
  <si>
    <t>القسط الخامس</t>
  </si>
  <si>
    <t>القسط السادس</t>
  </si>
  <si>
    <t>القسط السابع</t>
  </si>
  <si>
    <t>القسط الثامن</t>
  </si>
  <si>
    <t>القسط التاسع</t>
  </si>
  <si>
    <t>القسط العاشر</t>
  </si>
  <si>
    <t>القسط الحادي عشر</t>
  </si>
  <si>
    <t>القسط الثاني عشر</t>
  </si>
  <si>
    <t>القسط الثالث عشر</t>
  </si>
  <si>
    <t>القسط الرابع عشر</t>
  </si>
  <si>
    <t>القسط الخامس عشر</t>
  </si>
  <si>
    <t>القسط السادس عشر</t>
  </si>
  <si>
    <t>القسط السابع عشر</t>
  </si>
  <si>
    <t xml:space="preserve">القسط الثامن عشر </t>
  </si>
  <si>
    <t>القسط التاسع عشر</t>
  </si>
  <si>
    <t>القسط العشرون</t>
  </si>
  <si>
    <t>دفعة التعاقد</t>
  </si>
  <si>
    <t>سنوات القسط</t>
  </si>
  <si>
    <t>رقم العمارة</t>
  </si>
  <si>
    <t>دفعة الاستلام</t>
  </si>
  <si>
    <t>سعر المتر اساسى</t>
  </si>
  <si>
    <t>سعر المتر تقسيط</t>
  </si>
  <si>
    <t xml:space="preserve">القسط الحادي والعشرون </t>
  </si>
  <si>
    <t>القسط الثاني والعشرون</t>
  </si>
  <si>
    <t>القسط الثالث والعشرون</t>
  </si>
  <si>
    <t xml:space="preserve">القسط الرابع والعشرون </t>
  </si>
  <si>
    <t>القسط الخامس والعشرون</t>
  </si>
  <si>
    <t xml:space="preserve">القسط السادس والعشرون </t>
  </si>
  <si>
    <t xml:space="preserve">القسط السابع والعشرون </t>
  </si>
  <si>
    <t xml:space="preserve">القسط الثامن والعشرون </t>
  </si>
  <si>
    <t xml:space="preserve">القسط التاسع والعشرون </t>
  </si>
  <si>
    <t>القسط الثلاثون</t>
  </si>
  <si>
    <t>القسط الحادي والثلاثون</t>
  </si>
  <si>
    <t xml:space="preserve">القسط الثاني والثلاثون </t>
  </si>
  <si>
    <t xml:space="preserve">القسط الثالث والثلاثون </t>
  </si>
  <si>
    <t xml:space="preserve">القسط الرابع والثلاثون </t>
  </si>
  <si>
    <t>القسط الخامس والثلاثون</t>
  </si>
  <si>
    <t xml:space="preserve">القسط السادس والثلاثون </t>
  </si>
  <si>
    <t xml:space="preserve">القسط السابع والثلاثون </t>
  </si>
  <si>
    <t>القسط الثامن والثلاثون</t>
  </si>
  <si>
    <t>القسط التاسع والثلاثون</t>
  </si>
  <si>
    <t>القسط الأربعون</t>
  </si>
  <si>
    <t>المجموع</t>
  </si>
  <si>
    <t>دفعة سنوية</t>
  </si>
  <si>
    <t>الفئة</t>
  </si>
  <si>
    <t>دفعة صيانة</t>
  </si>
  <si>
    <t>القسط الواحد و الاربعون</t>
  </si>
  <si>
    <t>القسط الاثانى و الاربعون</t>
  </si>
  <si>
    <t>القسط الثالث و الاربعون</t>
  </si>
  <si>
    <t>القسط الرابع و الاربعون</t>
  </si>
  <si>
    <t>القسط الخامس و الاربعون</t>
  </si>
  <si>
    <t>القسط السادس والاربعون</t>
  </si>
  <si>
    <t>القسط السابع و الاربعون</t>
  </si>
  <si>
    <t>القسط الثامن و الاربعون</t>
  </si>
  <si>
    <t>نسبة مأوية</t>
  </si>
  <si>
    <t>تقسيط</t>
  </si>
  <si>
    <t>دفعة واحدة</t>
  </si>
  <si>
    <t>سعر المتر</t>
  </si>
  <si>
    <t>المساحة</t>
  </si>
  <si>
    <t>سعر الوحدة المبدأى</t>
  </si>
  <si>
    <t>دفعة مقدم</t>
  </si>
  <si>
    <t>دفعة استلام</t>
  </si>
  <si>
    <t>المتبقى</t>
  </si>
  <si>
    <t>النسبة السنوية للمتبقى</t>
  </si>
  <si>
    <t>النسبة بدون فوائد</t>
  </si>
  <si>
    <t>النسبة بفوائد</t>
  </si>
  <si>
    <t>الفائدة</t>
  </si>
  <si>
    <t>مجموع الارقام</t>
  </si>
  <si>
    <t>مجموع الوحدة</t>
  </si>
  <si>
    <t>سعر المتر فئة</t>
  </si>
  <si>
    <t>متر فئة</t>
  </si>
  <si>
    <t>سعر متر الحديقة/رووف</t>
  </si>
  <si>
    <t>جاردن</t>
  </si>
  <si>
    <t>رووف</t>
  </si>
  <si>
    <t>بدون</t>
  </si>
  <si>
    <t>وديعة الصيانة</t>
  </si>
  <si>
    <t>القيمة الوحدة</t>
  </si>
  <si>
    <t>قيمة الصيانة</t>
  </si>
  <si>
    <t>سنوى</t>
  </si>
  <si>
    <t>عدد السنوات</t>
  </si>
  <si>
    <t>سعر الوحدة</t>
  </si>
  <si>
    <t>نسبة الخصم</t>
  </si>
  <si>
    <t>الخصم</t>
  </si>
  <si>
    <t>المقدم</t>
  </si>
  <si>
    <t>سعر الوحدة الاساسى</t>
  </si>
  <si>
    <t>المرفق المالى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</si>
</sst>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[$-2010000]d/mm/yyyy;@"/>
    <numFmt numFmtId="166" formatCode="0.000%"/>
    <numFmt numFmtId="167" formatCode="yyyy\-mm\-dd;@"/>
    <numFmt numFmtId="168" formatCode="_-[$EGP]\ * #,##0.00_-;\-[$EGP]\ * #,##0.00_-;_-[$EGP]\ * &quot;-&quot;??_-;_-@_-"/>
    <numFmt numFmtId="169" formatCode="_([$EGP]\ * #,##0.00_);_([$EGP]\ * \(#,##0.00\);_([$EGP]\ * &quot;-&quot;??_);_(@_)"/>
    <numFmt numFmtId="170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1"/>
      <color rgb="FFFF0000"/>
      <name val="Calibri Light"/>
      <family val="2"/>
      <scheme val="major"/>
    </font>
    <font>
      <b/>
      <sz val="28"/>
      <color theme="1"/>
      <name val="Calibri Light"/>
      <family val="2"/>
      <scheme val="maj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9">
    <xf numFmtId="0" fontId="0" fillId="0" borderId="0" xfId="0"/>
    <xf numFmtId="9" fontId="0" fillId="0" borderId="0" xfId="1" applyFont="1"/>
    <xf numFmtId="0" fontId="4" fillId="0" borderId="0" xfId="0" applyFont="1" applyAlignment="1">
      <alignment vertical="center"/>
    </xf>
    <xf numFmtId="0" fontId="0" fillId="0" borderId="0" xfId="0" applyFont="1"/>
    <xf numFmtId="0" fontId="6" fillId="2" borderId="5" xfId="2" applyFont="1" applyFill="1" applyBorder="1" applyAlignment="1">
      <alignment horizontal="center" vertical="center" wrapText="1"/>
    </xf>
    <xf numFmtId="0" fontId="6" fillId="2" borderId="6" xfId="2" applyFont="1" applyFill="1" applyBorder="1" applyAlignment="1">
      <alignment horizontal="center" vertical="center" wrapText="1"/>
    </xf>
    <xf numFmtId="169" fontId="6" fillId="6" borderId="12" xfId="3" applyNumberFormat="1" applyFont="1" applyFill="1" applyBorder="1" applyAlignment="1" applyProtection="1">
      <alignment horizontal="center" vertical="center" wrapText="1"/>
      <protection locked="0"/>
    </xf>
    <xf numFmtId="166" fontId="0" fillId="0" borderId="0" xfId="0" applyNumberFormat="1" applyFont="1"/>
    <xf numFmtId="0" fontId="6" fillId="6" borderId="17" xfId="3" applyNumberFormat="1" applyFont="1" applyFill="1" applyBorder="1" applyAlignment="1" applyProtection="1">
      <alignment horizontal="center" vertical="center" wrapText="1"/>
      <protection locked="0"/>
    </xf>
    <xf numFmtId="0" fontId="5" fillId="4" borderId="3" xfId="0" applyFont="1" applyFill="1" applyBorder="1" applyAlignment="1">
      <alignment horizontal="center" vertical="center" wrapText="1" readingOrder="2"/>
    </xf>
    <xf numFmtId="1" fontId="5" fillId="4" borderId="4" xfId="0" applyNumberFormat="1" applyFont="1" applyFill="1" applyBorder="1" applyAlignment="1">
      <alignment horizontal="center" vertical="center" wrapText="1" readingOrder="2"/>
    </xf>
    <xf numFmtId="165" fontId="5" fillId="4" borderId="4" xfId="0" applyNumberFormat="1" applyFont="1" applyFill="1" applyBorder="1" applyAlignment="1">
      <alignment horizontal="center" vertical="center" wrapText="1" readingOrder="2"/>
    </xf>
    <xf numFmtId="0" fontId="5" fillId="0" borderId="3" xfId="0" applyFont="1" applyBorder="1" applyAlignment="1">
      <alignment horizontal="center" vertical="center" wrapText="1" readingOrder="2"/>
    </xf>
    <xf numFmtId="168" fontId="6" fillId="5" borderId="2" xfId="2" applyNumberFormat="1" applyFont="1" applyFill="1" applyBorder="1" applyAlignment="1">
      <alignment horizontal="center" vertical="center" wrapText="1" readingOrder="1"/>
    </xf>
    <xf numFmtId="10" fontId="6" fillId="5" borderId="2" xfId="1" applyNumberFormat="1" applyFont="1" applyFill="1" applyBorder="1" applyAlignment="1">
      <alignment horizontal="center" vertical="center" wrapText="1" readingOrder="1"/>
    </xf>
    <xf numFmtId="167" fontId="6" fillId="6" borderId="2" xfId="2" applyNumberFormat="1" applyFont="1" applyFill="1" applyBorder="1" applyAlignment="1" applyProtection="1">
      <alignment horizontal="center" vertical="center" wrapText="1"/>
      <protection locked="0"/>
    </xf>
    <xf numFmtId="10" fontId="0" fillId="0" borderId="0" xfId="0" applyNumberFormat="1" applyFont="1"/>
    <xf numFmtId="167" fontId="0" fillId="0" borderId="0" xfId="0" applyNumberFormat="1" applyFont="1"/>
    <xf numFmtId="167" fontId="6" fillId="5" borderId="2" xfId="2" applyNumberFormat="1" applyFont="1" applyFill="1" applyBorder="1" applyAlignment="1">
      <alignment horizontal="center" vertical="center" wrapText="1"/>
    </xf>
    <xf numFmtId="168" fontId="0" fillId="0" borderId="0" xfId="0" applyNumberFormat="1" applyFont="1"/>
    <xf numFmtId="0" fontId="6" fillId="5" borderId="2" xfId="2" applyNumberFormat="1" applyFont="1" applyFill="1" applyBorder="1" applyAlignment="1">
      <alignment horizontal="center" vertical="center" wrapText="1"/>
    </xf>
    <xf numFmtId="169" fontId="6" fillId="5" borderId="16" xfId="3" applyNumberFormat="1" applyFont="1" applyFill="1" applyBorder="1" applyAlignment="1" applyProtection="1">
      <alignment vertical="center" wrapText="1"/>
    </xf>
    <xf numFmtId="0" fontId="0" fillId="6" borderId="3" xfId="0" applyFont="1" applyFill="1" applyBorder="1" applyProtection="1">
      <protection locked="0"/>
    </xf>
    <xf numFmtId="9" fontId="0" fillId="6" borderId="3" xfId="0" applyNumberFormat="1" applyFont="1" applyFill="1" applyBorder="1" applyProtection="1">
      <protection locked="0"/>
    </xf>
    <xf numFmtId="0" fontId="4" fillId="7" borderId="2" xfId="0" applyFont="1" applyFill="1" applyBorder="1" applyAlignment="1">
      <alignment horizontal="center"/>
    </xf>
    <xf numFmtId="170" fontId="0" fillId="0" borderId="2" xfId="0" applyNumberFormat="1" applyBorder="1" applyAlignment="1">
      <alignment horizontal="center"/>
    </xf>
    <xf numFmtId="167" fontId="7" fillId="5" borderId="2" xfId="2" applyNumberFormat="1" applyFont="1" applyFill="1" applyBorder="1" applyAlignment="1" applyProtection="1">
      <alignment horizontal="center" vertical="center" wrapText="1"/>
    </xf>
    <xf numFmtId="0" fontId="9" fillId="0" borderId="0" xfId="0" applyFont="1"/>
    <xf numFmtId="164" fontId="9" fillId="0" borderId="0" xfId="4" applyFont="1"/>
    <xf numFmtId="0" fontId="9" fillId="0" borderId="2" xfId="0" applyFont="1" applyBorder="1"/>
    <xf numFmtId="164" fontId="9" fillId="0" borderId="2" xfId="4" applyFont="1" applyBorder="1"/>
    <xf numFmtId="166" fontId="9" fillId="0" borderId="2" xfId="1" applyNumberFormat="1" applyFont="1" applyBorder="1"/>
    <xf numFmtId="0" fontId="10" fillId="0" borderId="2" xfId="0" applyFont="1" applyBorder="1"/>
    <xf numFmtId="164" fontId="10" fillId="0" borderId="2" xfId="4" applyFont="1" applyBorder="1"/>
    <xf numFmtId="0" fontId="10" fillId="8" borderId="2" xfId="0" applyFont="1" applyFill="1" applyBorder="1"/>
    <xf numFmtId="164" fontId="9" fillId="8" borderId="2" xfId="4" applyFont="1" applyFill="1" applyBorder="1"/>
    <xf numFmtId="0" fontId="9" fillId="8" borderId="0" xfId="0" applyFont="1" applyFill="1"/>
    <xf numFmtId="0" fontId="10" fillId="9" borderId="2" xfId="0" applyFont="1" applyFill="1" applyBorder="1"/>
    <xf numFmtId="167" fontId="7" fillId="5" borderId="18" xfId="2" applyNumberFormat="1" applyFont="1" applyFill="1" applyBorder="1" applyAlignment="1">
      <alignment horizontal="center" vertical="center" wrapText="1"/>
    </xf>
    <xf numFmtId="167" fontId="7" fillId="5" borderId="19" xfId="2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69" fontId="6" fillId="5" borderId="10" xfId="3" applyNumberFormat="1" applyFont="1" applyFill="1" applyBorder="1" applyAlignment="1">
      <alignment horizontal="center" vertical="center" wrapText="1"/>
    </xf>
    <xf numFmtId="169" fontId="6" fillId="5" borderId="11" xfId="3" applyNumberFormat="1" applyFont="1" applyFill="1" applyBorder="1" applyAlignment="1">
      <alignment horizontal="center" vertical="center" wrapText="1"/>
    </xf>
    <xf numFmtId="169" fontId="6" fillId="5" borderId="13" xfId="3" applyNumberFormat="1" applyFont="1" applyFill="1" applyBorder="1" applyAlignment="1">
      <alignment horizontal="center" vertical="center" wrapText="1"/>
    </xf>
    <xf numFmtId="1" fontId="6" fillId="6" borderId="10" xfId="2" applyNumberFormat="1" applyFont="1" applyFill="1" applyBorder="1" applyAlignment="1" applyProtection="1">
      <alignment horizontal="center" vertical="center" wrapText="1"/>
      <protection locked="0"/>
    </xf>
    <xf numFmtId="1" fontId="6" fillId="6" borderId="11" xfId="2" applyNumberFormat="1" applyFont="1" applyFill="1" applyBorder="1" applyAlignment="1" applyProtection="1">
      <alignment horizontal="center" vertical="center" wrapText="1"/>
      <protection locked="0"/>
    </xf>
    <xf numFmtId="1" fontId="6" fillId="6" borderId="12" xfId="2" applyNumberFormat="1" applyFont="1" applyFill="1" applyBorder="1" applyAlignment="1" applyProtection="1">
      <alignment horizontal="center" vertical="center" wrapText="1"/>
      <protection locked="0"/>
    </xf>
    <xf numFmtId="0" fontId="6" fillId="6" borderId="7" xfId="2" applyFont="1" applyFill="1" applyBorder="1" applyAlignment="1" applyProtection="1">
      <alignment horizontal="center" vertical="center" wrapText="1"/>
      <protection locked="0"/>
    </xf>
    <xf numFmtId="0" fontId="6" fillId="6" borderId="8" xfId="2" applyFont="1" applyFill="1" applyBorder="1" applyAlignment="1" applyProtection="1">
      <alignment horizontal="center" vertical="center" wrapText="1"/>
      <protection locked="0"/>
    </xf>
    <xf numFmtId="0" fontId="6" fillId="6" borderId="9" xfId="2" applyFont="1" applyFill="1" applyBorder="1" applyAlignment="1" applyProtection="1">
      <alignment horizontal="center" vertical="center" wrapText="1"/>
      <protection locked="0"/>
    </xf>
    <xf numFmtId="169" fontId="6" fillId="3" borderId="15" xfId="3" applyNumberFormat="1" applyFont="1" applyFill="1" applyBorder="1" applyAlignment="1">
      <alignment horizontal="center" vertical="center" wrapText="1"/>
    </xf>
    <xf numFmtId="169" fontId="6" fillId="3" borderId="13" xfId="3" applyNumberFormat="1" applyFont="1" applyFill="1" applyBorder="1" applyAlignment="1">
      <alignment horizontal="center" vertical="center" wrapText="1"/>
    </xf>
    <xf numFmtId="169" fontId="6" fillId="3" borderId="2" xfId="3" applyNumberFormat="1" applyFont="1" applyFill="1" applyBorder="1" applyAlignment="1">
      <alignment horizontal="center" vertical="center" wrapText="1"/>
    </xf>
    <xf numFmtId="169" fontId="6" fillId="3" borderId="14" xfId="3" applyNumberFormat="1" applyFont="1" applyFill="1" applyBorder="1" applyAlignment="1">
      <alignment horizontal="center" vertical="center" wrapText="1"/>
    </xf>
    <xf numFmtId="169" fontId="6" fillId="3" borderId="10" xfId="3" applyNumberFormat="1" applyFont="1" applyFill="1" applyBorder="1" applyAlignment="1">
      <alignment horizontal="center" vertical="center" wrapText="1"/>
    </xf>
    <xf numFmtId="169" fontId="6" fillId="3" borderId="11" xfId="3" applyNumberFormat="1" applyFont="1" applyFill="1" applyBorder="1" applyAlignment="1">
      <alignment horizontal="center" vertical="center" wrapText="1"/>
    </xf>
    <xf numFmtId="169" fontId="6" fillId="3" borderId="12" xfId="3" applyNumberFormat="1" applyFont="1" applyFill="1" applyBorder="1" applyAlignment="1">
      <alignment horizontal="center" vertical="center" wrapText="1"/>
    </xf>
    <xf numFmtId="2" fontId="6" fillId="6" borderId="10" xfId="2" applyNumberFormat="1" applyFont="1" applyFill="1" applyBorder="1" applyAlignment="1" applyProtection="1">
      <alignment horizontal="center" vertical="center" wrapText="1"/>
      <protection locked="0"/>
    </xf>
    <xf numFmtId="2" fontId="6" fillId="6" borderId="11" xfId="2" applyNumberFormat="1" applyFont="1" applyFill="1" applyBorder="1" applyAlignment="1" applyProtection="1">
      <alignment horizontal="center" vertical="center" wrapText="1"/>
      <protection locked="0"/>
    </xf>
    <xf numFmtId="2" fontId="6" fillId="6" borderId="12" xfId="2" applyNumberFormat="1" applyFont="1" applyFill="1" applyBorder="1" applyAlignment="1" applyProtection="1">
      <alignment horizontal="center" vertical="center" wrapText="1"/>
      <protection locked="0"/>
    </xf>
    <xf numFmtId="9" fontId="6" fillId="6" borderId="10" xfId="1" applyFont="1" applyFill="1" applyBorder="1" applyAlignment="1" applyProtection="1">
      <alignment horizontal="center" vertical="center" wrapText="1"/>
      <protection locked="0"/>
    </xf>
    <xf numFmtId="9" fontId="6" fillId="6" borderId="11" xfId="1" applyFont="1" applyFill="1" applyBorder="1" applyAlignment="1" applyProtection="1">
      <alignment horizontal="center" vertical="center" wrapText="1"/>
      <protection locked="0"/>
    </xf>
    <xf numFmtId="9" fontId="6" fillId="6" borderId="12" xfId="1" applyFont="1" applyFill="1" applyBorder="1" applyAlignment="1" applyProtection="1">
      <alignment horizontal="center" vertical="center" wrapText="1"/>
      <protection locked="0"/>
    </xf>
    <xf numFmtId="0" fontId="6" fillId="6" borderId="10" xfId="2" applyFont="1" applyFill="1" applyBorder="1" applyAlignment="1" applyProtection="1">
      <alignment horizontal="center" vertical="center" wrapText="1"/>
      <protection locked="0"/>
    </xf>
    <xf numFmtId="0" fontId="6" fillId="6" borderId="11" xfId="2" applyFont="1" applyFill="1" applyBorder="1" applyAlignment="1" applyProtection="1">
      <alignment horizontal="center" vertical="center" wrapText="1"/>
      <protection locked="0"/>
    </xf>
    <xf numFmtId="0" fontId="6" fillId="6" borderId="12" xfId="2" applyFont="1" applyFill="1" applyBorder="1" applyAlignment="1" applyProtection="1">
      <alignment horizontal="center" vertical="center" wrapText="1"/>
      <protection locked="0"/>
    </xf>
    <xf numFmtId="2" fontId="0" fillId="0" borderId="20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</cellXfs>
  <cellStyles count="5">
    <cellStyle name="Comma" xfId="4" builtinId="3"/>
    <cellStyle name="Currency" xfId="3" builtinId="4"/>
    <cellStyle name="Heading 1" xfId="2" builtinId="1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918883</xdr:colOff>
      <xdr:row>0</xdr:row>
      <xdr:rowOff>235324</xdr:rowOff>
    </xdr:from>
    <xdr:to>
      <xdr:col>5</xdr:col>
      <xdr:colOff>78441</xdr:colOff>
      <xdr:row>0</xdr:row>
      <xdr:rowOff>911071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0D3361-4C68-4869-9C85-CDDC1B5226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441" y="235324"/>
          <a:ext cx="2622176" cy="6757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82"/>
  <sheetViews>
    <sheetView rightToLeft="1" topLeftCell="A10" zoomScale="85" zoomScaleNormal="85" workbookViewId="0">
      <selection activeCell="B9" sqref="B9:E9"/>
    </sheetView>
  </sheetViews>
  <sheetFormatPr defaultColWidth="9.140625" defaultRowHeight="15" zeroHeight="1" x14ac:dyDescent="0.25"/>
  <cols>
    <col min="1" max="1" width="22.85546875" style="3" bestFit="1" customWidth="1"/>
    <col min="2" max="2" width="25.28515625" style="3" bestFit="1" customWidth="1"/>
    <col min="3" max="3" width="23.28515625" style="3" bestFit="1" customWidth="1"/>
    <col min="4" max="4" width="11.85546875" style="3" customWidth="1"/>
    <col min="5" max="5" width="16.5703125" style="3" bestFit="1" customWidth="1"/>
    <col min="6" max="6" width="13.85546875" style="3" customWidth="1"/>
    <col min="7" max="7" width="4.28515625" style="3" customWidth="1"/>
    <col min="8" max="8" width="9.42578125" style="3" customWidth="1"/>
    <col min="9" max="9" width="13.42578125" style="3" customWidth="1"/>
    <col min="10" max="10" width="8.7109375" style="3" customWidth="1"/>
    <col min="11" max="11" width="9.140625" style="3"/>
    <col min="12" max="12" width="10.85546875" style="3" customWidth="1"/>
    <col min="13" max="13" width="4.28515625" style="3" customWidth="1"/>
    <col min="14" max="14" width="9.7109375" style="3" customWidth="1"/>
    <col min="15" max="16" width="9.140625" style="3"/>
    <col min="17" max="17" width="9.28515625" style="3" customWidth="1"/>
    <col min="18" max="18" width="6.85546875" style="3" customWidth="1"/>
    <col min="19" max="16384" width="9.140625" style="3"/>
  </cols>
  <sheetData>
    <row r="1" spans="1:18" ht="93" customHeight="1" thickBot="1" x14ac:dyDescent="0.3">
      <c r="A1" s="40" t="s">
        <v>94</v>
      </c>
      <c r="B1" s="40"/>
      <c r="C1" s="40"/>
      <c r="D1" s="40"/>
      <c r="E1" s="40"/>
      <c r="F1" s="2"/>
    </row>
    <row r="2" spans="1:18" x14ac:dyDescent="0.25">
      <c r="A2" s="4" t="s">
        <v>0</v>
      </c>
      <c r="B2" s="47">
        <v>21</v>
      </c>
      <c r="C2" s="48"/>
      <c r="D2" s="48"/>
      <c r="E2" s="49"/>
    </row>
    <row r="3" spans="1:18" x14ac:dyDescent="0.25">
      <c r="A3" s="4" t="s">
        <v>27</v>
      </c>
      <c r="B3" s="63">
        <v>17</v>
      </c>
      <c r="C3" s="64"/>
      <c r="D3" s="64"/>
      <c r="E3" s="65"/>
      <c r="J3" s="1">
        <v>0.1</v>
      </c>
    </row>
    <row r="4" spans="1:18" ht="15.75" thickBot="1" x14ac:dyDescent="0.3">
      <c r="A4" s="4" t="s">
        <v>2</v>
      </c>
      <c r="B4" s="57">
        <v>223</v>
      </c>
      <c r="C4" s="58"/>
      <c r="D4" s="58"/>
      <c r="E4" s="59"/>
      <c r="J4" s="1">
        <v>0.25</v>
      </c>
    </row>
    <row r="5" spans="1:18" ht="15.75" thickBot="1" x14ac:dyDescent="0.3">
      <c r="A5" s="5" t="s">
        <v>29</v>
      </c>
      <c r="B5" s="50">
        <f>$F$5*(1-$F$6)</f>
        <v>10450</v>
      </c>
      <c r="C5" s="51"/>
      <c r="D5" s="52"/>
      <c r="E5" s="53"/>
      <c r="F5" s="22">
        <v>10450</v>
      </c>
      <c r="J5" s="1">
        <v>0.1</v>
      </c>
    </row>
    <row r="6" spans="1:18" ht="15.75" thickBot="1" x14ac:dyDescent="0.3">
      <c r="A6" s="4" t="s">
        <v>30</v>
      </c>
      <c r="B6" s="50">
        <f>$B$8/$B$4</f>
        <v>9039.25</v>
      </c>
      <c r="C6" s="51"/>
      <c r="D6" s="52"/>
      <c r="E6" s="53"/>
      <c r="F6" s="23">
        <v>0</v>
      </c>
      <c r="J6" s="7">
        <v>0</v>
      </c>
      <c r="M6" s="3">
        <v>5</v>
      </c>
      <c r="N6" s="7">
        <v>0</v>
      </c>
      <c r="Q6" s="3" t="s">
        <v>81</v>
      </c>
      <c r="R6" s="3">
        <v>1250</v>
      </c>
    </row>
    <row r="7" spans="1:18" x14ac:dyDescent="0.25">
      <c r="A7" s="4" t="s">
        <v>93</v>
      </c>
      <c r="B7" s="54">
        <f>HLOOKUP($B$13,'NEW ENGINE'!$1:$18,6,0)</f>
        <v>2330350</v>
      </c>
      <c r="C7" s="55"/>
      <c r="D7" s="55"/>
      <c r="E7" s="56"/>
      <c r="F7"/>
      <c r="J7" s="7"/>
      <c r="N7" s="7"/>
    </row>
    <row r="8" spans="1:18" x14ac:dyDescent="0.25">
      <c r="A8" s="4" t="s">
        <v>1</v>
      </c>
      <c r="B8" s="54">
        <f>HLOOKUP($B$13,'NEW ENGINE'!$1:$18,18,0)</f>
        <v>2015752.75</v>
      </c>
      <c r="C8" s="55"/>
      <c r="D8" s="55"/>
      <c r="E8" s="56"/>
      <c r="F8" s="19"/>
      <c r="M8" s="3">
        <v>6</v>
      </c>
      <c r="N8" s="7">
        <v>9.7500000000000003E-2</v>
      </c>
      <c r="Q8" s="3" t="s">
        <v>82</v>
      </c>
      <c r="R8" s="3">
        <v>1500</v>
      </c>
    </row>
    <row r="9" spans="1:18" x14ac:dyDescent="0.25">
      <c r="A9" s="4" t="s">
        <v>91</v>
      </c>
      <c r="B9" s="54">
        <f>HLOOKUP($B$13,'NEW ENGINE'!$1:$18,16,0)</f>
        <v>314597.25</v>
      </c>
      <c r="C9" s="55"/>
      <c r="D9" s="55"/>
      <c r="E9" s="56"/>
      <c r="F9" s="19"/>
      <c r="N9" s="7"/>
    </row>
    <row r="10" spans="1:18" x14ac:dyDescent="0.25">
      <c r="A10" s="4" t="s">
        <v>25</v>
      </c>
      <c r="B10" s="60">
        <v>0.1</v>
      </c>
      <c r="C10" s="61"/>
      <c r="D10" s="61"/>
      <c r="E10" s="62"/>
      <c r="M10" s="3">
        <v>7</v>
      </c>
      <c r="N10" s="7">
        <v>0.14624999999999999</v>
      </c>
      <c r="Q10" s="3" t="s">
        <v>83</v>
      </c>
      <c r="R10" s="3">
        <v>0</v>
      </c>
    </row>
    <row r="11" spans="1:18" x14ac:dyDescent="0.25">
      <c r="A11" s="4" t="s">
        <v>28</v>
      </c>
      <c r="B11" s="60">
        <v>0</v>
      </c>
      <c r="C11" s="61"/>
      <c r="D11" s="61"/>
      <c r="E11" s="62"/>
      <c r="N11" s="7"/>
      <c r="Q11" s="3" t="s">
        <v>65</v>
      </c>
    </row>
    <row r="12" spans="1:18" x14ac:dyDescent="0.25">
      <c r="A12" s="4" t="s">
        <v>52</v>
      </c>
      <c r="B12" s="60">
        <v>0</v>
      </c>
      <c r="C12" s="61"/>
      <c r="D12" s="61"/>
      <c r="E12" s="62"/>
      <c r="M12" s="3">
        <v>8</v>
      </c>
      <c r="N12" s="7">
        <v>0.19500000000000001</v>
      </c>
      <c r="Q12" s="3" t="s">
        <v>64</v>
      </c>
    </row>
    <row r="13" spans="1:18" x14ac:dyDescent="0.25">
      <c r="A13" s="4" t="s">
        <v>26</v>
      </c>
      <c r="B13" s="44">
        <v>1</v>
      </c>
      <c r="C13" s="45"/>
      <c r="D13" s="45"/>
      <c r="E13" s="46"/>
      <c r="M13" s="3">
        <v>9</v>
      </c>
      <c r="N13" s="7">
        <v>0.24437</v>
      </c>
    </row>
    <row r="14" spans="1:18" x14ac:dyDescent="0.25">
      <c r="A14" s="4" t="s">
        <v>53</v>
      </c>
      <c r="B14" s="44">
        <v>0</v>
      </c>
      <c r="C14" s="45"/>
      <c r="D14" s="45"/>
      <c r="E14" s="46"/>
      <c r="N14" s="7"/>
      <c r="Q14" s="3">
        <v>1</v>
      </c>
    </row>
    <row r="15" spans="1:18" x14ac:dyDescent="0.25">
      <c r="A15" s="4" t="s">
        <v>80</v>
      </c>
      <c r="B15" s="41">
        <f>VLOOKUP($E$15,$Q$6:$R$10,2,0)</f>
        <v>0</v>
      </c>
      <c r="C15" s="42"/>
      <c r="D15" s="43"/>
      <c r="E15" s="6" t="s">
        <v>83</v>
      </c>
      <c r="N15" s="7"/>
      <c r="Q15" s="3">
        <v>2</v>
      </c>
    </row>
    <row r="16" spans="1:18" ht="15.75" thickBot="1" x14ac:dyDescent="0.3">
      <c r="A16" s="4" t="s">
        <v>54</v>
      </c>
      <c r="B16" s="21">
        <f>(($F$5*$B$4)+($B$14*$B$15))*8%</f>
        <v>186428</v>
      </c>
      <c r="C16" s="8" t="s">
        <v>65</v>
      </c>
      <c r="D16" s="38">
        <f ca="1">OFFSET($H$18,COUNTIF($H$18:$H$79,"&lt;0.25"),1,1)</f>
        <v>44580</v>
      </c>
      <c r="E16" s="39"/>
      <c r="N16" s="7"/>
      <c r="Q16" s="3">
        <v>3</v>
      </c>
    </row>
    <row r="17" spans="1:17" ht="15.75" thickBot="1" x14ac:dyDescent="0.3">
      <c r="A17" s="9"/>
      <c r="B17" s="10" t="s">
        <v>85</v>
      </c>
      <c r="C17" s="10" t="s">
        <v>86</v>
      </c>
      <c r="D17" s="10" t="s">
        <v>63</v>
      </c>
      <c r="E17" s="11" t="s">
        <v>3</v>
      </c>
      <c r="M17" s="3">
        <v>10</v>
      </c>
      <c r="N17" s="7">
        <v>0.29249999999999998</v>
      </c>
      <c r="Q17" s="3" t="s">
        <v>87</v>
      </c>
    </row>
    <row r="18" spans="1:17" ht="15.75" thickBot="1" x14ac:dyDescent="0.3">
      <c r="A18" s="12" t="s">
        <v>4</v>
      </c>
      <c r="B18" s="13">
        <f>HLOOKUP($B$13,'NEW ENGINE'!$A$1:$M$21,21,0)</f>
        <v>233035</v>
      </c>
      <c r="C18" s="13"/>
      <c r="D18" s="14">
        <f t="shared" ref="D18:D79" si="0">IFERROR(B18/$B$8,0)</f>
        <v>0.11560693641618497</v>
      </c>
      <c r="E18" s="15">
        <v>44488</v>
      </c>
      <c r="H18" s="16">
        <f>D18</f>
        <v>0.11560693641618497</v>
      </c>
      <c r="I18" s="17">
        <f>E18</f>
        <v>44488</v>
      </c>
      <c r="Q18" s="3" t="s">
        <v>65</v>
      </c>
    </row>
    <row r="19" spans="1:17" ht="15.75" thickBot="1" x14ac:dyDescent="0.3">
      <c r="A19" s="12" t="s">
        <v>28</v>
      </c>
      <c r="B19" s="13">
        <f>B8*B11</f>
        <v>0</v>
      </c>
      <c r="C19" s="13">
        <f>IF($C$16="دفعة واحدة",$B$16,"-")</f>
        <v>186428</v>
      </c>
      <c r="D19" s="14">
        <f t="shared" si="0"/>
        <v>0</v>
      </c>
      <c r="E19" s="26">
        <f ca="1">D16</f>
        <v>44580</v>
      </c>
      <c r="H19" s="16">
        <f>H18+D19</f>
        <v>0.11560693641618497</v>
      </c>
      <c r="I19" s="17">
        <f t="shared" ref="I19:I79" ca="1" si="1">E19</f>
        <v>44580</v>
      </c>
    </row>
    <row r="20" spans="1:17" ht="15.75" thickBot="1" x14ac:dyDescent="0.3">
      <c r="A20" s="12" t="s">
        <v>5</v>
      </c>
      <c r="B20" s="13">
        <f>IF(G20&lt;=($B$13*4),($B$8-SUM($B$18:$B$19)-($B$8*$B$12)*$B$13)/($B$13*4),"-")</f>
        <v>445679.4375</v>
      </c>
      <c r="C20" s="13" t="str">
        <f>IFERROR(_xlfn.IFS($C$16="سنوى",$B$16/3,G21&lt;=($C$16*4),($B$16/($C$16*4))),"-")</f>
        <v>-</v>
      </c>
      <c r="D20" s="14">
        <f t="shared" si="0"/>
        <v>0.22109826589595374</v>
      </c>
      <c r="E20" s="18">
        <f>IF(G20&lt;=($B$13*4),EDATE(E18,3),"-")</f>
        <v>44580</v>
      </c>
      <c r="F20" s="19"/>
      <c r="G20" s="3">
        <v>1</v>
      </c>
      <c r="H20" s="16">
        <f t="shared" ref="H20:H79" si="2">H19+D20</f>
        <v>0.33670520231213874</v>
      </c>
      <c r="I20" s="17">
        <f t="shared" si="1"/>
        <v>44580</v>
      </c>
    </row>
    <row r="21" spans="1:17" ht="15.75" thickBot="1" x14ac:dyDescent="0.3">
      <c r="A21" s="12" t="s">
        <v>6</v>
      </c>
      <c r="B21" s="13">
        <f>IF(G21&lt;=($B$13*4),($B$8-SUM($B$18:$B$19)-($B$8*$B$12)*$B$13)/($B$13*4),"-")</f>
        <v>445679.4375</v>
      </c>
      <c r="C21" s="13" t="str">
        <f t="shared" ref="C21:C23" si="3">IFERROR(IF(G21&lt;=($C$16*4),($B$16/($C$16*4)),"-"),"-")</f>
        <v>-</v>
      </c>
      <c r="D21" s="14">
        <f t="shared" si="0"/>
        <v>0.22109826589595374</v>
      </c>
      <c r="E21" s="18">
        <f>IF(G21&lt;=($B$13*4),EDATE(E20,3),"-")</f>
        <v>44670</v>
      </c>
      <c r="G21" s="3">
        <v>2</v>
      </c>
      <c r="H21" s="16">
        <f t="shared" si="2"/>
        <v>0.55780346820809246</v>
      </c>
      <c r="I21" s="17">
        <f t="shared" si="1"/>
        <v>44670</v>
      </c>
    </row>
    <row r="22" spans="1:17" ht="15.75" customHeight="1" thickBot="1" x14ac:dyDescent="0.3">
      <c r="A22" s="12" t="s">
        <v>7</v>
      </c>
      <c r="B22" s="13">
        <f>IF(G22&lt;=($B$13*4),($B$8-SUM($B$18:$B$19)-($B$8*$B$12)*$B$13)/($B$13*4),"-")</f>
        <v>445679.4375</v>
      </c>
      <c r="C22" s="13" t="str">
        <f t="shared" si="3"/>
        <v>-</v>
      </c>
      <c r="D22" s="14">
        <f t="shared" si="0"/>
        <v>0.22109826589595374</v>
      </c>
      <c r="E22" s="18">
        <f>IF(G22&lt;=($B$13*4),EDATE(E21,3),"-")</f>
        <v>44761</v>
      </c>
      <c r="G22" s="3">
        <v>3</v>
      </c>
      <c r="H22" s="16">
        <f t="shared" si="2"/>
        <v>0.77890173410404617</v>
      </c>
      <c r="I22" s="17">
        <f t="shared" si="1"/>
        <v>44761</v>
      </c>
    </row>
    <row r="23" spans="1:17" ht="15.75" thickBot="1" x14ac:dyDescent="0.3">
      <c r="A23" s="12" t="s">
        <v>8</v>
      </c>
      <c r="B23" s="13">
        <f>IF(G23&lt;=($B$13*4),($B$8-SUM($B$18:$B$19)-($B$8*$B$12)*$B$13)/($B$13*4),"-")</f>
        <v>445679.4375</v>
      </c>
      <c r="C23" s="13" t="str">
        <f t="shared" si="3"/>
        <v>-</v>
      </c>
      <c r="D23" s="14">
        <f t="shared" si="0"/>
        <v>0.22109826589595374</v>
      </c>
      <c r="E23" s="18">
        <f>IF(G23&lt;=($B$13*4),EDATE(E22,3),"-")</f>
        <v>44853</v>
      </c>
      <c r="G23" s="3">
        <v>4</v>
      </c>
      <c r="H23" s="16">
        <f t="shared" si="2"/>
        <v>0.99999999999999989</v>
      </c>
      <c r="I23" s="17">
        <f t="shared" si="1"/>
        <v>44853</v>
      </c>
    </row>
    <row r="24" spans="1:17" ht="15.75" thickBot="1" x14ac:dyDescent="0.3">
      <c r="A24" s="12" t="s">
        <v>52</v>
      </c>
      <c r="B24" s="13" t="str">
        <f>IF($G24&lt;=$B$13,IF($B$12=0%,"-",$B$8*$B$12),"-")</f>
        <v>-</v>
      </c>
      <c r="C24" s="13"/>
      <c r="D24" s="14">
        <f t="shared" si="0"/>
        <v>0</v>
      </c>
      <c r="E24" s="18" t="str">
        <f>IF($B$12=0%,"-",E23)</f>
        <v>-</v>
      </c>
      <c r="G24" s="3">
        <v>1</v>
      </c>
      <c r="H24" s="16">
        <f t="shared" si="2"/>
        <v>0.99999999999999989</v>
      </c>
      <c r="I24" s="17" t="str">
        <f t="shared" si="1"/>
        <v>-</v>
      </c>
    </row>
    <row r="25" spans="1:17" ht="15.75" thickBot="1" x14ac:dyDescent="0.3">
      <c r="A25" s="12" t="s">
        <v>9</v>
      </c>
      <c r="B25" s="13" t="str">
        <f>IF(G25&lt;=($B$13*4),($B$8-SUM($B$18:$B$19)-($B$8*$B$12)*$B$13)/($B$13*4),"-")</f>
        <v>-</v>
      </c>
      <c r="C25" s="13" t="str">
        <f>IFERROR(_xlfn.IFS($C$16="سنوى",$B$16/3,G26&lt;=($C$16*4),($B$16/($C$16*4))),"-")</f>
        <v>-</v>
      </c>
      <c r="D25" s="14">
        <f t="shared" si="0"/>
        <v>0</v>
      </c>
      <c r="E25" s="18" t="str">
        <f>IF(G25&lt;=($B$13*4),EDATE(E23,3),"-")</f>
        <v>-</v>
      </c>
      <c r="G25" s="3">
        <v>5</v>
      </c>
      <c r="H25" s="16">
        <f t="shared" si="2"/>
        <v>0.99999999999999989</v>
      </c>
      <c r="I25" s="17" t="str">
        <f t="shared" si="1"/>
        <v>-</v>
      </c>
    </row>
    <row r="26" spans="1:17" ht="15.75" thickBot="1" x14ac:dyDescent="0.3">
      <c r="A26" s="12" t="s">
        <v>10</v>
      </c>
      <c r="B26" s="13" t="str">
        <f>IF(G26&lt;=($B$13*4),($B$8-SUM($B$18:$B$19)-($B$8*$B$12)*$B$13)/($B$13*4),"-")</f>
        <v>-</v>
      </c>
      <c r="C26" s="13" t="str">
        <f t="shared" ref="C26:C28" si="4">IFERROR(IF(G26&lt;=($C$16*4),($B$16/($C$16*4)),"-"),"-")</f>
        <v>-</v>
      </c>
      <c r="D26" s="14">
        <f t="shared" si="0"/>
        <v>0</v>
      </c>
      <c r="E26" s="18" t="str">
        <f>IF(G26&lt;=($B$13*4),EDATE(E25,3),"-")</f>
        <v>-</v>
      </c>
      <c r="G26" s="3">
        <v>6</v>
      </c>
      <c r="H26" s="16">
        <f t="shared" si="2"/>
        <v>0.99999999999999989</v>
      </c>
      <c r="I26" s="17" t="str">
        <f t="shared" si="1"/>
        <v>-</v>
      </c>
    </row>
    <row r="27" spans="1:17" ht="15.75" thickBot="1" x14ac:dyDescent="0.3">
      <c r="A27" s="12" t="s">
        <v>11</v>
      </c>
      <c r="B27" s="13" t="str">
        <f>IF(G27&lt;=($B$13*4),($B$8-SUM($B$18:$B$19)-($B$8*$B$12)*$B$13)/($B$13*4),"-")</f>
        <v>-</v>
      </c>
      <c r="C27" s="13" t="str">
        <f t="shared" si="4"/>
        <v>-</v>
      </c>
      <c r="D27" s="14">
        <f t="shared" si="0"/>
        <v>0</v>
      </c>
      <c r="E27" s="18" t="str">
        <f>IF(G27&lt;=($B$13*4),EDATE(E26,3),"-")</f>
        <v>-</v>
      </c>
      <c r="G27" s="3">
        <v>7</v>
      </c>
      <c r="H27" s="16">
        <f t="shared" si="2"/>
        <v>0.99999999999999989</v>
      </c>
      <c r="I27" s="17" t="str">
        <f t="shared" si="1"/>
        <v>-</v>
      </c>
    </row>
    <row r="28" spans="1:17" ht="15.75" thickBot="1" x14ac:dyDescent="0.3">
      <c r="A28" s="12" t="s">
        <v>12</v>
      </c>
      <c r="B28" s="13" t="str">
        <f>IF(G28&lt;=($B$13*4),($B$8-SUM($B$18:$B$19)-($B$8*$B$12)*$B$13)/($B$13*4),"-")</f>
        <v>-</v>
      </c>
      <c r="C28" s="13" t="str">
        <f t="shared" si="4"/>
        <v>-</v>
      </c>
      <c r="D28" s="14">
        <f t="shared" si="0"/>
        <v>0</v>
      </c>
      <c r="E28" s="18" t="str">
        <f>IF(G28&lt;=($B$13*4),EDATE(E27,3),"-")</f>
        <v>-</v>
      </c>
      <c r="G28" s="3">
        <v>8</v>
      </c>
      <c r="H28" s="16">
        <f t="shared" si="2"/>
        <v>0.99999999999999989</v>
      </c>
      <c r="I28" s="17" t="str">
        <f t="shared" si="1"/>
        <v>-</v>
      </c>
    </row>
    <row r="29" spans="1:17" ht="15.75" thickBot="1" x14ac:dyDescent="0.3">
      <c r="A29" s="12" t="s">
        <v>52</v>
      </c>
      <c r="B29" s="13" t="str">
        <f>IF($G29&lt;=$B$13,IF($B$12=0%,"-",$B$8*$B$12),"-")</f>
        <v>-</v>
      </c>
      <c r="C29" s="13"/>
      <c r="D29" s="14">
        <f t="shared" si="0"/>
        <v>0</v>
      </c>
      <c r="E29" s="18" t="str">
        <f>IF($B$12=0%,"-",E28)</f>
        <v>-</v>
      </c>
      <c r="G29" s="3">
        <v>2</v>
      </c>
      <c r="H29" s="16">
        <f t="shared" si="2"/>
        <v>0.99999999999999989</v>
      </c>
      <c r="I29" s="17" t="str">
        <f t="shared" si="1"/>
        <v>-</v>
      </c>
    </row>
    <row r="30" spans="1:17" ht="15.75" thickBot="1" x14ac:dyDescent="0.3">
      <c r="A30" s="12" t="s">
        <v>13</v>
      </c>
      <c r="B30" s="13" t="str">
        <f>IF(G30&lt;=($B$13*4),($B$8-SUM($B$18:$B$19)-($B$8*$B$12)*$B$13)/($B$13*4),"-")</f>
        <v>-</v>
      </c>
      <c r="C30" s="13" t="str">
        <f>IFERROR(_xlfn.IFS($C$16="سنوى",$B$16/3,G31&lt;=($C$16*4),($B$16/($C$16*4))),"-")</f>
        <v>-</v>
      </c>
      <c r="D30" s="14">
        <f t="shared" si="0"/>
        <v>0</v>
      </c>
      <c r="E30" s="18" t="str">
        <f>IF(G30&lt;=($B$13*4),EDATE(E28,3),"-")</f>
        <v>-</v>
      </c>
      <c r="G30" s="3">
        <v>9</v>
      </c>
      <c r="H30" s="16">
        <f t="shared" si="2"/>
        <v>0.99999999999999989</v>
      </c>
      <c r="I30" s="17" t="str">
        <f t="shared" si="1"/>
        <v>-</v>
      </c>
    </row>
    <row r="31" spans="1:17" ht="15.75" thickBot="1" x14ac:dyDescent="0.3">
      <c r="A31" s="12" t="s">
        <v>14</v>
      </c>
      <c r="B31" s="13" t="str">
        <f>IF(G31&lt;=($B$13*4),($B$8-SUM($B$18:$B$19)-($B$8*$B$12)*$B$13)/($B$13*4),"-")</f>
        <v>-</v>
      </c>
      <c r="C31" s="13" t="str">
        <f t="shared" ref="C31:C33" si="5">IFERROR(IF(G31&lt;=($C$16*4),($B$16/($C$16*4)),"-"),"-")</f>
        <v>-</v>
      </c>
      <c r="D31" s="14">
        <f t="shared" si="0"/>
        <v>0</v>
      </c>
      <c r="E31" s="18" t="str">
        <f>IF(G31&lt;=($B$13*4),EDATE(E30,3),"-")</f>
        <v>-</v>
      </c>
      <c r="G31" s="3">
        <v>10</v>
      </c>
      <c r="H31" s="16">
        <f t="shared" si="2"/>
        <v>0.99999999999999989</v>
      </c>
      <c r="I31" s="17" t="str">
        <f t="shared" si="1"/>
        <v>-</v>
      </c>
    </row>
    <row r="32" spans="1:17" ht="15.75" thickBot="1" x14ac:dyDescent="0.3">
      <c r="A32" s="12" t="s">
        <v>15</v>
      </c>
      <c r="B32" s="13" t="str">
        <f>IF(G32&lt;=($B$13*4),($B$8-SUM($B$18:$B$19)-($B$8*$B$12)*$B$13)/($B$13*4),"-")</f>
        <v>-</v>
      </c>
      <c r="C32" s="13" t="str">
        <f t="shared" si="5"/>
        <v>-</v>
      </c>
      <c r="D32" s="14">
        <f t="shared" si="0"/>
        <v>0</v>
      </c>
      <c r="E32" s="18" t="str">
        <f>IF(G32&lt;=($B$13*4),EDATE(E31,3),"-")</f>
        <v>-</v>
      </c>
      <c r="G32" s="3">
        <v>11</v>
      </c>
      <c r="H32" s="16">
        <f t="shared" si="2"/>
        <v>0.99999999999999989</v>
      </c>
      <c r="I32" s="17" t="str">
        <f t="shared" si="1"/>
        <v>-</v>
      </c>
    </row>
    <row r="33" spans="1:9" ht="15.75" thickBot="1" x14ac:dyDescent="0.3">
      <c r="A33" s="12" t="s">
        <v>16</v>
      </c>
      <c r="B33" s="13" t="str">
        <f>IF(G33&lt;=($B$13*4),($B$8-SUM($B$18:$B$19)-($B$8*$B$12)*$B$13)/($B$13*4),"-")</f>
        <v>-</v>
      </c>
      <c r="C33" s="13" t="str">
        <f t="shared" si="5"/>
        <v>-</v>
      </c>
      <c r="D33" s="14">
        <f t="shared" si="0"/>
        <v>0</v>
      </c>
      <c r="E33" s="18" t="str">
        <f>IF(G33&lt;=($B$13*4),EDATE(E32,3),"-")</f>
        <v>-</v>
      </c>
      <c r="G33" s="3">
        <v>12</v>
      </c>
      <c r="H33" s="16">
        <f t="shared" si="2"/>
        <v>0.99999999999999989</v>
      </c>
      <c r="I33" s="17" t="str">
        <f t="shared" si="1"/>
        <v>-</v>
      </c>
    </row>
    <row r="34" spans="1:9" ht="15.75" thickBot="1" x14ac:dyDescent="0.3">
      <c r="A34" s="12" t="s">
        <v>52</v>
      </c>
      <c r="B34" s="13" t="str">
        <f>IF($G34&lt;=$B$13,IF($B$12=0%,"-",$B$8*$B$12),"-")</f>
        <v>-</v>
      </c>
      <c r="C34" s="13"/>
      <c r="D34" s="14">
        <f t="shared" si="0"/>
        <v>0</v>
      </c>
      <c r="E34" s="18" t="str">
        <f>IF($B$12=0%,"-",E33)</f>
        <v>-</v>
      </c>
      <c r="G34" s="3">
        <v>3</v>
      </c>
      <c r="H34" s="16">
        <f t="shared" si="2"/>
        <v>0.99999999999999989</v>
      </c>
      <c r="I34" s="17" t="str">
        <f t="shared" si="1"/>
        <v>-</v>
      </c>
    </row>
    <row r="35" spans="1:9" ht="15.75" thickBot="1" x14ac:dyDescent="0.3">
      <c r="A35" s="12" t="s">
        <v>17</v>
      </c>
      <c r="B35" s="13" t="str">
        <f>IF(G35&lt;=($B$13*4),($B$8-SUM($B$18:$B$19)-($B$8*$B$12)*$B$13)/($B$13*4),"-")</f>
        <v>-</v>
      </c>
      <c r="C35" s="13"/>
      <c r="D35" s="14">
        <f t="shared" si="0"/>
        <v>0</v>
      </c>
      <c r="E35" s="18" t="str">
        <f>IF(G35&lt;=($B$13*4),EDATE(E33,3),"-")</f>
        <v>-</v>
      </c>
      <c r="G35" s="3">
        <v>13</v>
      </c>
      <c r="H35" s="16">
        <f t="shared" si="2"/>
        <v>0.99999999999999989</v>
      </c>
      <c r="I35" s="17" t="str">
        <f t="shared" si="1"/>
        <v>-</v>
      </c>
    </row>
    <row r="36" spans="1:9" ht="15.75" thickBot="1" x14ac:dyDescent="0.3">
      <c r="A36" s="12" t="s">
        <v>18</v>
      </c>
      <c r="B36" s="13" t="str">
        <f>IF(G36&lt;=($B$13*4),($B$8-SUM($B$18:$B$19)-($B$8*$B$12)*$B$13)/($B$13*4),"-")</f>
        <v>-</v>
      </c>
      <c r="C36" s="13"/>
      <c r="D36" s="14">
        <f t="shared" si="0"/>
        <v>0</v>
      </c>
      <c r="E36" s="18" t="str">
        <f>IF(G36&lt;=($B$13*4),EDATE(E35,3),"-")</f>
        <v>-</v>
      </c>
      <c r="G36" s="3">
        <v>14</v>
      </c>
      <c r="H36" s="16">
        <f t="shared" si="2"/>
        <v>0.99999999999999989</v>
      </c>
      <c r="I36" s="17" t="str">
        <f t="shared" si="1"/>
        <v>-</v>
      </c>
    </row>
    <row r="37" spans="1:9" ht="15.75" thickBot="1" x14ac:dyDescent="0.3">
      <c r="A37" s="12" t="s">
        <v>19</v>
      </c>
      <c r="B37" s="13" t="str">
        <f>IF(G37&lt;=($B$13*4),($B$8-SUM($B$18:$B$19)-($B$8*$B$12)*$B$13)/($B$13*4),"-")</f>
        <v>-</v>
      </c>
      <c r="C37" s="13"/>
      <c r="D37" s="14">
        <f t="shared" si="0"/>
        <v>0</v>
      </c>
      <c r="E37" s="18" t="str">
        <f>IF(G37&lt;=($B$13*4),EDATE(E36,3),"-")</f>
        <v>-</v>
      </c>
      <c r="G37" s="3">
        <v>15</v>
      </c>
      <c r="H37" s="16">
        <f t="shared" si="2"/>
        <v>0.99999999999999989</v>
      </c>
      <c r="I37" s="17" t="str">
        <f t="shared" si="1"/>
        <v>-</v>
      </c>
    </row>
    <row r="38" spans="1:9" ht="15.75" thickBot="1" x14ac:dyDescent="0.3">
      <c r="A38" s="12" t="s">
        <v>20</v>
      </c>
      <c r="B38" s="13" t="str">
        <f>IF(G38&lt;=($B$13*4),($B$8-SUM($B$18:$B$19)-($B$8*$B$12)*$B$13)/($B$13*4),"-")</f>
        <v>-</v>
      </c>
      <c r="C38" s="13"/>
      <c r="D38" s="14">
        <f t="shared" si="0"/>
        <v>0</v>
      </c>
      <c r="E38" s="18" t="str">
        <f>IF(G38&lt;=($B$13*4),EDATE(E37,3),"-")</f>
        <v>-</v>
      </c>
      <c r="G38" s="3">
        <v>16</v>
      </c>
      <c r="H38" s="16">
        <f t="shared" si="2"/>
        <v>0.99999999999999989</v>
      </c>
      <c r="I38" s="17" t="str">
        <f t="shared" si="1"/>
        <v>-</v>
      </c>
    </row>
    <row r="39" spans="1:9" ht="15.75" thickBot="1" x14ac:dyDescent="0.3">
      <c r="A39" s="12" t="s">
        <v>52</v>
      </c>
      <c r="B39" s="13" t="str">
        <f>IF($G39&lt;=$B$13,IF($B$12=0%,"-",$B$8*$B$12),"-")</f>
        <v>-</v>
      </c>
      <c r="C39" s="13"/>
      <c r="D39" s="14">
        <f t="shared" si="0"/>
        <v>0</v>
      </c>
      <c r="E39" s="18" t="str">
        <f>IF($B$12=0%,"-",E38)</f>
        <v>-</v>
      </c>
      <c r="G39" s="3">
        <v>4</v>
      </c>
      <c r="H39" s="16">
        <f t="shared" si="2"/>
        <v>0.99999999999999989</v>
      </c>
      <c r="I39" s="17" t="str">
        <f t="shared" si="1"/>
        <v>-</v>
      </c>
    </row>
    <row r="40" spans="1:9" ht="15.75" thickBot="1" x14ac:dyDescent="0.3">
      <c r="A40" s="12" t="s">
        <v>21</v>
      </c>
      <c r="B40" s="13" t="str">
        <f>IF(G40&lt;=($B$13*4),($B$8-SUM($B$18:$B$19)-($B$8*$B$12)*$B$13)/($B$13*4),"-")</f>
        <v>-</v>
      </c>
      <c r="C40" s="13"/>
      <c r="D40" s="14">
        <f t="shared" si="0"/>
        <v>0</v>
      </c>
      <c r="E40" s="18" t="str">
        <f>IF(G40&lt;=($B$13*4),EDATE(E38,3),"-")</f>
        <v>-</v>
      </c>
      <c r="G40" s="3">
        <v>17</v>
      </c>
      <c r="H40" s="16">
        <f t="shared" si="2"/>
        <v>0.99999999999999989</v>
      </c>
      <c r="I40" s="17" t="str">
        <f t="shared" si="1"/>
        <v>-</v>
      </c>
    </row>
    <row r="41" spans="1:9" ht="15.75" thickBot="1" x14ac:dyDescent="0.3">
      <c r="A41" s="12" t="s">
        <v>22</v>
      </c>
      <c r="B41" s="13" t="str">
        <f>IF(G41&lt;=($B$13*4),($B$8-SUM($B$18:$B$19)-($B$8*$B$12)*$B$13)/($B$13*4),"-")</f>
        <v>-</v>
      </c>
      <c r="C41" s="13"/>
      <c r="D41" s="14">
        <f t="shared" si="0"/>
        <v>0</v>
      </c>
      <c r="E41" s="18" t="str">
        <f>IF(G41&lt;=($B$13*4),EDATE(E40,3),"-")</f>
        <v>-</v>
      </c>
      <c r="G41" s="3">
        <v>18</v>
      </c>
      <c r="H41" s="16">
        <f t="shared" si="2"/>
        <v>0.99999999999999989</v>
      </c>
      <c r="I41" s="17" t="str">
        <f t="shared" si="1"/>
        <v>-</v>
      </c>
    </row>
    <row r="42" spans="1:9" ht="15.75" thickBot="1" x14ac:dyDescent="0.3">
      <c r="A42" s="12" t="s">
        <v>23</v>
      </c>
      <c r="B42" s="13" t="str">
        <f>IF(G42&lt;=($B$13*4),($B$8-SUM($B$18:$B$19)-($B$8*$B$12)*$B$13)/($B$13*4),"-")</f>
        <v>-</v>
      </c>
      <c r="C42" s="13"/>
      <c r="D42" s="14">
        <f t="shared" si="0"/>
        <v>0</v>
      </c>
      <c r="E42" s="18" t="str">
        <f>IF(G42&lt;=($B$13*4),EDATE(E41,3),"-")</f>
        <v>-</v>
      </c>
      <c r="G42" s="3">
        <v>19</v>
      </c>
      <c r="H42" s="16">
        <f t="shared" si="2"/>
        <v>0.99999999999999989</v>
      </c>
      <c r="I42" s="17" t="str">
        <f t="shared" si="1"/>
        <v>-</v>
      </c>
    </row>
    <row r="43" spans="1:9" ht="15.75" thickBot="1" x14ac:dyDescent="0.3">
      <c r="A43" s="12" t="s">
        <v>24</v>
      </c>
      <c r="B43" s="13" t="str">
        <f>IF(G43&lt;=($B$13*4),($B$8-SUM($B$18:$B$19)-($B$8*$B$12)*$B$13)/($B$13*4),"-")</f>
        <v>-</v>
      </c>
      <c r="C43" s="13"/>
      <c r="D43" s="14">
        <f t="shared" si="0"/>
        <v>0</v>
      </c>
      <c r="E43" s="18" t="str">
        <f>IF(G43&lt;=($B$13*4),EDATE(E42,3),"-")</f>
        <v>-</v>
      </c>
      <c r="G43" s="3">
        <v>20</v>
      </c>
      <c r="H43" s="16">
        <f t="shared" si="2"/>
        <v>0.99999999999999989</v>
      </c>
      <c r="I43" s="17" t="str">
        <f t="shared" si="1"/>
        <v>-</v>
      </c>
    </row>
    <row r="44" spans="1:9" ht="15.75" thickBot="1" x14ac:dyDescent="0.3">
      <c r="A44" s="12" t="s">
        <v>52</v>
      </c>
      <c r="B44" s="13" t="str">
        <f>IF($G44&lt;=$B$13,IF($B$12=0%,"-",$B$8*$B$12),"-")</f>
        <v>-</v>
      </c>
      <c r="C44" s="13"/>
      <c r="D44" s="14">
        <f t="shared" si="0"/>
        <v>0</v>
      </c>
      <c r="E44" s="18" t="str">
        <f>IF($B$12=0%,"-",E43)</f>
        <v>-</v>
      </c>
      <c r="G44" s="3">
        <v>5</v>
      </c>
      <c r="H44" s="16">
        <f t="shared" si="2"/>
        <v>0.99999999999999989</v>
      </c>
      <c r="I44" s="17" t="str">
        <f t="shared" si="1"/>
        <v>-</v>
      </c>
    </row>
    <row r="45" spans="1:9" ht="15.75" thickBot="1" x14ac:dyDescent="0.3">
      <c r="A45" s="12" t="s">
        <v>31</v>
      </c>
      <c r="B45" s="13" t="str">
        <f>IF(G45&lt;=($B$13*4),($B$8-SUM($B$18:$B$19)-($B$8*$B$12)*$B$13)/($B$13*4),"-")</f>
        <v>-</v>
      </c>
      <c r="C45" s="13"/>
      <c r="D45" s="14">
        <f t="shared" si="0"/>
        <v>0</v>
      </c>
      <c r="E45" s="18" t="str">
        <f>IF(G45&lt;=($B$13*4),EDATE(E43,3),"-")</f>
        <v>-</v>
      </c>
      <c r="G45" s="3">
        <v>21</v>
      </c>
      <c r="H45" s="16">
        <f t="shared" si="2"/>
        <v>0.99999999999999989</v>
      </c>
      <c r="I45" s="17" t="str">
        <f t="shared" si="1"/>
        <v>-</v>
      </c>
    </row>
    <row r="46" spans="1:9" ht="15.75" thickBot="1" x14ac:dyDescent="0.3">
      <c r="A46" s="12" t="s">
        <v>32</v>
      </c>
      <c r="B46" s="13" t="str">
        <f>IF(G46&lt;=($B$13*4),($B$8-SUM($B$18:$B$19)-($B$8*$B$12)*$B$13)/($B$13*4),"-")</f>
        <v>-</v>
      </c>
      <c r="C46" s="13"/>
      <c r="D46" s="14">
        <f t="shared" si="0"/>
        <v>0</v>
      </c>
      <c r="E46" s="18" t="str">
        <f>IF(G46&lt;=($B$13*4),EDATE(E45,3),"-")</f>
        <v>-</v>
      </c>
      <c r="G46" s="3">
        <v>22</v>
      </c>
      <c r="H46" s="16">
        <f t="shared" si="2"/>
        <v>0.99999999999999989</v>
      </c>
      <c r="I46" s="17" t="str">
        <f t="shared" si="1"/>
        <v>-</v>
      </c>
    </row>
    <row r="47" spans="1:9" ht="15.75" thickBot="1" x14ac:dyDescent="0.3">
      <c r="A47" s="12" t="s">
        <v>33</v>
      </c>
      <c r="B47" s="13" t="str">
        <f>IF(G47&lt;=($B$13*4),($B$8-SUM($B$18:$B$19)-($B$8*$B$12)*$B$13)/($B$13*4),"-")</f>
        <v>-</v>
      </c>
      <c r="C47" s="13"/>
      <c r="D47" s="14">
        <f t="shared" si="0"/>
        <v>0</v>
      </c>
      <c r="E47" s="18" t="str">
        <f>IF(G47&lt;=($B$13*4),EDATE(E46,3),"-")</f>
        <v>-</v>
      </c>
      <c r="G47" s="3">
        <v>23</v>
      </c>
      <c r="H47" s="16">
        <f t="shared" si="2"/>
        <v>0.99999999999999989</v>
      </c>
      <c r="I47" s="17" t="str">
        <f t="shared" si="1"/>
        <v>-</v>
      </c>
    </row>
    <row r="48" spans="1:9" ht="15.75" thickBot="1" x14ac:dyDescent="0.3">
      <c r="A48" s="12" t="s">
        <v>34</v>
      </c>
      <c r="B48" s="13" t="str">
        <f>IF(G48&lt;=($B$13*4),($B$8-SUM($B$18:$B$19)-($B$8*$B$12)*$B$13)/($B$13*4),"-")</f>
        <v>-</v>
      </c>
      <c r="C48" s="13"/>
      <c r="D48" s="14">
        <f t="shared" si="0"/>
        <v>0</v>
      </c>
      <c r="E48" s="18" t="str">
        <f>IF(G48&lt;=($B$13*4),EDATE(E47,3),"-")</f>
        <v>-</v>
      </c>
      <c r="G48" s="3">
        <v>24</v>
      </c>
      <c r="H48" s="16">
        <f t="shared" si="2"/>
        <v>0.99999999999999989</v>
      </c>
      <c r="I48" s="17" t="str">
        <f t="shared" si="1"/>
        <v>-</v>
      </c>
    </row>
    <row r="49" spans="1:9" ht="15.75" thickBot="1" x14ac:dyDescent="0.3">
      <c r="A49" s="12" t="s">
        <v>52</v>
      </c>
      <c r="B49" s="13" t="str">
        <f>IF($G49&lt;=$B$13,IF($B$12=0%,"-",$B$8*$B$12),"-")</f>
        <v>-</v>
      </c>
      <c r="C49" s="13"/>
      <c r="D49" s="14">
        <f t="shared" si="0"/>
        <v>0</v>
      </c>
      <c r="E49" s="18" t="str">
        <f>IF($B$12=0%,"-",E48)</f>
        <v>-</v>
      </c>
      <c r="G49" s="3">
        <v>6</v>
      </c>
      <c r="H49" s="16">
        <f t="shared" si="2"/>
        <v>0.99999999999999989</v>
      </c>
      <c r="I49" s="17" t="str">
        <f t="shared" si="1"/>
        <v>-</v>
      </c>
    </row>
    <row r="50" spans="1:9" ht="15.75" thickBot="1" x14ac:dyDescent="0.3">
      <c r="A50" s="12" t="s">
        <v>35</v>
      </c>
      <c r="B50" s="13" t="str">
        <f>IF(G50&lt;=($B$13*4),($B$8-SUM($B$18:$B$19)-($B$8*$B$12)*$B$13)/($B$13*4),"-")</f>
        <v>-</v>
      </c>
      <c r="C50" s="13"/>
      <c r="D50" s="14">
        <f t="shared" si="0"/>
        <v>0</v>
      </c>
      <c r="E50" s="18" t="str">
        <f>IF(G50&lt;=($B$13*4),EDATE(E48,3),"-")</f>
        <v>-</v>
      </c>
      <c r="G50" s="3">
        <v>25</v>
      </c>
      <c r="H50" s="16">
        <f t="shared" si="2"/>
        <v>0.99999999999999989</v>
      </c>
      <c r="I50" s="17" t="str">
        <f t="shared" si="1"/>
        <v>-</v>
      </c>
    </row>
    <row r="51" spans="1:9" ht="15.75" thickBot="1" x14ac:dyDescent="0.3">
      <c r="A51" s="12" t="s">
        <v>36</v>
      </c>
      <c r="B51" s="13" t="str">
        <f>IF(G51&lt;=($B$13*4),($B$8-SUM($B$18:$B$19)-($B$8*$B$12)*$B$13)/($B$13*4),"-")</f>
        <v>-</v>
      </c>
      <c r="C51" s="13"/>
      <c r="D51" s="14">
        <f t="shared" si="0"/>
        <v>0</v>
      </c>
      <c r="E51" s="18" t="str">
        <f>IF(G51&lt;=($B$13*4),EDATE(E50,3),"-")</f>
        <v>-</v>
      </c>
      <c r="G51" s="3">
        <v>26</v>
      </c>
      <c r="H51" s="16">
        <f t="shared" si="2"/>
        <v>0.99999999999999989</v>
      </c>
      <c r="I51" s="17" t="str">
        <f t="shared" si="1"/>
        <v>-</v>
      </c>
    </row>
    <row r="52" spans="1:9" ht="15.75" thickBot="1" x14ac:dyDescent="0.3">
      <c r="A52" s="12" t="s">
        <v>37</v>
      </c>
      <c r="B52" s="13" t="str">
        <f>IF(G52&lt;=($B$13*4),($B$8-SUM($B$18:$B$19)-($B$8*$B$12)*$B$13)/($B$13*4),"-")</f>
        <v>-</v>
      </c>
      <c r="C52" s="13"/>
      <c r="D52" s="14">
        <f t="shared" si="0"/>
        <v>0</v>
      </c>
      <c r="E52" s="18" t="str">
        <f>IF(G52&lt;=($B$13*4),EDATE(E51,3),"-")</f>
        <v>-</v>
      </c>
      <c r="G52" s="3">
        <v>27</v>
      </c>
      <c r="H52" s="16">
        <f t="shared" si="2"/>
        <v>0.99999999999999989</v>
      </c>
      <c r="I52" s="17" t="str">
        <f t="shared" si="1"/>
        <v>-</v>
      </c>
    </row>
    <row r="53" spans="1:9" ht="15.75" thickBot="1" x14ac:dyDescent="0.3">
      <c r="A53" s="12" t="s">
        <v>38</v>
      </c>
      <c r="B53" s="13" t="str">
        <f>IF(G53&lt;=($B$13*4),($B$8-SUM($B$18:$B$19)-($B$8*$B$12)*$B$13)/($B$13*4),"-")</f>
        <v>-</v>
      </c>
      <c r="C53" s="13"/>
      <c r="D53" s="14">
        <f t="shared" si="0"/>
        <v>0</v>
      </c>
      <c r="E53" s="18" t="str">
        <f>IF(G53&lt;=($B$13*4),EDATE(E52,3),"-")</f>
        <v>-</v>
      </c>
      <c r="G53" s="3">
        <v>28</v>
      </c>
      <c r="H53" s="16">
        <f t="shared" si="2"/>
        <v>0.99999999999999989</v>
      </c>
      <c r="I53" s="17" t="str">
        <f t="shared" si="1"/>
        <v>-</v>
      </c>
    </row>
    <row r="54" spans="1:9" ht="15.75" thickBot="1" x14ac:dyDescent="0.3">
      <c r="A54" s="12" t="s">
        <v>52</v>
      </c>
      <c r="B54" s="13" t="str">
        <f>IF($G54&lt;=$B$13,IF($B$12=0%,"-",$B$8*$B$12),"-")</f>
        <v>-</v>
      </c>
      <c r="C54" s="13"/>
      <c r="D54" s="14">
        <f t="shared" si="0"/>
        <v>0</v>
      </c>
      <c r="E54" s="18" t="str">
        <f>IF($B$12=0%,"-",E53)</f>
        <v>-</v>
      </c>
      <c r="G54" s="3">
        <v>7</v>
      </c>
      <c r="H54" s="16">
        <f t="shared" si="2"/>
        <v>0.99999999999999989</v>
      </c>
      <c r="I54" s="17" t="str">
        <f t="shared" si="1"/>
        <v>-</v>
      </c>
    </row>
    <row r="55" spans="1:9" ht="15.75" thickBot="1" x14ac:dyDescent="0.3">
      <c r="A55" s="12" t="s">
        <v>39</v>
      </c>
      <c r="B55" s="13" t="str">
        <f>IF(G55&lt;=($B$13*4),($B$8-SUM($B$18:$B$19)-($B$8*$B$12)*$B$13)/($B$13*4),"-")</f>
        <v>-</v>
      </c>
      <c r="C55" s="13"/>
      <c r="D55" s="14">
        <f t="shared" si="0"/>
        <v>0</v>
      </c>
      <c r="E55" s="18" t="str">
        <f>IF(G55&lt;=($B$13*4),EDATE(E53,3),"-")</f>
        <v>-</v>
      </c>
      <c r="G55" s="3">
        <v>29</v>
      </c>
      <c r="H55" s="16">
        <f t="shared" si="2"/>
        <v>0.99999999999999989</v>
      </c>
      <c r="I55" s="17" t="str">
        <f t="shared" si="1"/>
        <v>-</v>
      </c>
    </row>
    <row r="56" spans="1:9" ht="15.75" thickBot="1" x14ac:dyDescent="0.3">
      <c r="A56" s="12" t="s">
        <v>40</v>
      </c>
      <c r="B56" s="13" t="str">
        <f>IF(G56&lt;=($B$13*4),($B$8-SUM($B$18:$B$19)-($B$8*$B$12)*$B$13)/($B$13*4),"-")</f>
        <v>-</v>
      </c>
      <c r="C56" s="13"/>
      <c r="D56" s="14">
        <f t="shared" si="0"/>
        <v>0</v>
      </c>
      <c r="E56" s="18" t="str">
        <f>IF(G56&lt;=($B$13*4),EDATE(E55,3),"-")</f>
        <v>-</v>
      </c>
      <c r="G56" s="3">
        <v>30</v>
      </c>
      <c r="H56" s="16">
        <f t="shared" si="2"/>
        <v>0.99999999999999989</v>
      </c>
      <c r="I56" s="17" t="str">
        <f t="shared" si="1"/>
        <v>-</v>
      </c>
    </row>
    <row r="57" spans="1:9" ht="15.75" thickBot="1" x14ac:dyDescent="0.3">
      <c r="A57" s="12" t="s">
        <v>41</v>
      </c>
      <c r="B57" s="13" t="str">
        <f>IF(G57&lt;=($B$13*4),($B$8-SUM($B$18:$B$19)-($B$8*$B$12)*$B$13)/($B$13*4),"-")</f>
        <v>-</v>
      </c>
      <c r="C57" s="13"/>
      <c r="D57" s="14">
        <f t="shared" si="0"/>
        <v>0</v>
      </c>
      <c r="E57" s="18" t="str">
        <f>IF(G57&lt;=($B$13*4),EDATE(E56,3),"-")</f>
        <v>-</v>
      </c>
      <c r="G57" s="3">
        <v>31</v>
      </c>
      <c r="H57" s="16">
        <f t="shared" si="2"/>
        <v>0.99999999999999989</v>
      </c>
      <c r="I57" s="17" t="str">
        <f t="shared" si="1"/>
        <v>-</v>
      </c>
    </row>
    <row r="58" spans="1:9" ht="15.75" thickBot="1" x14ac:dyDescent="0.3">
      <c r="A58" s="12" t="s">
        <v>42</v>
      </c>
      <c r="B58" s="13" t="str">
        <f>IF(G58&lt;=($B$13*4),($B$8-SUM($B$18:$B$19)-($B$8*$B$12)*$B$13)/($B$13*4),"-")</f>
        <v>-</v>
      </c>
      <c r="C58" s="13"/>
      <c r="D58" s="14">
        <f t="shared" si="0"/>
        <v>0</v>
      </c>
      <c r="E58" s="18" t="str">
        <f>IF(G58&lt;=($B$13*4),EDATE(E57,3),"-")</f>
        <v>-</v>
      </c>
      <c r="G58" s="3">
        <v>32</v>
      </c>
      <c r="H58" s="16">
        <f t="shared" si="2"/>
        <v>0.99999999999999989</v>
      </c>
      <c r="I58" s="17" t="str">
        <f t="shared" si="1"/>
        <v>-</v>
      </c>
    </row>
    <row r="59" spans="1:9" ht="15.75" thickBot="1" x14ac:dyDescent="0.3">
      <c r="A59" s="12" t="s">
        <v>52</v>
      </c>
      <c r="B59" s="13" t="str">
        <f>IF($G59&lt;=$B$13,IF($B$12=0%,"-",$B$8*$B$12),"-")</f>
        <v>-</v>
      </c>
      <c r="C59" s="13"/>
      <c r="D59" s="14">
        <f t="shared" si="0"/>
        <v>0</v>
      </c>
      <c r="E59" s="18" t="str">
        <f>IF($B$12=0%,"-",E58)</f>
        <v>-</v>
      </c>
      <c r="G59" s="3">
        <v>8</v>
      </c>
      <c r="H59" s="16">
        <f t="shared" si="2"/>
        <v>0.99999999999999989</v>
      </c>
      <c r="I59" s="17" t="str">
        <f t="shared" si="1"/>
        <v>-</v>
      </c>
    </row>
    <row r="60" spans="1:9" ht="15.75" thickBot="1" x14ac:dyDescent="0.3">
      <c r="A60" s="12" t="s">
        <v>43</v>
      </c>
      <c r="B60" s="13" t="str">
        <f>IF(G60&lt;=($B$13*4),($B$8-SUM($B$18:$B$19)-($B$8*$B$12)*$B$13)/($B$13*4),"-")</f>
        <v>-</v>
      </c>
      <c r="C60" s="13"/>
      <c r="D60" s="14">
        <f t="shared" si="0"/>
        <v>0</v>
      </c>
      <c r="E60" s="18" t="str">
        <f>IF(G60&lt;=($B$13*4),EDATE(E58,3),"-")</f>
        <v>-</v>
      </c>
      <c r="G60" s="3">
        <v>33</v>
      </c>
      <c r="H60" s="16">
        <f t="shared" si="2"/>
        <v>0.99999999999999989</v>
      </c>
      <c r="I60" s="17" t="str">
        <f t="shared" si="1"/>
        <v>-</v>
      </c>
    </row>
    <row r="61" spans="1:9" ht="15.75" thickBot="1" x14ac:dyDescent="0.3">
      <c r="A61" s="12" t="s">
        <v>44</v>
      </c>
      <c r="B61" s="13" t="str">
        <f>IF(G61&lt;=($B$13*4),($B$8-SUM($B$18:$B$19)-($B$8*$B$12)*$B$13)/($B$13*4),"-")</f>
        <v>-</v>
      </c>
      <c r="C61" s="13"/>
      <c r="D61" s="14">
        <f t="shared" si="0"/>
        <v>0</v>
      </c>
      <c r="E61" s="18" t="str">
        <f>IF(G61&lt;=($B$13*4),EDATE(E60,3),"-")</f>
        <v>-</v>
      </c>
      <c r="G61" s="3">
        <v>34</v>
      </c>
      <c r="H61" s="16">
        <f t="shared" si="2"/>
        <v>0.99999999999999989</v>
      </c>
      <c r="I61" s="17" t="str">
        <f t="shared" si="1"/>
        <v>-</v>
      </c>
    </row>
    <row r="62" spans="1:9" ht="15.75" thickBot="1" x14ac:dyDescent="0.3">
      <c r="A62" s="12" t="s">
        <v>45</v>
      </c>
      <c r="B62" s="13" t="str">
        <f>IF(G62&lt;=($B$13*4),($B$8-SUM($B$18:$B$19)-($B$8*$B$12)*$B$13)/($B$13*4),"-")</f>
        <v>-</v>
      </c>
      <c r="C62" s="13"/>
      <c r="D62" s="14">
        <f t="shared" si="0"/>
        <v>0</v>
      </c>
      <c r="E62" s="18" t="str">
        <f>IF(G62&lt;=($B$13*4),EDATE(E61,3),"-")</f>
        <v>-</v>
      </c>
      <c r="G62" s="3">
        <v>35</v>
      </c>
      <c r="H62" s="16">
        <f t="shared" si="2"/>
        <v>0.99999999999999989</v>
      </c>
      <c r="I62" s="17" t="str">
        <f t="shared" si="1"/>
        <v>-</v>
      </c>
    </row>
    <row r="63" spans="1:9" ht="15.75" thickBot="1" x14ac:dyDescent="0.3">
      <c r="A63" s="12" t="s">
        <v>46</v>
      </c>
      <c r="B63" s="13" t="str">
        <f>IF(G63&lt;=($B$13*4),($B$8-SUM($B$18:$B$19)-($B$8*$B$12)*$B$13)/($B$13*4),"-")</f>
        <v>-</v>
      </c>
      <c r="C63" s="13"/>
      <c r="D63" s="14">
        <f t="shared" si="0"/>
        <v>0</v>
      </c>
      <c r="E63" s="18" t="str">
        <f>IF(G63&lt;=($B$13*4),EDATE(E62,3),"-")</f>
        <v>-</v>
      </c>
      <c r="G63" s="3">
        <v>36</v>
      </c>
      <c r="H63" s="16">
        <f t="shared" si="2"/>
        <v>0.99999999999999989</v>
      </c>
      <c r="I63" s="17" t="str">
        <f t="shared" si="1"/>
        <v>-</v>
      </c>
    </row>
    <row r="64" spans="1:9" ht="15.75" thickBot="1" x14ac:dyDescent="0.3">
      <c r="A64" s="12" t="s">
        <v>52</v>
      </c>
      <c r="B64" s="13" t="str">
        <f>IF($G64&lt;=$B$13,IF($B$12=0%,"-",$B$8*$B$12),"-")</f>
        <v>-</v>
      </c>
      <c r="C64" s="13"/>
      <c r="D64" s="14">
        <f t="shared" si="0"/>
        <v>0</v>
      </c>
      <c r="E64" s="18" t="str">
        <f>IF($B$12=0%,"-",E63)</f>
        <v>-</v>
      </c>
      <c r="G64" s="3">
        <v>9</v>
      </c>
      <c r="H64" s="16">
        <f t="shared" si="2"/>
        <v>0.99999999999999989</v>
      </c>
      <c r="I64" s="17" t="str">
        <f t="shared" si="1"/>
        <v>-</v>
      </c>
    </row>
    <row r="65" spans="1:9" ht="15.75" thickBot="1" x14ac:dyDescent="0.3">
      <c r="A65" s="12" t="s">
        <v>47</v>
      </c>
      <c r="B65" s="13" t="str">
        <f>IF(G65&lt;=($B$13*4),($B$8-SUM($B$18:$B$19)-($B$8*$B$12)*$B$13)/($B$13*4),"-")</f>
        <v>-</v>
      </c>
      <c r="C65" s="13"/>
      <c r="D65" s="14">
        <f t="shared" si="0"/>
        <v>0</v>
      </c>
      <c r="E65" s="18" t="str">
        <f>IF(G65&lt;=($B$13*4),EDATE(E63,3),"-")</f>
        <v>-</v>
      </c>
      <c r="G65" s="3">
        <v>37</v>
      </c>
      <c r="H65" s="16">
        <f t="shared" si="2"/>
        <v>0.99999999999999989</v>
      </c>
      <c r="I65" s="17" t="str">
        <f t="shared" si="1"/>
        <v>-</v>
      </c>
    </row>
    <row r="66" spans="1:9" ht="15.75" thickBot="1" x14ac:dyDescent="0.3">
      <c r="A66" s="12" t="s">
        <v>48</v>
      </c>
      <c r="B66" s="13" t="str">
        <f>IF(G66&lt;=($B$13*4),($B$8-SUM($B$18:$B$19)-($B$8*$B$12)*$B$13)/($B$13*4),"-")</f>
        <v>-</v>
      </c>
      <c r="C66" s="13"/>
      <c r="D66" s="14">
        <f t="shared" si="0"/>
        <v>0</v>
      </c>
      <c r="E66" s="18" t="str">
        <f>IF(G66&lt;=($B$13*4),EDATE(E65,3),"-")</f>
        <v>-</v>
      </c>
      <c r="G66" s="3">
        <v>38</v>
      </c>
      <c r="H66" s="16">
        <f t="shared" si="2"/>
        <v>0.99999999999999989</v>
      </c>
      <c r="I66" s="17" t="str">
        <f t="shared" si="1"/>
        <v>-</v>
      </c>
    </row>
    <row r="67" spans="1:9" ht="15.75" thickBot="1" x14ac:dyDescent="0.3">
      <c r="A67" s="12" t="s">
        <v>49</v>
      </c>
      <c r="B67" s="13" t="str">
        <f>IF(G67&lt;=($B$13*4),($B$8-SUM($B$18:$B$19)-($B$8*$B$12)*$B$13)/($B$13*4),"-")</f>
        <v>-</v>
      </c>
      <c r="C67" s="13"/>
      <c r="D67" s="14">
        <f t="shared" si="0"/>
        <v>0</v>
      </c>
      <c r="E67" s="18" t="str">
        <f>IF(G67&lt;=($B$13*4),EDATE(E66,3),"-")</f>
        <v>-</v>
      </c>
      <c r="G67" s="3">
        <v>39</v>
      </c>
      <c r="H67" s="16">
        <f t="shared" si="2"/>
        <v>0.99999999999999989</v>
      </c>
      <c r="I67" s="17" t="str">
        <f t="shared" si="1"/>
        <v>-</v>
      </c>
    </row>
    <row r="68" spans="1:9" ht="15.75" thickBot="1" x14ac:dyDescent="0.3">
      <c r="A68" s="12" t="s">
        <v>50</v>
      </c>
      <c r="B68" s="13" t="str">
        <f>IF(G68&lt;=($B$13*4),($B$8-SUM($B$18:$B$19)-($B$8*$B$12)*$B$13)/($B$13*4),"-")</f>
        <v>-</v>
      </c>
      <c r="C68" s="13"/>
      <c r="D68" s="14">
        <f t="shared" si="0"/>
        <v>0</v>
      </c>
      <c r="E68" s="18" t="str">
        <f>IF(G68&lt;=($B$13*4),EDATE(E67,3),"-")</f>
        <v>-</v>
      </c>
      <c r="G68" s="3">
        <v>40</v>
      </c>
      <c r="H68" s="16">
        <f t="shared" si="2"/>
        <v>0.99999999999999989</v>
      </c>
      <c r="I68" s="17" t="str">
        <f t="shared" si="1"/>
        <v>-</v>
      </c>
    </row>
    <row r="69" spans="1:9" ht="15.75" thickBot="1" x14ac:dyDescent="0.3">
      <c r="A69" s="12" t="s">
        <v>52</v>
      </c>
      <c r="B69" s="13" t="str">
        <f>IF($G69&lt;=$B$13,IF($B$12=0%,"-",$B$8*$B$12),"-")</f>
        <v>-</v>
      </c>
      <c r="C69" s="13"/>
      <c r="D69" s="14">
        <f t="shared" si="0"/>
        <v>0</v>
      </c>
      <c r="E69" s="18" t="str">
        <f>IF($B$12=0%,"-",E68)</f>
        <v>-</v>
      </c>
      <c r="G69" s="3">
        <v>10</v>
      </c>
      <c r="H69" s="16">
        <f t="shared" si="2"/>
        <v>0.99999999999999989</v>
      </c>
      <c r="I69" s="17" t="str">
        <f t="shared" si="1"/>
        <v>-</v>
      </c>
    </row>
    <row r="70" spans="1:9" ht="15.75" thickBot="1" x14ac:dyDescent="0.3">
      <c r="A70" s="12" t="s">
        <v>55</v>
      </c>
      <c r="B70" s="13" t="str">
        <f>IF(G70&lt;=($B$13*4),($B$8-SUM($B$18:$B$19)-($B$8*$B$12)*$B$13)/($B$13*4),"-")</f>
        <v>-</v>
      </c>
      <c r="C70" s="13"/>
      <c r="D70" s="14">
        <f t="shared" si="0"/>
        <v>0</v>
      </c>
      <c r="E70" s="18" t="str">
        <f>IF(G70&lt;=($B$13*4),EDATE(E68,3),"-")</f>
        <v>-</v>
      </c>
      <c r="G70" s="3">
        <v>41</v>
      </c>
      <c r="H70" s="16">
        <f t="shared" si="2"/>
        <v>0.99999999999999989</v>
      </c>
      <c r="I70" s="17" t="str">
        <f t="shared" si="1"/>
        <v>-</v>
      </c>
    </row>
    <row r="71" spans="1:9" ht="15.75" thickBot="1" x14ac:dyDescent="0.3">
      <c r="A71" s="12" t="s">
        <v>56</v>
      </c>
      <c r="B71" s="13" t="str">
        <f>IF(G71&lt;=($B$13*4),($B$8-SUM($B$18:$B$19)-($B$8*$B$12)*$B$13)/($B$13*4),"-")</f>
        <v>-</v>
      </c>
      <c r="C71" s="13"/>
      <c r="D71" s="14">
        <f t="shared" si="0"/>
        <v>0</v>
      </c>
      <c r="E71" s="18" t="str">
        <f t="shared" ref="E71:E78" si="6">IF(G71&lt;=($B$13*4),EDATE(E70,3),"-")</f>
        <v>-</v>
      </c>
      <c r="G71" s="3">
        <v>42</v>
      </c>
      <c r="H71" s="16">
        <f t="shared" si="2"/>
        <v>0.99999999999999989</v>
      </c>
      <c r="I71" s="17" t="str">
        <f t="shared" si="1"/>
        <v>-</v>
      </c>
    </row>
    <row r="72" spans="1:9" ht="15.75" thickBot="1" x14ac:dyDescent="0.3">
      <c r="A72" s="12" t="s">
        <v>57</v>
      </c>
      <c r="B72" s="13" t="str">
        <f>IF(G72&lt;=($B$13*4),($B$8-SUM($B$18:$B$19)-($B$8*$B$12)*$B$13)/($B$13*4),"-")</f>
        <v>-</v>
      </c>
      <c r="C72" s="13"/>
      <c r="D72" s="14">
        <f t="shared" si="0"/>
        <v>0</v>
      </c>
      <c r="E72" s="18" t="str">
        <f t="shared" si="6"/>
        <v>-</v>
      </c>
      <c r="G72" s="3">
        <v>43</v>
      </c>
      <c r="H72" s="16">
        <f t="shared" si="2"/>
        <v>0.99999999999999989</v>
      </c>
      <c r="I72" s="17" t="str">
        <f t="shared" si="1"/>
        <v>-</v>
      </c>
    </row>
    <row r="73" spans="1:9" ht="15.75" thickBot="1" x14ac:dyDescent="0.3">
      <c r="A73" s="12" t="s">
        <v>58</v>
      </c>
      <c r="B73" s="13" t="str">
        <f>IF(G73&lt;=($B$13*4),($B$8-SUM($B$18:$B$19)-($B$8*$B$12)*$B$13)/($B$13*4),"-")</f>
        <v>-</v>
      </c>
      <c r="C73" s="13"/>
      <c r="D73" s="14">
        <f t="shared" si="0"/>
        <v>0</v>
      </c>
      <c r="E73" s="18" t="str">
        <f t="shared" si="6"/>
        <v>-</v>
      </c>
      <c r="G73" s="3">
        <v>44</v>
      </c>
      <c r="H73" s="16">
        <f t="shared" si="2"/>
        <v>0.99999999999999989</v>
      </c>
      <c r="I73" s="17" t="str">
        <f t="shared" si="1"/>
        <v>-</v>
      </c>
    </row>
    <row r="74" spans="1:9" ht="15.75" thickBot="1" x14ac:dyDescent="0.3">
      <c r="A74" s="12" t="s">
        <v>52</v>
      </c>
      <c r="B74" s="13" t="str">
        <f>IF($G74&lt;=$B$13,IF($B$12=0%,"-",$B$8*$B$12),"-")</f>
        <v>-</v>
      </c>
      <c r="C74" s="13"/>
      <c r="D74" s="14">
        <f t="shared" si="0"/>
        <v>0</v>
      </c>
      <c r="E74" s="18" t="str">
        <f>IF($B$12=0%,"-",E73)</f>
        <v>-</v>
      </c>
      <c r="G74" s="3">
        <v>11</v>
      </c>
      <c r="H74" s="16">
        <f t="shared" si="2"/>
        <v>0.99999999999999989</v>
      </c>
      <c r="I74" s="17" t="str">
        <f t="shared" si="1"/>
        <v>-</v>
      </c>
    </row>
    <row r="75" spans="1:9" ht="15.75" thickBot="1" x14ac:dyDescent="0.3">
      <c r="A75" s="12" t="s">
        <v>59</v>
      </c>
      <c r="B75" s="13" t="str">
        <f t="shared" ref="B75:B78" si="7">IF(G75&lt;=($B$13*4),($B$8-SUM($B$18:$B$19)-($B$8*$B$12)*$B$13)/($B$13*4),"-")</f>
        <v>-</v>
      </c>
      <c r="C75" s="13"/>
      <c r="D75" s="14">
        <f t="shared" si="0"/>
        <v>0</v>
      </c>
      <c r="E75" s="18" t="str">
        <f>IF(G75&lt;=($B$13*4),EDATE(E73,3),"-")</f>
        <v>-</v>
      </c>
      <c r="G75" s="3">
        <v>45</v>
      </c>
      <c r="H75" s="16">
        <f t="shared" si="2"/>
        <v>0.99999999999999989</v>
      </c>
      <c r="I75" s="17" t="str">
        <f t="shared" si="1"/>
        <v>-</v>
      </c>
    </row>
    <row r="76" spans="1:9" ht="15.75" thickBot="1" x14ac:dyDescent="0.3">
      <c r="A76" s="12" t="s">
        <v>60</v>
      </c>
      <c r="B76" s="13" t="str">
        <f t="shared" si="7"/>
        <v>-</v>
      </c>
      <c r="C76" s="13"/>
      <c r="D76" s="14">
        <f t="shared" si="0"/>
        <v>0</v>
      </c>
      <c r="E76" s="18" t="str">
        <f t="shared" si="6"/>
        <v>-</v>
      </c>
      <c r="G76" s="3">
        <v>46</v>
      </c>
      <c r="H76" s="16">
        <f t="shared" si="2"/>
        <v>0.99999999999999989</v>
      </c>
      <c r="I76" s="17" t="str">
        <f t="shared" si="1"/>
        <v>-</v>
      </c>
    </row>
    <row r="77" spans="1:9" ht="15.75" thickBot="1" x14ac:dyDescent="0.3">
      <c r="A77" s="12" t="s">
        <v>61</v>
      </c>
      <c r="B77" s="13" t="str">
        <f t="shared" si="7"/>
        <v>-</v>
      </c>
      <c r="C77" s="13"/>
      <c r="D77" s="14">
        <f t="shared" si="0"/>
        <v>0</v>
      </c>
      <c r="E77" s="18" t="str">
        <f t="shared" si="6"/>
        <v>-</v>
      </c>
      <c r="G77" s="3">
        <v>47</v>
      </c>
      <c r="H77" s="16">
        <f t="shared" si="2"/>
        <v>0.99999999999999989</v>
      </c>
      <c r="I77" s="17" t="str">
        <f t="shared" si="1"/>
        <v>-</v>
      </c>
    </row>
    <row r="78" spans="1:9" ht="15.75" thickBot="1" x14ac:dyDescent="0.3">
      <c r="A78" s="12" t="s">
        <v>62</v>
      </c>
      <c r="B78" s="13" t="str">
        <f t="shared" si="7"/>
        <v>-</v>
      </c>
      <c r="C78" s="13"/>
      <c r="D78" s="14">
        <f t="shared" si="0"/>
        <v>0</v>
      </c>
      <c r="E78" s="18" t="str">
        <f t="shared" si="6"/>
        <v>-</v>
      </c>
      <c r="G78" s="3">
        <v>48</v>
      </c>
      <c r="H78" s="16">
        <f t="shared" si="2"/>
        <v>0.99999999999999989</v>
      </c>
      <c r="I78" s="17" t="str">
        <f t="shared" si="1"/>
        <v>-</v>
      </c>
    </row>
    <row r="79" spans="1:9" ht="15.75" thickBot="1" x14ac:dyDescent="0.3">
      <c r="A79" s="12" t="s">
        <v>52</v>
      </c>
      <c r="B79" s="13" t="str">
        <f>IF($G79&lt;=$B$13,IF($B$12=0%,"-",$B$8*$B$12),"-")</f>
        <v>-</v>
      </c>
      <c r="C79" s="13"/>
      <c r="D79" s="14">
        <f t="shared" si="0"/>
        <v>0</v>
      </c>
      <c r="E79" s="18" t="str">
        <f>IF($B$12=0%,"-",E78)</f>
        <v>-</v>
      </c>
      <c r="G79" s="3">
        <v>12</v>
      </c>
      <c r="H79" s="16">
        <f t="shared" si="2"/>
        <v>0.99999999999999989</v>
      </c>
      <c r="I79" s="17" t="str">
        <f t="shared" si="1"/>
        <v>-</v>
      </c>
    </row>
    <row r="80" spans="1:9" ht="15.75" thickBot="1" x14ac:dyDescent="0.3">
      <c r="A80" s="12" t="s">
        <v>51</v>
      </c>
      <c r="B80" s="13">
        <f>SUM(B18:B79)</f>
        <v>2015752.75</v>
      </c>
      <c r="C80" s="13">
        <f>SUM(C18:C79)</f>
        <v>186428</v>
      </c>
      <c r="D80" s="14">
        <f>IFERROR(B80/$B$8,0)</f>
        <v>1</v>
      </c>
      <c r="E80" s="20">
        <f ca="1">COUNT(E18:E79)</f>
        <v>6</v>
      </c>
    </row>
    <row r="81" x14ac:dyDescent="0.25"/>
    <row r="82" x14ac:dyDescent="0.25"/>
  </sheetData>
  <sheetProtection formatCells="0" formatColumns="0" formatRows="0" insertColumns="0" insertRows="0" insertHyperlinks="0" deleteColumns="0" deleteRows="0" sort="0" autoFilter="0" pivotTables="0"/>
  <mergeCells count="16">
    <mergeCell ref="D16:E16"/>
    <mergeCell ref="A1:E1"/>
    <mergeCell ref="B15:D15"/>
    <mergeCell ref="B14:E14"/>
    <mergeCell ref="B2:E2"/>
    <mergeCell ref="B5:E5"/>
    <mergeCell ref="B8:E8"/>
    <mergeCell ref="B4:E4"/>
    <mergeCell ref="B10:E10"/>
    <mergeCell ref="B13:E13"/>
    <mergeCell ref="B3:E3"/>
    <mergeCell ref="B11:E11"/>
    <mergeCell ref="B6:E6"/>
    <mergeCell ref="B12:E12"/>
    <mergeCell ref="B9:E9"/>
    <mergeCell ref="B7:E7"/>
  </mergeCells>
  <phoneticPr fontId="3" type="noConversion"/>
  <dataValidations count="7">
    <dataValidation type="list" allowBlank="1" showInputMessage="1" showErrorMessage="1" sqref="B10:E10">
      <formula1>$J$3:$J$4</formula1>
    </dataValidation>
    <dataValidation type="list" allowBlank="1" showInputMessage="1" showErrorMessage="1" sqref="B11:E11">
      <formula1>$J$5:$J$6</formula1>
    </dataValidation>
    <dataValidation type="list" showInputMessage="1" showErrorMessage="1" sqref="E15">
      <formula1>$Q$6:$Q$10</formula1>
    </dataValidation>
    <dataValidation type="list" allowBlank="1" showInputMessage="1" showErrorMessage="1" sqref="C16">
      <formula1>$Q$14:$Q$18</formula1>
    </dataValidation>
    <dataValidation type="decimal" operator="lessThanOrEqual" allowBlank="1" showInputMessage="1" showErrorMessage="1" sqref="B12:E12">
      <formula1>0.05</formula1>
    </dataValidation>
    <dataValidation type="whole" allowBlank="1" showInputMessage="1" showErrorMessage="1" sqref="B13:E13">
      <formula1>1</formula1>
      <formula2>12</formula2>
    </dataValidation>
    <dataValidation type="decimal" operator="lessThanOrEqual" allowBlank="1" showInputMessage="1" showErrorMessage="1" sqref="F6">
      <formula1>0.03</formula1>
    </dataValidation>
  </dataValidations>
  <printOptions horizontalCentered="1" verticalCentered="1"/>
  <pageMargins left="0.7" right="0.7" top="0.75" bottom="0.75" header="0.3" footer="0.3"/>
  <pageSetup paperSize="9"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rightToLeft="1" zoomScale="150" zoomScaleNormal="150" workbookViewId="0">
      <selection activeCell="D3" sqref="D3"/>
    </sheetView>
  </sheetViews>
  <sheetFormatPr defaultColWidth="9.140625" defaultRowHeight="15" x14ac:dyDescent="0.25"/>
  <cols>
    <col min="1" max="1" width="10.85546875" bestFit="1" customWidth="1"/>
    <col min="2" max="2" width="7.42578125" bestFit="1" customWidth="1"/>
    <col min="3" max="3" width="8.140625" bestFit="1" customWidth="1"/>
    <col min="4" max="4" width="10.5703125" bestFit="1" customWidth="1"/>
  </cols>
  <sheetData>
    <row r="1" spans="1:4" x14ac:dyDescent="0.25">
      <c r="A1" s="24" t="s">
        <v>88</v>
      </c>
      <c r="B1" s="24" t="s">
        <v>67</v>
      </c>
      <c r="C1" s="24" t="s">
        <v>66</v>
      </c>
      <c r="D1" s="24" t="s">
        <v>89</v>
      </c>
    </row>
    <row r="2" spans="1:4" x14ac:dyDescent="0.25">
      <c r="A2" s="24">
        <v>1</v>
      </c>
      <c r="B2" s="66">
        <f>الاقساط!B4</f>
        <v>223</v>
      </c>
      <c r="C2" s="25">
        <f>'NEW ENGINE'!$B$20</f>
        <v>9039.25</v>
      </c>
      <c r="D2" s="25">
        <f>'NEW ENGINE'!$B$18</f>
        <v>2015752.75</v>
      </c>
    </row>
    <row r="3" spans="1:4" x14ac:dyDescent="0.25">
      <c r="A3" s="24">
        <v>2</v>
      </c>
      <c r="B3" s="67"/>
      <c r="C3" s="25">
        <f>'NEW ENGINE'!$C$20</f>
        <v>9274.375</v>
      </c>
      <c r="D3" s="25">
        <f>'NEW ENGINE'!$C$18</f>
        <v>2068185.625</v>
      </c>
    </row>
    <row r="4" spans="1:4" x14ac:dyDescent="0.25">
      <c r="A4" s="24">
        <v>3</v>
      </c>
      <c r="B4" s="67"/>
      <c r="C4" s="25">
        <f>'NEW ENGINE'!$D$20</f>
        <v>9509.5</v>
      </c>
      <c r="D4" s="25">
        <f>'NEW ENGINE'!$D$18</f>
        <v>2120618.5</v>
      </c>
    </row>
    <row r="5" spans="1:4" x14ac:dyDescent="0.25">
      <c r="A5" s="24">
        <v>4</v>
      </c>
      <c r="B5" s="67"/>
      <c r="C5" s="25">
        <f>'NEW ENGINE'!$E$20</f>
        <v>9744.625</v>
      </c>
      <c r="D5" s="25">
        <f>'NEW ENGINE'!$E$18</f>
        <v>2173051.375</v>
      </c>
    </row>
    <row r="6" spans="1:4" x14ac:dyDescent="0.25">
      <c r="A6" s="24">
        <v>5</v>
      </c>
      <c r="B6" s="67"/>
      <c r="C6" s="25">
        <f>'NEW ENGINE'!$F$20</f>
        <v>9979.75</v>
      </c>
      <c r="D6" s="25">
        <f>'NEW ENGINE'!$F$18</f>
        <v>2225484.25</v>
      </c>
    </row>
    <row r="7" spans="1:4" x14ac:dyDescent="0.25">
      <c r="A7" s="24">
        <v>6</v>
      </c>
      <c r="B7" s="67"/>
      <c r="C7" s="25">
        <f>'NEW ENGINE'!$G$20</f>
        <v>10214.875</v>
      </c>
      <c r="D7" s="25">
        <f>'NEW ENGINE'!$G$18</f>
        <v>2277917.125</v>
      </c>
    </row>
    <row r="8" spans="1:4" x14ac:dyDescent="0.25">
      <c r="A8" s="24">
        <v>7</v>
      </c>
      <c r="B8" s="67"/>
      <c r="C8" s="25">
        <f>'NEW ENGINE'!$H$20</f>
        <v>10450</v>
      </c>
      <c r="D8" s="25">
        <f>'NEW ENGINE'!$H$18</f>
        <v>2330350</v>
      </c>
    </row>
    <row r="9" spans="1:4" x14ac:dyDescent="0.25">
      <c r="A9" s="24">
        <v>8</v>
      </c>
      <c r="B9" s="67"/>
      <c r="C9" s="25">
        <f>'NEW ENGINE'!$I$20</f>
        <v>10832.078125</v>
      </c>
      <c r="D9" s="25">
        <f>'NEW ENGINE'!$I$18</f>
        <v>2415553.421875</v>
      </c>
    </row>
    <row r="10" spans="1:4" x14ac:dyDescent="0.25">
      <c r="A10" s="24">
        <v>9</v>
      </c>
      <c r="B10" s="67"/>
      <c r="C10" s="25">
        <f>'NEW ENGINE'!$J$20</f>
        <v>11023.1171875</v>
      </c>
      <c r="D10" s="25">
        <f>'NEW ENGINE'!$J$18</f>
        <v>2458155.1328125</v>
      </c>
    </row>
    <row r="11" spans="1:4" x14ac:dyDescent="0.25">
      <c r="A11" s="24">
        <v>10</v>
      </c>
      <c r="B11" s="67"/>
      <c r="C11" s="25">
        <f>'NEW ENGINE'!$K$20</f>
        <v>11214.15625</v>
      </c>
      <c r="D11" s="25">
        <f>'NEW ENGINE'!$K$18</f>
        <v>2500756.84375</v>
      </c>
    </row>
    <row r="12" spans="1:4" x14ac:dyDescent="0.25">
      <c r="A12" s="24">
        <v>11</v>
      </c>
      <c r="B12" s="67"/>
      <c r="C12" s="25">
        <f>'NEW ENGINE'!$L$20</f>
        <v>11407.624937499999</v>
      </c>
      <c r="D12" s="25">
        <f>'NEW ENGINE'!$L$18</f>
        <v>2543900.3610624997</v>
      </c>
    </row>
    <row r="13" spans="1:4" x14ac:dyDescent="0.25">
      <c r="A13" s="24">
        <v>12</v>
      </c>
      <c r="B13" s="68"/>
      <c r="C13" s="25">
        <f>'NEW ENGINE'!$M$20</f>
        <v>11596.234375</v>
      </c>
      <c r="D13" s="25">
        <f>'NEW ENGINE'!$M$18</f>
        <v>2585960.265625</v>
      </c>
    </row>
  </sheetData>
  <sheetProtection sheet="1" formatCells="0" formatColumns="0" formatRows="0" insertColumns="0" insertRows="0" insertHyperlinks="0" deleteColumns="0" deleteRows="0" sort="0" autoFilter="0" pivotTables="0"/>
  <mergeCells count="1">
    <mergeCell ref="B2:B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rightToLeft="1" tabSelected="1" workbookViewId="0">
      <selection activeCell="B15" sqref="B15"/>
    </sheetView>
  </sheetViews>
  <sheetFormatPr defaultColWidth="9.140625" defaultRowHeight="15" x14ac:dyDescent="0.25"/>
  <cols>
    <col min="1" max="1" width="24.7109375" style="27" customWidth="1"/>
    <col min="2" max="5" width="16.5703125" style="27" customWidth="1"/>
    <col min="6" max="8" width="13.28515625" style="27" customWidth="1"/>
    <col min="9" max="13" width="13.28515625" style="27" bestFit="1" customWidth="1"/>
    <col min="14" max="16384" width="9.140625" style="27"/>
  </cols>
  <sheetData>
    <row r="1" spans="1:13" x14ac:dyDescent="0.25">
      <c r="A1" s="29"/>
      <c r="B1" s="32">
        <v>1</v>
      </c>
      <c r="C1" s="32">
        <v>2</v>
      </c>
      <c r="D1" s="32">
        <v>3</v>
      </c>
      <c r="E1" s="32">
        <v>4</v>
      </c>
      <c r="F1" s="32">
        <v>5</v>
      </c>
      <c r="G1" s="32">
        <v>6</v>
      </c>
      <c r="H1" s="32">
        <v>7</v>
      </c>
      <c r="I1" s="32">
        <v>8</v>
      </c>
      <c r="J1" s="32">
        <v>9</v>
      </c>
      <c r="K1" s="32">
        <v>10</v>
      </c>
      <c r="L1" s="32">
        <v>11</v>
      </c>
      <c r="M1" s="32">
        <v>12</v>
      </c>
    </row>
    <row r="2" spans="1:13" s="36" customFormat="1" x14ac:dyDescent="0.25">
      <c r="A2" s="34" t="s">
        <v>66</v>
      </c>
      <c r="B2" s="35">
        <f>الاقساط!$B$5</f>
        <v>10450</v>
      </c>
      <c r="C2" s="35">
        <f>الاقساط!$B$5</f>
        <v>10450</v>
      </c>
      <c r="D2" s="35">
        <f>الاقساط!$B$5</f>
        <v>10450</v>
      </c>
      <c r="E2" s="35">
        <f>الاقساط!$B$5</f>
        <v>10450</v>
      </c>
      <c r="F2" s="35">
        <f>الاقساط!$B$5</f>
        <v>10450</v>
      </c>
      <c r="G2" s="35">
        <f>الاقساط!$B$5</f>
        <v>10450</v>
      </c>
      <c r="H2" s="35">
        <f>الاقساط!$B$5</f>
        <v>10450</v>
      </c>
      <c r="I2" s="35">
        <f>الاقساط!$B$5</f>
        <v>10450</v>
      </c>
      <c r="J2" s="35">
        <f>الاقساط!$B$5</f>
        <v>10450</v>
      </c>
      <c r="K2" s="35">
        <f>الاقساط!$B$5</f>
        <v>10450</v>
      </c>
      <c r="L2" s="35">
        <f>الاقساط!$B$5</f>
        <v>10450</v>
      </c>
      <c r="M2" s="35">
        <f>الاقساط!$B$5</f>
        <v>10450</v>
      </c>
    </row>
    <row r="3" spans="1:13" s="36" customFormat="1" x14ac:dyDescent="0.25">
      <c r="A3" s="34" t="s">
        <v>67</v>
      </c>
      <c r="B3" s="35">
        <f>الاقساط!$B$4</f>
        <v>223</v>
      </c>
      <c r="C3" s="35">
        <f>الاقساط!$B$4</f>
        <v>223</v>
      </c>
      <c r="D3" s="35">
        <f>الاقساط!$B$4</f>
        <v>223</v>
      </c>
      <c r="E3" s="35">
        <f>الاقساط!$B$4</f>
        <v>223</v>
      </c>
      <c r="F3" s="35">
        <f>الاقساط!$B$4</f>
        <v>223</v>
      </c>
      <c r="G3" s="35">
        <f>الاقساط!$B$4</f>
        <v>223</v>
      </c>
      <c r="H3" s="35">
        <f>الاقساط!$B$4</f>
        <v>223</v>
      </c>
      <c r="I3" s="35">
        <f>الاقساط!$B$4</f>
        <v>223</v>
      </c>
      <c r="J3" s="35">
        <f>الاقساط!$B$4</f>
        <v>223</v>
      </c>
      <c r="K3" s="35">
        <f>الاقساط!$B$4</f>
        <v>223</v>
      </c>
      <c r="L3" s="35">
        <f>الاقساط!$B$4</f>
        <v>223</v>
      </c>
      <c r="M3" s="35">
        <f>الاقساط!$B$4</f>
        <v>223</v>
      </c>
    </row>
    <row r="4" spans="1:13" s="36" customFormat="1" x14ac:dyDescent="0.25">
      <c r="A4" s="34" t="s">
        <v>78</v>
      </c>
      <c r="B4" s="35">
        <f>الاقساط!$B$15</f>
        <v>0</v>
      </c>
      <c r="C4" s="35">
        <f>الاقساط!$B$15</f>
        <v>0</v>
      </c>
      <c r="D4" s="35">
        <f>الاقساط!$B$15</f>
        <v>0</v>
      </c>
      <c r="E4" s="35">
        <f>الاقساط!$B$15</f>
        <v>0</v>
      </c>
      <c r="F4" s="35">
        <f>الاقساط!$B$15</f>
        <v>0</v>
      </c>
      <c r="G4" s="35">
        <f>الاقساط!$B$15</f>
        <v>0</v>
      </c>
      <c r="H4" s="35">
        <f>الاقساط!$B$15</f>
        <v>0</v>
      </c>
      <c r="I4" s="35">
        <f>الاقساط!$B$15</f>
        <v>0</v>
      </c>
      <c r="J4" s="35">
        <f>الاقساط!$B$15</f>
        <v>0</v>
      </c>
      <c r="K4" s="35">
        <f>الاقساط!$B$15</f>
        <v>0</v>
      </c>
      <c r="L4" s="35">
        <f>الاقساط!$B$15</f>
        <v>0</v>
      </c>
      <c r="M4" s="35">
        <f>الاقساط!$B$15</f>
        <v>0</v>
      </c>
    </row>
    <row r="5" spans="1:13" s="36" customFormat="1" x14ac:dyDescent="0.25">
      <c r="A5" s="34" t="s">
        <v>79</v>
      </c>
      <c r="B5" s="35">
        <f>الاقساط!$B$14</f>
        <v>0</v>
      </c>
      <c r="C5" s="35">
        <f>الاقساط!$B$14</f>
        <v>0</v>
      </c>
      <c r="D5" s="35">
        <f>الاقساط!$B$14</f>
        <v>0</v>
      </c>
      <c r="E5" s="35">
        <f>الاقساط!$B$14</f>
        <v>0</v>
      </c>
      <c r="F5" s="35">
        <f>الاقساط!$B$14</f>
        <v>0</v>
      </c>
      <c r="G5" s="35">
        <f>الاقساط!$B$14</f>
        <v>0</v>
      </c>
      <c r="H5" s="35">
        <f>الاقساط!$B$14</f>
        <v>0</v>
      </c>
      <c r="I5" s="35">
        <f>الاقساط!$B$14</f>
        <v>0</v>
      </c>
      <c r="J5" s="35">
        <f>الاقساط!$B$14</f>
        <v>0</v>
      </c>
      <c r="K5" s="35">
        <f>الاقساط!$B$14</f>
        <v>0</v>
      </c>
      <c r="L5" s="35">
        <f>الاقساط!$B$14</f>
        <v>0</v>
      </c>
      <c r="M5" s="35">
        <f>الاقساط!$B$14</f>
        <v>0</v>
      </c>
    </row>
    <row r="6" spans="1:13" s="36" customFormat="1" x14ac:dyDescent="0.25">
      <c r="A6" s="34" t="s">
        <v>68</v>
      </c>
      <c r="B6" s="35">
        <f t="shared" ref="B6:E6" si="0">B2*B3+(B4*B5)</f>
        <v>2330350</v>
      </c>
      <c r="C6" s="35">
        <f t="shared" si="0"/>
        <v>2330350</v>
      </c>
      <c r="D6" s="35">
        <f t="shared" si="0"/>
        <v>2330350</v>
      </c>
      <c r="E6" s="35">
        <f t="shared" si="0"/>
        <v>2330350</v>
      </c>
      <c r="F6" s="35">
        <f>F2*F3+(F4*F5)</f>
        <v>2330350</v>
      </c>
      <c r="G6" s="35">
        <f t="shared" ref="G6:M6" si="1">G2*G3+(G4*G5)</f>
        <v>2330350</v>
      </c>
      <c r="H6" s="35">
        <f t="shared" si="1"/>
        <v>2330350</v>
      </c>
      <c r="I6" s="35">
        <f t="shared" si="1"/>
        <v>2330350</v>
      </c>
      <c r="J6" s="35">
        <f t="shared" si="1"/>
        <v>2330350</v>
      </c>
      <c r="K6" s="35">
        <f t="shared" si="1"/>
        <v>2330350</v>
      </c>
      <c r="L6" s="35">
        <f t="shared" si="1"/>
        <v>2330350</v>
      </c>
      <c r="M6" s="35">
        <f t="shared" si="1"/>
        <v>2330350</v>
      </c>
    </row>
    <row r="7" spans="1:13" s="36" customFormat="1" x14ac:dyDescent="0.25">
      <c r="A7" s="34" t="s">
        <v>69</v>
      </c>
      <c r="B7" s="35">
        <f>B6*الاقساط!$B$10</f>
        <v>233035</v>
      </c>
      <c r="C7" s="35">
        <f>C6*الاقساط!$B$10</f>
        <v>233035</v>
      </c>
      <c r="D7" s="35">
        <f>D6*الاقساط!$B$10</f>
        <v>233035</v>
      </c>
      <c r="E7" s="35">
        <f>E6*الاقساط!$B$10</f>
        <v>233035</v>
      </c>
      <c r="F7" s="35">
        <f>F6*الاقساط!$B$10</f>
        <v>233035</v>
      </c>
      <c r="G7" s="35">
        <f>G6*الاقساط!$B$10</f>
        <v>233035</v>
      </c>
      <c r="H7" s="35">
        <f>H6*الاقساط!$B$10</f>
        <v>233035</v>
      </c>
      <c r="I7" s="35">
        <f>I6*الاقساط!$B$10</f>
        <v>233035</v>
      </c>
      <c r="J7" s="35">
        <f>J6*الاقساط!$B$10</f>
        <v>233035</v>
      </c>
      <c r="K7" s="35">
        <f>K6*الاقساط!$B$10</f>
        <v>233035</v>
      </c>
      <c r="L7" s="35">
        <f>L6*الاقساط!$B$10</f>
        <v>233035</v>
      </c>
      <c r="M7" s="35">
        <f>M6*الاقساط!$B$10</f>
        <v>233035</v>
      </c>
    </row>
    <row r="8" spans="1:13" s="36" customFormat="1" x14ac:dyDescent="0.25">
      <c r="A8" s="34" t="s">
        <v>70</v>
      </c>
      <c r="B8" s="35">
        <f>B6*الاقساط!$B$11</f>
        <v>0</v>
      </c>
      <c r="C8" s="35">
        <f>C6*الاقساط!$B$11</f>
        <v>0</v>
      </c>
      <c r="D8" s="35">
        <f>D6*الاقساط!$B$11</f>
        <v>0</v>
      </c>
      <c r="E8" s="35">
        <f>E6*الاقساط!$B$11</f>
        <v>0</v>
      </c>
      <c r="F8" s="35">
        <f>F6*الاقساط!$B$11</f>
        <v>0</v>
      </c>
      <c r="G8" s="35">
        <f>G6*الاقساط!$B$11</f>
        <v>0</v>
      </c>
      <c r="H8" s="35">
        <f>H6*الاقساط!$B$11</f>
        <v>0</v>
      </c>
      <c r="I8" s="35">
        <f>I6*الاقساط!$B$11</f>
        <v>0</v>
      </c>
      <c r="J8" s="35">
        <f>J6*الاقساط!$B$11</f>
        <v>0</v>
      </c>
      <c r="K8" s="35">
        <f>K6*الاقساط!$B$11</f>
        <v>0</v>
      </c>
      <c r="L8" s="35">
        <f>L6*الاقساط!$B$11</f>
        <v>0</v>
      </c>
      <c r="M8" s="35">
        <f>M6*الاقساط!$B$11</f>
        <v>0</v>
      </c>
    </row>
    <row r="9" spans="1:13" s="36" customFormat="1" x14ac:dyDescent="0.25">
      <c r="A9" s="34" t="s">
        <v>71</v>
      </c>
      <c r="B9" s="35">
        <f t="shared" ref="B9:E9" si="2">B6-(B8+B7)</f>
        <v>2097315</v>
      </c>
      <c r="C9" s="35">
        <f t="shared" si="2"/>
        <v>2097315</v>
      </c>
      <c r="D9" s="35">
        <f t="shared" si="2"/>
        <v>2097315</v>
      </c>
      <c r="E9" s="35">
        <f t="shared" si="2"/>
        <v>2097315</v>
      </c>
      <c r="F9" s="35">
        <f t="shared" ref="F9:M9" si="3">F6-(F8+F7)</f>
        <v>2097315</v>
      </c>
      <c r="G9" s="35">
        <f t="shared" si="3"/>
        <v>2097315</v>
      </c>
      <c r="H9" s="35">
        <f t="shared" si="3"/>
        <v>2097315</v>
      </c>
      <c r="I9" s="35">
        <f t="shared" si="3"/>
        <v>2097315</v>
      </c>
      <c r="J9" s="35">
        <f t="shared" si="3"/>
        <v>2097315</v>
      </c>
      <c r="K9" s="35">
        <f t="shared" si="3"/>
        <v>2097315</v>
      </c>
      <c r="L9" s="35">
        <f t="shared" si="3"/>
        <v>2097315</v>
      </c>
      <c r="M9" s="35">
        <f t="shared" si="3"/>
        <v>2097315</v>
      </c>
    </row>
    <row r="10" spans="1:13" s="36" customFormat="1" x14ac:dyDescent="0.25">
      <c r="A10" s="34" t="s">
        <v>72</v>
      </c>
      <c r="B10" s="35">
        <f t="shared" ref="B10:E10" si="4">B9/12</f>
        <v>174776.25</v>
      </c>
      <c r="C10" s="35">
        <f t="shared" si="4"/>
        <v>174776.25</v>
      </c>
      <c r="D10" s="35">
        <f t="shared" si="4"/>
        <v>174776.25</v>
      </c>
      <c r="E10" s="35">
        <f t="shared" si="4"/>
        <v>174776.25</v>
      </c>
      <c r="F10" s="35">
        <f t="shared" ref="F10:H10" si="5">F9/12</f>
        <v>174776.25</v>
      </c>
      <c r="G10" s="35">
        <f t="shared" si="5"/>
        <v>174776.25</v>
      </c>
      <c r="H10" s="35">
        <f t="shared" si="5"/>
        <v>174776.25</v>
      </c>
      <c r="I10" s="35">
        <f>I9/12</f>
        <v>174776.25</v>
      </c>
      <c r="J10" s="35">
        <f t="shared" ref="J10:M10" si="6">J9/12</f>
        <v>174776.25</v>
      </c>
      <c r="K10" s="35">
        <f t="shared" si="6"/>
        <v>174776.25</v>
      </c>
      <c r="L10" s="35">
        <f t="shared" si="6"/>
        <v>174776.25</v>
      </c>
      <c r="M10" s="35">
        <f t="shared" si="6"/>
        <v>174776.25</v>
      </c>
    </row>
    <row r="11" spans="1:13" s="36" customFormat="1" x14ac:dyDescent="0.25">
      <c r="A11" s="34" t="s">
        <v>73</v>
      </c>
      <c r="B11" s="35">
        <f t="shared" ref="B11:E11" si="7">B10*7</f>
        <v>1223433.75</v>
      </c>
      <c r="C11" s="35">
        <f t="shared" si="7"/>
        <v>1223433.75</v>
      </c>
      <c r="D11" s="35">
        <f t="shared" si="7"/>
        <v>1223433.75</v>
      </c>
      <c r="E11" s="35">
        <f t="shared" si="7"/>
        <v>1223433.75</v>
      </c>
      <c r="F11" s="35">
        <f t="shared" ref="F11:H11" si="8">F10*7</f>
        <v>1223433.75</v>
      </c>
      <c r="G11" s="35">
        <f t="shared" si="8"/>
        <v>1223433.75</v>
      </c>
      <c r="H11" s="35">
        <f t="shared" si="8"/>
        <v>1223433.75</v>
      </c>
      <c r="I11" s="35">
        <f>I10*7</f>
        <v>1223433.75</v>
      </c>
      <c r="J11" s="35">
        <f t="shared" ref="J11:M11" si="9">J10*7</f>
        <v>1223433.75</v>
      </c>
      <c r="K11" s="35">
        <f t="shared" si="9"/>
        <v>1223433.75</v>
      </c>
      <c r="L11" s="35">
        <f t="shared" si="9"/>
        <v>1223433.75</v>
      </c>
      <c r="M11" s="35">
        <f t="shared" si="9"/>
        <v>1223433.75</v>
      </c>
    </row>
    <row r="12" spans="1:13" s="36" customFormat="1" x14ac:dyDescent="0.25">
      <c r="A12" s="34" t="s">
        <v>74</v>
      </c>
      <c r="B12" s="35">
        <f t="shared" ref="B12:E12" si="10">B10*5</f>
        <v>873881.25</v>
      </c>
      <c r="C12" s="35">
        <f t="shared" si="10"/>
        <v>873881.25</v>
      </c>
      <c r="D12" s="35">
        <f t="shared" si="10"/>
        <v>873881.25</v>
      </c>
      <c r="E12" s="35">
        <f t="shared" si="10"/>
        <v>873881.25</v>
      </c>
      <c r="F12" s="35">
        <f t="shared" ref="F12:H12" si="11">F10*5</f>
        <v>873881.25</v>
      </c>
      <c r="G12" s="35">
        <f t="shared" si="11"/>
        <v>873881.25</v>
      </c>
      <c r="H12" s="35">
        <f t="shared" si="11"/>
        <v>873881.25</v>
      </c>
      <c r="I12" s="35">
        <f>I10*5</f>
        <v>873881.25</v>
      </c>
      <c r="J12" s="35">
        <f t="shared" ref="J12:M12" si="12">J10*5</f>
        <v>873881.25</v>
      </c>
      <c r="K12" s="35">
        <f t="shared" si="12"/>
        <v>873881.25</v>
      </c>
      <c r="L12" s="35">
        <f t="shared" si="12"/>
        <v>873881.25</v>
      </c>
      <c r="M12" s="35">
        <f t="shared" si="12"/>
        <v>873881.25</v>
      </c>
    </row>
    <row r="13" spans="1:13" x14ac:dyDescent="0.25">
      <c r="A13" s="37" t="s">
        <v>75</v>
      </c>
      <c r="B13" s="31">
        <v>0</v>
      </c>
      <c r="C13" s="31">
        <v>0</v>
      </c>
      <c r="D13" s="31">
        <v>0</v>
      </c>
      <c r="E13" s="31">
        <v>0</v>
      </c>
      <c r="F13" s="31">
        <v>0</v>
      </c>
      <c r="G13" s="31">
        <v>0</v>
      </c>
      <c r="H13" s="31">
        <v>0</v>
      </c>
      <c r="I13" s="31">
        <v>9.7500000000000003E-2</v>
      </c>
      <c r="J13" s="31">
        <v>0.14624999999999999</v>
      </c>
      <c r="K13" s="31">
        <v>0.19500000000000001</v>
      </c>
      <c r="L13" s="31">
        <v>0.24437</v>
      </c>
      <c r="M13" s="31">
        <v>0.29249999999999998</v>
      </c>
    </row>
    <row r="14" spans="1:13" x14ac:dyDescent="0.25">
      <c r="A14" s="32" t="s">
        <v>75</v>
      </c>
      <c r="B14" s="30">
        <f t="shared" ref="B14:E14" si="13">B12*B$13</f>
        <v>0</v>
      </c>
      <c r="C14" s="30">
        <f t="shared" si="13"/>
        <v>0</v>
      </c>
      <c r="D14" s="30">
        <f t="shared" si="13"/>
        <v>0</v>
      </c>
      <c r="E14" s="30">
        <f t="shared" si="13"/>
        <v>0</v>
      </c>
      <c r="F14" s="30">
        <f t="shared" ref="F14:H14" si="14">F12*F$13</f>
        <v>0</v>
      </c>
      <c r="G14" s="30">
        <f t="shared" si="14"/>
        <v>0</v>
      </c>
      <c r="H14" s="30">
        <f t="shared" si="14"/>
        <v>0</v>
      </c>
      <c r="I14" s="30">
        <f>I12*I$13</f>
        <v>85203.421875</v>
      </c>
      <c r="J14" s="30">
        <f t="shared" ref="J14:M14" si="15">J12*J$13</f>
        <v>127805.13281249999</v>
      </c>
      <c r="K14" s="30">
        <f t="shared" si="15"/>
        <v>170406.84375</v>
      </c>
      <c r="L14" s="30">
        <f t="shared" si="15"/>
        <v>213550.36106250001</v>
      </c>
      <c r="M14" s="30">
        <f t="shared" si="15"/>
        <v>255610.26562499997</v>
      </c>
    </row>
    <row r="15" spans="1:13" x14ac:dyDescent="0.25">
      <c r="A15" s="37" t="s">
        <v>90</v>
      </c>
      <c r="B15" s="31">
        <v>0.15</v>
      </c>
      <c r="C15" s="31">
        <v>0.125</v>
      </c>
      <c r="D15" s="31">
        <v>0.1</v>
      </c>
      <c r="E15" s="31">
        <v>7.4999999999999997E-2</v>
      </c>
      <c r="F15" s="31">
        <v>0.05</v>
      </c>
      <c r="G15" s="31">
        <v>2.5000000000000001E-2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</row>
    <row r="16" spans="1:13" x14ac:dyDescent="0.25">
      <c r="A16" s="32" t="s">
        <v>91</v>
      </c>
      <c r="B16" s="30">
        <f>(B9*B15)</f>
        <v>314597.25</v>
      </c>
      <c r="C16" s="30">
        <f t="shared" ref="C16:M16" si="16">(C9*C15)</f>
        <v>262164.375</v>
      </c>
      <c r="D16" s="30">
        <f t="shared" si="16"/>
        <v>209731.5</v>
      </c>
      <c r="E16" s="30">
        <f t="shared" si="16"/>
        <v>157298.625</v>
      </c>
      <c r="F16" s="30">
        <f t="shared" si="16"/>
        <v>104865.75</v>
      </c>
      <c r="G16" s="30">
        <f t="shared" si="16"/>
        <v>52432.875</v>
      </c>
      <c r="H16" s="30">
        <f t="shared" si="16"/>
        <v>0</v>
      </c>
      <c r="I16" s="30">
        <f t="shared" si="16"/>
        <v>0</v>
      </c>
      <c r="J16" s="30">
        <f t="shared" si="16"/>
        <v>0</v>
      </c>
      <c r="K16" s="30">
        <f t="shared" si="16"/>
        <v>0</v>
      </c>
      <c r="L16" s="30">
        <f t="shared" si="16"/>
        <v>0</v>
      </c>
      <c r="M16" s="30">
        <f t="shared" si="16"/>
        <v>0</v>
      </c>
    </row>
    <row r="17" spans="1:13" x14ac:dyDescent="0.25">
      <c r="A17" s="32" t="s">
        <v>76</v>
      </c>
      <c r="B17" s="30">
        <f>B14+B12+B11-B16</f>
        <v>1782717.75</v>
      </c>
      <c r="C17" s="30">
        <f t="shared" ref="C17:M17" si="17">C14+C12+C11-C16</f>
        <v>1835150.625</v>
      </c>
      <c r="D17" s="30">
        <f t="shared" si="17"/>
        <v>1887583.5</v>
      </c>
      <c r="E17" s="30">
        <f t="shared" si="17"/>
        <v>1940016.375</v>
      </c>
      <c r="F17" s="30">
        <f t="shared" si="17"/>
        <v>1992449.25</v>
      </c>
      <c r="G17" s="30">
        <f t="shared" si="17"/>
        <v>2044882.125</v>
      </c>
      <c r="H17" s="30">
        <f t="shared" si="17"/>
        <v>2097315</v>
      </c>
      <c r="I17" s="30">
        <f t="shared" si="17"/>
        <v>2182518.421875</v>
      </c>
      <c r="J17" s="30">
        <f t="shared" si="17"/>
        <v>2225120.1328125</v>
      </c>
      <c r="K17" s="30">
        <f t="shared" si="17"/>
        <v>2267721.84375</v>
      </c>
      <c r="L17" s="30">
        <f t="shared" si="17"/>
        <v>2310865.3610624997</v>
      </c>
      <c r="M17" s="30">
        <f t="shared" si="17"/>
        <v>2352925.265625</v>
      </c>
    </row>
    <row r="18" spans="1:13" x14ac:dyDescent="0.25">
      <c r="A18" s="32" t="s">
        <v>77</v>
      </c>
      <c r="B18" s="30">
        <f t="shared" ref="B18:E18" si="18">B17+B7+B8</f>
        <v>2015752.75</v>
      </c>
      <c r="C18" s="30">
        <f t="shared" si="18"/>
        <v>2068185.625</v>
      </c>
      <c r="D18" s="30">
        <f t="shared" si="18"/>
        <v>2120618.5</v>
      </c>
      <c r="E18" s="30">
        <f t="shared" si="18"/>
        <v>2173051.375</v>
      </c>
      <c r="F18" s="30">
        <f t="shared" ref="F18:H18" si="19">F17+F7+F8</f>
        <v>2225484.25</v>
      </c>
      <c r="G18" s="30">
        <f t="shared" si="19"/>
        <v>2277917.125</v>
      </c>
      <c r="H18" s="30">
        <f t="shared" si="19"/>
        <v>2330350</v>
      </c>
      <c r="I18" s="30">
        <f>I17+I7+I8</f>
        <v>2415553.421875</v>
      </c>
      <c r="J18" s="30">
        <f t="shared" ref="J18:M18" si="20">J17+J7+J8</f>
        <v>2458155.1328125</v>
      </c>
      <c r="K18" s="30">
        <f t="shared" si="20"/>
        <v>2500756.84375</v>
      </c>
      <c r="L18" s="30">
        <f t="shared" si="20"/>
        <v>2543900.3610624997</v>
      </c>
      <c r="M18" s="30">
        <f t="shared" si="20"/>
        <v>2585960.265625</v>
      </c>
    </row>
    <row r="19" spans="1:13" s="36" customFormat="1" x14ac:dyDescent="0.25">
      <c r="A19" s="34" t="s">
        <v>84</v>
      </c>
      <c r="B19" s="35">
        <f t="shared" ref="B19:E19" si="21">B6*8%</f>
        <v>186428</v>
      </c>
      <c r="C19" s="35">
        <f t="shared" si="21"/>
        <v>186428</v>
      </c>
      <c r="D19" s="35">
        <f t="shared" si="21"/>
        <v>186428</v>
      </c>
      <c r="E19" s="35">
        <f t="shared" si="21"/>
        <v>186428</v>
      </c>
      <c r="F19" s="35">
        <f>F6*8%</f>
        <v>186428</v>
      </c>
      <c r="G19" s="35">
        <f t="shared" ref="G19:M19" si="22">G6*8%</f>
        <v>186428</v>
      </c>
      <c r="H19" s="35">
        <f t="shared" si="22"/>
        <v>186428</v>
      </c>
      <c r="I19" s="35">
        <f t="shared" si="22"/>
        <v>186428</v>
      </c>
      <c r="J19" s="35">
        <f t="shared" si="22"/>
        <v>186428</v>
      </c>
      <c r="K19" s="35">
        <f t="shared" si="22"/>
        <v>186428</v>
      </c>
      <c r="L19" s="35">
        <f t="shared" si="22"/>
        <v>186428</v>
      </c>
      <c r="M19" s="35">
        <f t="shared" si="22"/>
        <v>186428</v>
      </c>
    </row>
    <row r="20" spans="1:13" s="28" customFormat="1" x14ac:dyDescent="0.25">
      <c r="A20" s="33" t="s">
        <v>66</v>
      </c>
      <c r="B20" s="30">
        <f t="shared" ref="B20:E20" si="23">B18/B3</f>
        <v>9039.25</v>
      </c>
      <c r="C20" s="30">
        <f t="shared" si="23"/>
        <v>9274.375</v>
      </c>
      <c r="D20" s="30">
        <f t="shared" si="23"/>
        <v>9509.5</v>
      </c>
      <c r="E20" s="30">
        <f t="shared" si="23"/>
        <v>9744.625</v>
      </c>
      <c r="F20" s="30">
        <f>F18/F3</f>
        <v>9979.75</v>
      </c>
      <c r="G20" s="30">
        <f t="shared" ref="G20:M20" si="24">G18/G3</f>
        <v>10214.875</v>
      </c>
      <c r="H20" s="30">
        <f t="shared" si="24"/>
        <v>10450</v>
      </c>
      <c r="I20" s="30">
        <f t="shared" si="24"/>
        <v>10832.078125</v>
      </c>
      <c r="J20" s="30">
        <f t="shared" si="24"/>
        <v>11023.1171875</v>
      </c>
      <c r="K20" s="30">
        <f t="shared" si="24"/>
        <v>11214.15625</v>
      </c>
      <c r="L20" s="30">
        <f t="shared" si="24"/>
        <v>11407.624937499999</v>
      </c>
      <c r="M20" s="30">
        <f t="shared" si="24"/>
        <v>11596.234375</v>
      </c>
    </row>
    <row r="21" spans="1:13" s="28" customFormat="1" x14ac:dyDescent="0.25">
      <c r="A21" s="33" t="s">
        <v>92</v>
      </c>
      <c r="B21" s="30">
        <f>B6*الاقساط!$B$10</f>
        <v>233035</v>
      </c>
      <c r="C21" s="30">
        <f>C6*الاقساط!$B$10</f>
        <v>233035</v>
      </c>
      <c r="D21" s="30">
        <f>D6*الاقساط!$B$10</f>
        <v>233035</v>
      </c>
      <c r="E21" s="30">
        <f>E6*الاقساط!$B$10</f>
        <v>233035</v>
      </c>
      <c r="F21" s="30">
        <f>F6*الاقساط!$B$10</f>
        <v>233035</v>
      </c>
      <c r="G21" s="30">
        <f>G6*الاقساط!$B$10</f>
        <v>233035</v>
      </c>
      <c r="H21" s="30">
        <f>H6*الاقساط!$B$10</f>
        <v>233035</v>
      </c>
      <c r="I21" s="30">
        <f>I18*الاقساط!$B$10</f>
        <v>241555.34218750001</v>
      </c>
      <c r="J21" s="30">
        <f>J18*الاقساط!$B$10</f>
        <v>245815.51328125002</v>
      </c>
      <c r="K21" s="30">
        <f>K18*الاقساط!$B$10</f>
        <v>250075.68437500001</v>
      </c>
      <c r="L21" s="30">
        <f>L18*الاقساط!$B$10</f>
        <v>254390.03610624999</v>
      </c>
      <c r="M21" s="30">
        <f>M18*الاقساط!$B$10</f>
        <v>258596.02656250002</v>
      </c>
    </row>
    <row r="26" spans="1:13" x14ac:dyDescent="0.25">
      <c r="L26" s="27">
        <f>0.0975*100</f>
        <v>9.75</v>
      </c>
    </row>
    <row r="27" spans="1:13" x14ac:dyDescent="0.25">
      <c r="I27" s="27">
        <f>0.025*100</f>
        <v>2.5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الاقساط</vt:lpstr>
      <vt:lpstr>مقارنة</vt:lpstr>
      <vt:lpstr>NEW ENGINE</vt:lpstr>
      <vt:lpstr>الاقساط!Print_Area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Hamdy</dc:creator>
  <cp:lastModifiedBy>Mohamed Emad Eldin Mohamed Komaja</cp:lastModifiedBy>
  <cp:lastPrinted>2021-10-19T16:30:45Z</cp:lastPrinted>
  <dcterms:created xsi:type="dcterms:W3CDTF">2021-05-17T11:36:33Z</dcterms:created>
  <dcterms:modified xsi:type="dcterms:W3CDTF">2022-01-13T08:04:43Z</dcterms:modified>
</cp:coreProperties>
</file>