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onouz-CRM-2\z-info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K13" i="1"/>
  <c r="C28" i="1" l="1"/>
  <c r="C29" i="1" s="1"/>
  <c r="C5" i="1"/>
  <c r="F1" i="1" s="1"/>
  <c r="L5" i="1" s="1"/>
  <c r="G3" i="1"/>
  <c r="F3" i="1" l="1"/>
  <c r="F2" i="1"/>
  <c r="F4" i="1" l="1"/>
  <c r="F6" i="1" s="1"/>
  <c r="F7" i="1" s="1"/>
  <c r="F8" i="1" s="1"/>
  <c r="F10" i="1" s="1"/>
  <c r="H16" i="1"/>
  <c r="H17" i="1" s="1"/>
  <c r="H18" i="1" s="1"/>
  <c r="H19" i="1" s="1"/>
  <c r="H20" i="1" s="1"/>
  <c r="F9" i="1" l="1"/>
  <c r="H9" i="1" s="1"/>
  <c r="H10" i="1" s="1"/>
  <c r="G8" i="1" s="1"/>
  <c r="F12" i="1"/>
  <c r="F13" i="1"/>
  <c r="F11" i="1" l="1"/>
</calcChain>
</file>

<file path=xl/comments1.xml><?xml version="1.0" encoding="utf-8"?>
<comments xmlns="http://schemas.openxmlformats.org/spreadsheetml/2006/main">
  <authors>
    <author>Mohamed Soliman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Mohamed Soliman:</t>
        </r>
        <r>
          <rPr>
            <sz val="9"/>
            <color indexed="81"/>
            <rFont val="Tahoma"/>
            <family val="2"/>
          </rPr>
          <t xml:space="preserve">
Before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Mohamed Soliman:</t>
        </r>
        <r>
          <rPr>
            <sz val="9"/>
            <color indexed="81"/>
            <rFont val="Tahoma"/>
            <family val="2"/>
          </rPr>
          <t xml:space="preserve">
DP bigger than 25% from total unit after installment</t>
        </r>
      </text>
    </comment>
  </commentList>
</comments>
</file>

<file path=xl/sharedStrings.xml><?xml version="1.0" encoding="utf-8"?>
<sst xmlns="http://schemas.openxmlformats.org/spreadsheetml/2006/main" count="64" uniqueCount="38">
  <si>
    <t>Mapped</t>
  </si>
  <si>
    <t xml:space="preserve">Unit </t>
  </si>
  <si>
    <t>Basic Price</t>
  </si>
  <si>
    <t>Bulding</t>
  </si>
  <si>
    <t>Existing</t>
  </si>
  <si>
    <t>Basic DP</t>
  </si>
  <si>
    <t>Area</t>
  </si>
  <si>
    <t>Basic RP</t>
  </si>
  <si>
    <t>Meter Price</t>
  </si>
  <si>
    <t>Remaining</t>
  </si>
  <si>
    <t>Exisitng</t>
  </si>
  <si>
    <t>Meter Price W Disc</t>
  </si>
  <si>
    <t>Year Basic Price</t>
  </si>
  <si>
    <t>Usfurct_Area</t>
  </si>
  <si>
    <t>Annual With Rate</t>
  </si>
  <si>
    <t>Usfurct Price</t>
  </si>
  <si>
    <t>Interest</t>
  </si>
  <si>
    <t xml:space="preserve">Added </t>
  </si>
  <si>
    <t>Installment Years</t>
  </si>
  <si>
    <t>Down Payment%</t>
  </si>
  <si>
    <t>Downpayment</t>
  </si>
  <si>
    <t>Receving Payment%</t>
  </si>
  <si>
    <t>Receiveing Price</t>
  </si>
  <si>
    <t>Disscount from D8</t>
  </si>
  <si>
    <t>Annual Payment%</t>
  </si>
  <si>
    <t>Installment</t>
  </si>
  <si>
    <t>Meter Price After Installment</t>
  </si>
  <si>
    <t>Annual Pamyment</t>
  </si>
  <si>
    <t>Maintaince%</t>
  </si>
  <si>
    <t>Inventory Basic Price *8%</t>
  </si>
  <si>
    <t>Negative Installment</t>
  </si>
  <si>
    <t>Total Unit Price</t>
  </si>
  <si>
    <t>Fayoum Both</t>
  </si>
  <si>
    <t>Hadyek El Ahram Both</t>
  </si>
  <si>
    <t xml:space="preserve"> Installment discount</t>
  </si>
  <si>
    <t>other Discount%</t>
  </si>
  <si>
    <t>Total Price After Interst/disc</t>
  </si>
  <si>
    <t>Installment(Per 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</si>
</sst>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0.0000%"/>
    <numFmt numFmtId="166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2" borderId="0" xfId="0" applyFill="1"/>
    <xf numFmtId="164" fontId="2" fillId="3" borderId="0" xfId="1" applyFont="1" applyFill="1"/>
    <xf numFmtId="164" fontId="0" fillId="0" borderId="0" xfId="0" applyNumberFormat="1"/>
    <xf numFmtId="9" fontId="0" fillId="0" borderId="0" xfId="0" applyNumberFormat="1"/>
    <xf numFmtId="43" fontId="0" fillId="0" borderId="0" xfId="0" applyNumberFormat="1"/>
    <xf numFmtId="165" fontId="0" fillId="0" borderId="0" xfId="2" applyNumberFormat="1" applyFont="1"/>
    <xf numFmtId="164" fontId="2" fillId="4" borderId="0" xfId="0" applyNumberFormat="1" applyFont="1" applyFill="1"/>
    <xf numFmtId="164" fontId="0" fillId="0" borderId="0" xfId="1" applyFont="1"/>
    <xf numFmtId="164" fontId="0" fillId="5" borderId="0" xfId="0" applyNumberFormat="1" applyFill="1"/>
    <xf numFmtId="10" fontId="0" fillId="0" borderId="0" xfId="2" applyNumberFormat="1" applyFont="1"/>
    <xf numFmtId="0" fontId="0" fillId="6" borderId="0" xfId="0" applyNumberFormat="1" applyFill="1"/>
    <xf numFmtId="0" fontId="0" fillId="7" borderId="0" xfId="0" applyFill="1"/>
    <xf numFmtId="166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0" borderId="0" xfId="0" applyNumberFormat="1" applyFill="1"/>
    <xf numFmtId="0" fontId="0" fillId="8" borderId="0" xfId="0" applyFill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tabSelected="1" topLeftCell="B1" zoomScaleNormal="100" workbookViewId="0">
      <selection activeCell="F11" sqref="F11"/>
    </sheetView>
  </sheetViews>
  <sheetFormatPr defaultRowHeight="15" x14ac:dyDescent="0.25"/>
  <cols>
    <col min="1" max="1" width="0" style="1" hidden="1" customWidth="1"/>
    <col min="2" max="2" width="20.42578125" customWidth="1"/>
    <col min="3" max="3" width="12" customWidth="1"/>
    <col min="4" max="4" width="8.28515625" customWidth="1"/>
    <col min="5" max="5" width="27.42578125" bestFit="1" customWidth="1"/>
    <col min="6" max="6" width="16.42578125" bestFit="1" customWidth="1"/>
    <col min="7" max="7" width="17.42578125" bestFit="1" customWidth="1"/>
    <col min="8" max="8" width="20.7109375" bestFit="1" customWidth="1"/>
    <col min="9" max="9" width="2.85546875" bestFit="1" customWidth="1"/>
    <col min="10" max="10" width="11.28515625" bestFit="1" customWidth="1"/>
    <col min="11" max="12" width="11.5703125" bestFit="1" customWidth="1"/>
  </cols>
  <sheetData>
    <row r="1" spans="1:12" x14ac:dyDescent="0.25">
      <c r="A1" s="1" t="s">
        <v>0</v>
      </c>
      <c r="B1" s="2" t="s">
        <v>1</v>
      </c>
      <c r="C1">
        <v>54</v>
      </c>
      <c r="D1" t="s">
        <v>0</v>
      </c>
      <c r="E1" s="2" t="s">
        <v>2</v>
      </c>
      <c r="F1" s="3">
        <f>((C5*C3)+(C7*C6))</f>
        <v>5287405</v>
      </c>
      <c r="G1" s="4"/>
      <c r="I1">
        <v>7</v>
      </c>
      <c r="J1" s="5">
        <v>0</v>
      </c>
    </row>
    <row r="2" spans="1:12" x14ac:dyDescent="0.25">
      <c r="A2" s="1" t="s">
        <v>0</v>
      </c>
      <c r="B2" s="2" t="s">
        <v>3</v>
      </c>
      <c r="C2">
        <v>35</v>
      </c>
      <c r="D2" t="s">
        <v>4</v>
      </c>
      <c r="E2" s="2" t="s">
        <v>5</v>
      </c>
      <c r="F2" s="4">
        <f>F1*C9</f>
        <v>1321851.25</v>
      </c>
      <c r="H2" s="6"/>
      <c r="I2">
        <v>8</v>
      </c>
      <c r="J2" s="7">
        <v>9.7500000000000003E-2</v>
      </c>
    </row>
    <row r="3" spans="1:12" x14ac:dyDescent="0.25">
      <c r="A3" s="1" t="s">
        <v>0</v>
      </c>
      <c r="B3" s="2" t="s">
        <v>6</v>
      </c>
      <c r="C3">
        <v>567</v>
      </c>
      <c r="D3" t="s">
        <v>4</v>
      </c>
      <c r="E3" s="2" t="s">
        <v>7</v>
      </c>
      <c r="F3" s="4">
        <f>F1*C10</f>
        <v>158622.15</v>
      </c>
      <c r="G3" s="4">
        <f>4*12*10321.97</f>
        <v>495454.55999999994</v>
      </c>
      <c r="I3">
        <v>9</v>
      </c>
      <c r="J3" s="7">
        <v>0.14624999999999999</v>
      </c>
    </row>
    <row r="4" spans="1:12" x14ac:dyDescent="0.25">
      <c r="A4" s="1" t="s">
        <v>0</v>
      </c>
      <c r="B4" s="2" t="s">
        <v>8</v>
      </c>
      <c r="C4">
        <v>9500</v>
      </c>
      <c r="D4" t="s">
        <v>4</v>
      </c>
      <c r="E4" s="2" t="s">
        <v>9</v>
      </c>
      <c r="F4" s="4">
        <f>F1-(F3+F2)</f>
        <v>3806931.6</v>
      </c>
      <c r="G4" s="4"/>
      <c r="H4" s="4"/>
      <c r="I4">
        <v>10</v>
      </c>
      <c r="J4" s="7">
        <v>0.19500000000000001</v>
      </c>
    </row>
    <row r="5" spans="1:12" x14ac:dyDescent="0.25">
      <c r="A5" s="1" t="s">
        <v>10</v>
      </c>
      <c r="B5" s="2" t="s">
        <v>11</v>
      </c>
      <c r="C5">
        <f>C4*(1-C12)</f>
        <v>9215</v>
      </c>
      <c r="D5" t="s">
        <v>4</v>
      </c>
      <c r="E5" s="2" t="s">
        <v>12</v>
      </c>
      <c r="F5" s="4"/>
      <c r="G5" s="4"/>
      <c r="I5">
        <v>11</v>
      </c>
      <c r="J5" s="7">
        <v>0.24437</v>
      </c>
      <c r="L5" s="6">
        <f>F1*C9</f>
        <v>1321851.25</v>
      </c>
    </row>
    <row r="6" spans="1:12" x14ac:dyDescent="0.25">
      <c r="A6" s="1" t="s">
        <v>0</v>
      </c>
      <c r="B6" s="2" t="s">
        <v>13</v>
      </c>
      <c r="C6">
        <v>50</v>
      </c>
      <c r="D6" t="s">
        <v>4</v>
      </c>
      <c r="E6" s="2" t="s">
        <v>14</v>
      </c>
      <c r="F6" s="4">
        <f>(F4/12)*5</f>
        <v>1586221.5</v>
      </c>
      <c r="G6" s="4"/>
      <c r="I6">
        <v>12</v>
      </c>
      <c r="J6" s="7">
        <v>0.29249999999999998</v>
      </c>
    </row>
    <row r="7" spans="1:12" x14ac:dyDescent="0.25">
      <c r="A7" s="1" t="s">
        <v>0</v>
      </c>
      <c r="B7" s="2" t="s">
        <v>15</v>
      </c>
      <c r="C7">
        <v>1250</v>
      </c>
      <c r="D7" t="s">
        <v>4</v>
      </c>
      <c r="E7" s="2" t="s">
        <v>16</v>
      </c>
      <c r="F7" s="4">
        <f>F6*VLOOKUP($C$8,$I$1:$J$6,2,0)</f>
        <v>463969.78874999995</v>
      </c>
      <c r="G7" s="4"/>
      <c r="J7" s="7"/>
    </row>
    <row r="8" spans="1:12" x14ac:dyDescent="0.25">
      <c r="A8" s="1" t="s">
        <v>17</v>
      </c>
      <c r="B8" s="2" t="s">
        <v>18</v>
      </c>
      <c r="C8">
        <v>12</v>
      </c>
      <c r="D8" t="s">
        <v>4</v>
      </c>
      <c r="E8" s="2" t="s">
        <v>36</v>
      </c>
      <c r="F8" s="4">
        <f>F7+F4+F2+F3-(F4*C13)</f>
        <v>5751374.7887500003</v>
      </c>
      <c r="G8" s="8">
        <f>F8-H10</f>
        <v>5918943.5281875003</v>
      </c>
      <c r="J8" s="7"/>
    </row>
    <row r="9" spans="1:12" x14ac:dyDescent="0.25">
      <c r="A9" s="1" t="s">
        <v>10</v>
      </c>
      <c r="B9" s="2" t="s">
        <v>19</v>
      </c>
      <c r="C9" s="5">
        <v>0.25</v>
      </c>
      <c r="D9" t="s">
        <v>4</v>
      </c>
      <c r="E9" s="2" t="s">
        <v>20</v>
      </c>
      <c r="F9" s="4">
        <f>F8*C9</f>
        <v>1437843.6971875001</v>
      </c>
      <c r="G9" s="9">
        <v>600000</v>
      </c>
      <c r="H9" s="4">
        <f>G9-F9</f>
        <v>-837843.69718750007</v>
      </c>
    </row>
    <row r="10" spans="1:12" x14ac:dyDescent="0.25">
      <c r="A10" s="1" t="s">
        <v>10</v>
      </c>
      <c r="B10" s="2" t="s">
        <v>21</v>
      </c>
      <c r="C10" s="5">
        <v>0.03</v>
      </c>
      <c r="D10" t="s">
        <v>4</v>
      </c>
      <c r="E10" s="2" t="s">
        <v>22</v>
      </c>
      <c r="F10" s="10">
        <f>F8*C10</f>
        <v>172541.2436625</v>
      </c>
      <c r="G10" s="4" t="s">
        <v>23</v>
      </c>
      <c r="H10" s="4">
        <f>H9*20%</f>
        <v>-167568.73943750001</v>
      </c>
    </row>
    <row r="11" spans="1:12" x14ac:dyDescent="0.25">
      <c r="A11" s="1" t="s">
        <v>10</v>
      </c>
      <c r="B11" s="2" t="s">
        <v>24</v>
      </c>
      <c r="C11" s="5">
        <v>0.03</v>
      </c>
      <c r="D11" t="s">
        <v>4</v>
      </c>
      <c r="E11" s="2" t="s">
        <v>37</v>
      </c>
      <c r="F11" s="4">
        <f>(F8-SUM(F9:F10)-(F13*C8))/(C8*4)</f>
        <v>43135.310915625007</v>
      </c>
      <c r="G11" s="4"/>
    </row>
    <row r="12" spans="1:12" x14ac:dyDescent="0.25">
      <c r="A12" s="1" t="s">
        <v>10</v>
      </c>
      <c r="B12" s="2" t="s">
        <v>35</v>
      </c>
      <c r="C12" s="5">
        <v>0.03</v>
      </c>
      <c r="D12" t="s">
        <v>4</v>
      </c>
      <c r="E12" s="2" t="s">
        <v>26</v>
      </c>
      <c r="F12" s="4">
        <f>F8/C3</f>
        <v>10143.518145943563</v>
      </c>
      <c r="G12" s="4"/>
    </row>
    <row r="13" spans="1:12" x14ac:dyDescent="0.25">
      <c r="A13" s="1" t="s">
        <v>10</v>
      </c>
      <c r="B13" s="2" t="s">
        <v>34</v>
      </c>
      <c r="C13" s="5">
        <v>0</v>
      </c>
      <c r="D13" t="s">
        <v>4</v>
      </c>
      <c r="E13" s="2" t="s">
        <v>27</v>
      </c>
      <c r="F13" s="4">
        <f>F8*C11</f>
        <v>172541.2436625</v>
      </c>
      <c r="G13" s="4"/>
      <c r="K13" s="6">
        <f>F6/4</f>
        <v>396555.375</v>
      </c>
    </row>
    <row r="14" spans="1:12" x14ac:dyDescent="0.25">
      <c r="A14" s="1" t="s">
        <v>10</v>
      </c>
      <c r="B14" s="2" t="s">
        <v>28</v>
      </c>
      <c r="C14" s="5" t="s">
        <v>29</v>
      </c>
      <c r="F14" s="4"/>
    </row>
    <row r="15" spans="1:12" x14ac:dyDescent="0.25">
      <c r="C15" s="5"/>
      <c r="F15" s="11"/>
      <c r="G15" t="s">
        <v>2</v>
      </c>
      <c r="H15" s="3">
        <f>(C3*C5)+(C6*C7)</f>
        <v>5287405</v>
      </c>
    </row>
    <row r="16" spans="1:12" x14ac:dyDescent="0.25">
      <c r="B16">
        <v>120000</v>
      </c>
      <c r="C16" s="12">
        <v>80000</v>
      </c>
      <c r="D16" s="13">
        <v>1</v>
      </c>
      <c r="E16" s="14">
        <v>-0.15</v>
      </c>
      <c r="F16" s="15"/>
      <c r="G16" t="s">
        <v>5</v>
      </c>
      <c r="H16" s="4">
        <f>H15*C9</f>
        <v>1321851.25</v>
      </c>
    </row>
    <row r="17" spans="2:9" x14ac:dyDescent="0.25">
      <c r="C17" s="12">
        <v>80000</v>
      </c>
      <c r="D17" s="13">
        <v>2</v>
      </c>
      <c r="E17" s="14">
        <v>-0.125</v>
      </c>
      <c r="G17" t="s">
        <v>9</v>
      </c>
      <c r="H17" s="4">
        <f>H15-H16</f>
        <v>3965553.75</v>
      </c>
      <c r="I17" s="15"/>
    </row>
    <row r="18" spans="2:9" x14ac:dyDescent="0.25">
      <c r="B18">
        <v>120000</v>
      </c>
      <c r="C18" s="12">
        <v>80000</v>
      </c>
      <c r="D18" s="13">
        <v>3</v>
      </c>
      <c r="E18" s="14">
        <v>-0.1</v>
      </c>
      <c r="G18" t="s">
        <v>30</v>
      </c>
      <c r="H18" s="4">
        <f>_xlfn.IFNA(H17*VLOOKUP(C8,$D$16:$E$21,2,0),0)</f>
        <v>0</v>
      </c>
    </row>
    <row r="19" spans="2:9" x14ac:dyDescent="0.25">
      <c r="C19" s="12">
        <v>80000</v>
      </c>
      <c r="D19" s="13">
        <v>4</v>
      </c>
      <c r="E19" s="14">
        <v>-7.4999999999999997E-2</v>
      </c>
      <c r="G19" t="s">
        <v>31</v>
      </c>
      <c r="H19" s="4">
        <f>H15+H18</f>
        <v>5287405</v>
      </c>
    </row>
    <row r="20" spans="2:9" x14ac:dyDescent="0.25">
      <c r="C20" s="12">
        <v>80000</v>
      </c>
      <c r="D20" s="13">
        <v>5</v>
      </c>
      <c r="E20" s="14">
        <v>-0.05</v>
      </c>
      <c r="G20" t="s">
        <v>25</v>
      </c>
      <c r="H20" s="4">
        <f>(H19-H16)/(C8*4)</f>
        <v>82615.703125</v>
      </c>
    </row>
    <row r="21" spans="2:9" x14ac:dyDescent="0.25">
      <c r="C21" s="12">
        <v>80000</v>
      </c>
      <c r="D21" s="13">
        <v>6</v>
      </c>
      <c r="E21" s="14">
        <v>-2.5000000000000001E-2</v>
      </c>
    </row>
    <row r="22" spans="2:9" x14ac:dyDescent="0.25">
      <c r="C22" s="12">
        <v>80000</v>
      </c>
      <c r="D22" s="16">
        <v>7</v>
      </c>
      <c r="E22" s="14">
        <v>0</v>
      </c>
    </row>
    <row r="23" spans="2:9" x14ac:dyDescent="0.25">
      <c r="C23" s="17">
        <v>80000</v>
      </c>
      <c r="D23" s="18">
        <v>8</v>
      </c>
      <c r="E23" s="19">
        <v>9.7500000000000003E-2</v>
      </c>
    </row>
    <row r="24" spans="2:9" x14ac:dyDescent="0.25">
      <c r="C24" s="17">
        <v>80000</v>
      </c>
      <c r="D24" s="18">
        <v>9</v>
      </c>
      <c r="E24" s="7">
        <v>0.14624999999999999</v>
      </c>
    </row>
    <row r="25" spans="2:9" x14ac:dyDescent="0.25">
      <c r="C25" s="17">
        <v>80000</v>
      </c>
      <c r="D25" s="18">
        <v>10</v>
      </c>
      <c r="E25" s="7">
        <v>0.19500000000000001</v>
      </c>
    </row>
    <row r="26" spans="2:9" x14ac:dyDescent="0.25">
      <c r="C26" s="17">
        <v>80000</v>
      </c>
      <c r="D26" s="18">
        <v>11</v>
      </c>
      <c r="E26" s="7">
        <v>0.24437</v>
      </c>
    </row>
    <row r="27" spans="2:9" x14ac:dyDescent="0.25">
      <c r="C27" s="17">
        <v>80000</v>
      </c>
      <c r="D27" s="18">
        <v>12</v>
      </c>
      <c r="E27" s="7">
        <v>0.29249999999999998</v>
      </c>
    </row>
    <row r="28" spans="2:9" x14ac:dyDescent="0.25">
      <c r="C28">
        <f>SUM(C23:C27)</f>
        <v>400000</v>
      </c>
    </row>
    <row r="29" spans="2:9" x14ac:dyDescent="0.25">
      <c r="C29">
        <f>C28*E23</f>
        <v>39000</v>
      </c>
    </row>
    <row r="31" spans="2:9" x14ac:dyDescent="0.25">
      <c r="C31" t="s">
        <v>32</v>
      </c>
      <c r="D31" s="5">
        <v>0.05</v>
      </c>
    </row>
    <row r="32" spans="2:9" x14ac:dyDescent="0.25">
      <c r="C32" t="s">
        <v>33</v>
      </c>
      <c r="D32" s="5">
        <v>0.03</v>
      </c>
    </row>
  </sheetData>
  <dataValidations count="1">
    <dataValidation type="list" allowBlank="1" showInputMessage="1" showErrorMessage="1" sqref="C13">
      <formula1>$E$16:$E$25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Emad Eldin Mohamed Komaja</dc:creator>
  <cp:lastModifiedBy>Muhammad El Na7tta</cp:lastModifiedBy>
  <dcterms:created xsi:type="dcterms:W3CDTF">2022-01-23T00:50:35Z</dcterms:created>
  <dcterms:modified xsi:type="dcterms:W3CDTF">2022-01-27T01:53:01Z</dcterms:modified>
</cp:coreProperties>
</file>