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Sheet16" sheetId="4" r:id="rId6"/>
    <sheet state="visible" name="CF-C1" sheetId="5" r:id="rId7"/>
    <sheet state="visible" name="CF-C2" sheetId="6" r:id="rId8"/>
    <sheet state="visible" name="CF-B" sheetId="7" r:id="rId9"/>
    <sheet state="visible" name="CF-D1" sheetId="8" r:id="rId10"/>
    <sheet state="visible" name="CF-D2" sheetId="9" r:id="rId11"/>
    <sheet state="visible" name="CF-D3" sheetId="10" r:id="rId12"/>
    <sheet state="visible" name="External" sheetId="11" r:id="rId13"/>
    <sheet state="visible" name="Weekly Checklist" sheetId="12" r:id="rId14"/>
  </sheets>
  <definedNames/>
  <calcPr/>
</workbook>
</file>

<file path=xl/sharedStrings.xml><?xml version="1.0" encoding="utf-8"?>
<sst xmlns="http://schemas.openxmlformats.org/spreadsheetml/2006/main" count="1417" uniqueCount="1289">
  <si>
    <t>Problem Name</t>
  </si>
  <si>
    <r>
      <t xml:space="preserve">Q) What is the sheet </t>
    </r>
    <r>
      <rPr>
        <b/>
      </rPr>
      <t>requirements</t>
    </r>
    <r>
      <t>? Should I study algorithms and Data structures?</t>
    </r>
  </si>
  <si>
    <t>Problem Solving Sheet</t>
  </si>
  <si>
    <t>Problem Code</t>
  </si>
  <si>
    <r>
      <t xml:space="preserve">This google sheet is created by </t>
    </r>
    <r>
      <rPr>
        <b/>
      </rPr>
      <t>Eng Mostafa Saad Ibrahim</t>
    </r>
    <r>
      <t xml:space="preserve">. Overall </t>
    </r>
    <r>
      <rPr>
        <b/>
      </rPr>
      <t>~800</t>
    </r>
    <r>
      <t xml:space="preserve"> problems for </t>
    </r>
    <r>
      <rPr>
        <b/>
      </rPr>
      <t>newcomers</t>
    </r>
    <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</si>
  <si>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</si>
  <si>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</si>
  <si>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rPr>
      <t>check the editorials</t>
    </r>
    <r>
      <t xml:space="preserve"> and solutions?</t>
    </r>
  </si>
  <si>
    <t>https://ask.fm/mostafasaad87/answers/144907000290</t>
  </si>
  <si>
    <t>Status</t>
  </si>
  <si>
    <t>Submit Count</t>
  </si>
  <si>
    <t>Reading Time(m)</t>
  </si>
  <si>
    <t>Thinking Time(m)</t>
  </si>
  <si>
    <t>Coding Time(m)</t>
  </si>
  <si>
    <t>Debug Time(m)</t>
  </si>
  <si>
    <t>Total Time(m)</t>
  </si>
  <si>
    <t>Problem Level /10</t>
  </si>
  <si>
    <t>By yourself?</t>
  </si>
  <si>
    <t>Category</t>
  </si>
  <si>
    <t>1-2 line Comments
About your approach</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</si>
  <si>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</si>
  <si>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</si>
  <si>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</si>
  <si>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</si>
  <si>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</si>
  <si>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</si>
  <si>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</si>
  <si>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</si>
  <si>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</si>
  <si>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</si>
  <si>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AC Averages =&gt;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</si>
  <si>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</si>
  <si>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</si>
  <si>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</si>
  <si>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</si>
  <si>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</si>
  <si>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</si>
  <si>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</si>
  <si>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xml:space="preserve">Currenet Version </t>
    </r>
    <r>
      <rPr>
        <b/>
      </rPr>
      <t>V6.1</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</si>
  <si>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</si>
  <si>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</si>
  <si>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</si>
  <si>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</si>
  <si>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</si>
  <si>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</si>
  <si>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</si>
  <si>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</si>
  <si>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</si>
  <si>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</si>
  <si>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</si>
  <si>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</si>
  <si>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</si>
  <si>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</si>
  <si>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</si>
  <si>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</si>
  <si>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</si>
  <si>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</si>
  <si>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</si>
  <si>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</si>
  <si>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</si>
  <si>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</si>
  <si>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</si>
  <si>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t>What is this Sheet?</t>
  </si>
  <si>
    <r>
      <t xml:space="preserve">- Complete and consistent roadmap for new comers: What to solve &amp; algorithms to learn in order
- In the bottom row, there are different sheet pages such as Faq, </t>
    </r>
    <r>
      <rPr>
        <b/>
      </rPr>
      <t>CF-A, CF-B...etc</t>
    </r>
    <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</si>
  <si>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</si>
  <si>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</si>
  <si>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</si>
  <si>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</si>
  <si>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</si>
  <si>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t>Q) Who FInished my sheet? Their levels?</t>
  </si>
  <si>
    <t>https://ask.fm/mostafasaad87/answers/150802497762</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</si>
  <si>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</si>
  <si>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</si>
  <si>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t>Q) How to share my sheet progress with you?</t>
  </si>
  <si>
    <t>https://ask.fm/mostafasaad87/answers/148552940002</t>
  </si>
  <si>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</si>
  <si>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</si>
  <si>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</si>
  <si>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</si>
  <si>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</si>
  <si>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</si>
  <si>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If you find my sheet is hard, Finish </t>
    </r>
    <r>
      <rPr>
        <b/>
      </rPr>
      <t>Assiut</t>
    </r>
    <r>
      <t xml:space="preserve"> University provides an easier starting roadmap. Finish it first</t>
    </r>
  </si>
  <si>
    <t>Sample Name1</t>
  </si>
  <si>
    <t>Know about our community and what is programming competitions =&gt;</t>
  </si>
  <si>
    <t>Sample Link1</t>
  </si>
  <si>
    <t>AC</t>
  </si>
  <si>
    <r>
      <t xml:space="preserve">Code with any language but preferred C++ or Java. For </t>
    </r>
    <r>
      <rPr>
        <b/>
      </rPr>
      <t>Java:</t>
    </r>
  </si>
  <si>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</si>
  <si>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</si>
  <si>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</si>
  <si>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</si>
  <si>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</si>
  <si>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</si>
  <si>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</si>
  <si>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</si>
  <si>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</si>
  <si>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</si>
  <si>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</si>
  <si>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t>Training Style?</t>
  </si>
  <si>
    <t>You can train alone, but highly advised to find partner(s) to work with to encourage each other.</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</si>
  <si>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</si>
  <si>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</si>
  <si>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</si>
  <si>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</si>
  <si>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</si>
  <si>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</si>
  <si>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</si>
  <si>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</si>
  <si>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Skills Goals</t>
  </si>
  <si>
    <t>Want c++ solution for UVA 408? Google with: UVA 408 filetype:cpp</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</si>
  <si>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</si>
  <si>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</si>
  <si>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</si>
  <si>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</si>
  <si>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</si>
  <si>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</si>
  <si>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</si>
  <si>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</si>
  <si>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</si>
  <si>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</si>
  <si>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</si>
  <si>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</si>
  <si>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</si>
  <si>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Vanya and Fence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</si>
  <si>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</si>
  <si>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</si>
  <si>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</si>
  <si>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</si>
  <si>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</si>
  <si>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</si>
  <si>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Anton and Danik</t>
  </si>
  <si>
    <t>Notations</t>
  </si>
  <si>
    <t>CF (codeforces), D2 (Division 2), (136, A) is the problem URL. Note this is not Round 136 ... it is Round 97</t>
  </si>
  <si>
    <t>SRM150-D2-1000</t>
  </si>
  <si>
    <t>SRM 150 (Topcoder), D2 (Division 2), 1000 (3rd problem)</t>
  </si>
  <si>
    <t>You shouldn't watch a solution video unless you can't solve it by yourself and don't get it from editorial/code. Videos are there just to for extra help.</t>
  </si>
  <si>
    <t>Problems Colors</t>
  </si>
  <si>
    <t>Bear and Big Brother</t>
  </si>
  <si>
    <t>White for a problem from codeforces</t>
  </si>
  <si>
    <t>Basic (if possible) Knowledge problem on the just watched videos</t>
  </si>
  <si>
    <t>Team</t>
  </si>
  <si>
    <t>A knowledge problem on topic you watched before, will be harder than basic problems</t>
  </si>
  <si>
    <t>Beautiful Matrix</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</si>
  <si>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</si>
  <si>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</si>
  <si>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</si>
  <si>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Gravity Flip</t>
  </si>
  <si>
    <t>Others Solutions</t>
  </si>
  <si>
    <t>If you solved a problem, please see some other accepted solutions in codeforces. You don't need to watch my linked videos unless can't solve</t>
  </si>
  <si>
    <t>External Resources</t>
  </si>
  <si>
    <t>Many awesome links - very helpful for English guys</t>
  </si>
  <si>
    <t>Petya and Strings</t>
  </si>
  <si>
    <t>Ahmed is senior from GUC</t>
  </si>
  <si>
    <t>Don't like my sheet? Go with Ahmed Aly Ladders</t>
  </si>
  <si>
    <t>Boy or Girl</t>
  </si>
  <si>
    <t>Arabic Programming Playlist</t>
  </si>
  <si>
    <t>Word</t>
  </si>
  <si>
    <t xml:space="preserve">Each video is part of a playlist </t>
  </si>
  <si>
    <t>History</t>
  </si>
  <si>
    <t>Word Capitalization</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</si>
  <si>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</si>
  <si>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</si>
  <si>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</si>
  <si>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</si>
  <si>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</si>
  <si>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</si>
  <si>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Videos Volunteers</t>
  </si>
  <si>
    <t>Magnets</t>
  </si>
  <si>
    <r>
      <t xml:space="preserve">We are recording </t>
    </r>
    <r>
      <rPr>
        <b/>
      </rPr>
      <t>Arabic</t>
    </r>
    <r>
      <t xml:space="preserve">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r>
  </si>
  <si>
    <r>
      <rPr>
        <b/>
      </rPr>
      <t>Thanks</t>
    </r>
    <r>
      <t xml:space="preserve"> for all guys who sent sheet feedback: Mariam Alshereef, Magdy Hassan, Ahmed Yasser, Ahmed Elsayed Awad, Mohamed Nasser, Mostafa Ali Mansour, Aya elymany, Ayyad shenouda, Others.</t>
    </r>
  </si>
  <si>
    <t>Sagheer and Nubian Market</t>
  </si>
  <si>
    <t>Sereja and Dima</t>
  </si>
  <si>
    <r>
      <t xml:space="preserve">Special Thanks for </t>
    </r>
    <r>
      <rPr/>
      <t>Coach Alhussain Aly</t>
    </r>
    <r>
      <t xml:space="preserve"> for his continuous help</t>
    </r>
  </si>
  <si>
    <t>Special Thanks for All volunteers in videos recording / Editorials writing</t>
  </si>
  <si>
    <t>Lucky Permutation Triple</t>
  </si>
  <si>
    <t>Stones on the Table</t>
  </si>
  <si>
    <t>Soldier and Cards</t>
  </si>
  <si>
    <t>Police Recruits</t>
  </si>
  <si>
    <t>Watchmen</t>
  </si>
  <si>
    <t>Black Square</t>
  </si>
  <si>
    <t>Night at the Museum</t>
  </si>
  <si>
    <t>Games</t>
  </si>
  <si>
    <t>Fox Dividing Cheese</t>
  </si>
  <si>
    <t>Buy a Shovel</t>
  </si>
  <si>
    <t>Is your horseshoe on the other hoof?</t>
  </si>
  <si>
    <t>Duff in Love</t>
  </si>
  <si>
    <t>Twin Primes</t>
  </si>
  <si>
    <t>Colorful Stones (Simplified Edition)</t>
  </si>
  <si>
    <t xml:space="preserve">Summation of Four </t>
  </si>
  <si>
    <t>The Lottery</t>
  </si>
  <si>
    <t>Win or Freeze</t>
  </si>
  <si>
    <t>Die Roll</t>
  </si>
  <si>
    <t>Mint</t>
  </si>
  <si>
    <t>Pyramids</t>
  </si>
  <si>
    <t>Shaass and Oskols</t>
  </si>
  <si>
    <t>BITMAP - Bitmap</t>
  </si>
  <si>
    <t>Power of Cryptography</t>
  </si>
  <si>
    <t>Juicer</t>
  </si>
  <si>
    <t>SRM458-D2-500</t>
  </si>
  <si>
    <t>Is There A Second Way Left?</t>
  </si>
  <si>
    <t>Key Task</t>
  </si>
  <si>
    <t>Carrot Cakes</t>
  </si>
  <si>
    <t>SRM381-D2-1000</t>
  </si>
  <si>
    <t>UVA 10491</t>
  </si>
  <si>
    <t>UVA 12952</t>
  </si>
  <si>
    <t>Modified GCD</t>
  </si>
  <si>
    <t>Anton and Letters</t>
  </si>
  <si>
    <t>Way Too Long Words</t>
  </si>
  <si>
    <t>Alyona and mex</t>
  </si>
  <si>
    <t>UVA 10843</t>
  </si>
  <si>
    <t>Free Ice Cream</t>
  </si>
  <si>
    <t>The Child and Set</t>
  </si>
  <si>
    <t>Hamburgers</t>
  </si>
  <si>
    <t>Wet Shark and Flowers</t>
  </si>
  <si>
    <t>Helpful Maths</t>
  </si>
  <si>
    <t>Tanya and Postcard</t>
  </si>
  <si>
    <t>Predict Outcome of the Game</t>
  </si>
  <si>
    <t>Mike and Fun</t>
  </si>
  <si>
    <t>Team Olympiad</t>
  </si>
  <si>
    <t>MUH and House of Cards</t>
  </si>
  <si>
    <t>Balls and Boxes</t>
  </si>
  <si>
    <t>Greg and Array</t>
  </si>
  <si>
    <t>Learning Languages</t>
  </si>
  <si>
    <t>New Password</t>
  </si>
  <si>
    <t>Alice and Bob</t>
  </si>
  <si>
    <t>Beautiful Sets of Points</t>
  </si>
  <si>
    <t>Mahmoud and Ehab and the wrong algorithm</t>
  </si>
  <si>
    <t>Tram</t>
  </si>
  <si>
    <t>The World is a Theatre</t>
  </si>
  <si>
    <t>Light, more light</t>
  </si>
  <si>
    <t>Trains</t>
  </si>
  <si>
    <t>Semifinals</t>
  </si>
  <si>
    <t>Towers</t>
  </si>
  <si>
    <t>Product</t>
  </si>
  <si>
    <t>Gerald is into Art</t>
  </si>
  <si>
    <t>To Carry or not to Carry</t>
  </si>
  <si>
    <t>Uniform Generator</t>
  </si>
  <si>
    <t>Balls Game</t>
  </si>
  <si>
    <t>Black and white painting</t>
  </si>
  <si>
    <t>Permutations</t>
  </si>
  <si>
    <t>Magical Array</t>
  </si>
  <si>
    <t>Beat the Spread!</t>
  </si>
  <si>
    <t>Summation of Polynomials</t>
  </si>
  <si>
    <t>Polly the Polynomial</t>
  </si>
  <si>
    <t>Jugs</t>
  </si>
  <si>
    <t>Electricity</t>
  </si>
  <si>
    <t>Sending email</t>
  </si>
  <si>
    <t>Odd Sum</t>
  </si>
  <si>
    <t>Presents</t>
  </si>
  <si>
    <t>Lift Hopping</t>
  </si>
  <si>
    <t>Shopping</t>
  </si>
  <si>
    <t>R U Kidding Mr. Feynman?</t>
  </si>
  <si>
    <t>Deciding victory in Go</t>
  </si>
  <si>
    <t>Lineland Mail</t>
  </si>
  <si>
    <t>Cleaning Robot</t>
  </si>
  <si>
    <t>Divisors</t>
  </si>
  <si>
    <t>Wandering Queen</t>
  </si>
  <si>
    <t>Mahmoud and Longest Uncommon Subsequence</t>
  </si>
  <si>
    <t>Ordering</t>
  </si>
  <si>
    <t>Snacktower</t>
  </si>
  <si>
    <t>Spreadsheet</t>
  </si>
  <si>
    <t>War of 218</t>
  </si>
  <si>
    <t>Oath of the Night's Watch</t>
  </si>
  <si>
    <t>Next Round</t>
  </si>
  <si>
    <t>Bulls and Cows</t>
  </si>
  <si>
    <t>SRM502-D2-500</t>
  </si>
  <si>
    <t>ACM contest and Blackout</t>
  </si>
  <si>
    <t>Xor-tree</t>
  </si>
  <si>
    <t>Bit++</t>
  </si>
  <si>
    <t>Median Smoothing</t>
  </si>
  <si>
    <t>Coloring Trees</t>
  </si>
  <si>
    <t>Young Physicist</t>
  </si>
  <si>
    <t>Clear Symmetry</t>
  </si>
  <si>
    <t>Pangram</t>
  </si>
  <si>
    <t>Little Girl and Maximum Sum</t>
  </si>
  <si>
    <t>Malek Dance Club</t>
  </si>
  <si>
    <t>Searching for Graph</t>
  </si>
  <si>
    <t>Sereja and Swaps</t>
  </si>
  <si>
    <t>Twins</t>
  </si>
  <si>
    <t>Sereja and Algorithm</t>
  </si>
  <si>
    <t>Trees</t>
  </si>
  <si>
    <t>Replacement</t>
  </si>
  <si>
    <t>Sereja and Mirroring</t>
  </si>
  <si>
    <t>Keyboard</t>
  </si>
  <si>
    <t>Flying Saucer Segments</t>
  </si>
  <si>
    <t>Restoring Painting</t>
  </si>
  <si>
    <t>Amr and The Large Array</t>
  </si>
  <si>
    <t>Vasya and Petya's Game</t>
  </si>
  <si>
    <t>Gleaming the Cubes</t>
  </si>
  <si>
    <t>Round Table Knights</t>
  </si>
  <si>
    <t>Kefa and Park</t>
  </si>
  <si>
    <t>Intersecting Line Segments</t>
  </si>
  <si>
    <t>The Seasonal War</t>
  </si>
  <si>
    <t>Progress Bar</t>
  </si>
  <si>
    <t>Special Offer! Super Price 999 Bourles!</t>
  </si>
  <si>
    <t>The Circumference of the Circle</t>
  </si>
  <si>
    <t>Marcus</t>
  </si>
  <si>
    <t>Jury Size</t>
  </si>
  <si>
    <t>Points in Figures: Rectangles and Circles</t>
  </si>
  <si>
    <t>Battleships</t>
  </si>
  <si>
    <t>Square Pegs And Round Holes</t>
  </si>
  <si>
    <t>Graph Coloring</t>
  </si>
  <si>
    <t>Forming Teams</t>
  </si>
  <si>
    <t>UVA 453</t>
  </si>
  <si>
    <t>Divisibility of Factors</t>
  </si>
  <si>
    <t>Hierarchy</t>
  </si>
  <si>
    <t>SRM436-D2-500</t>
  </si>
  <si>
    <t>23 out of 5</t>
  </si>
  <si>
    <t>Ordering Tasks</t>
  </si>
  <si>
    <t>8 Queens Chess Problem</t>
  </si>
  <si>
    <t>Assemble</t>
  </si>
  <si>
    <t>Even Odds</t>
  </si>
  <si>
    <t>Prime Permutation</t>
  </si>
  <si>
    <t>SPOJ FUNPROB</t>
  </si>
  <si>
    <t>Hometask</t>
  </si>
  <si>
    <t>I Wanna Be the Guy</t>
  </si>
  <si>
    <t>Terse princess</t>
  </si>
  <si>
    <t>Magic Formulas</t>
  </si>
  <si>
    <t>Hacking Cypher</t>
  </si>
  <si>
    <t>Is it rated?</t>
  </si>
  <si>
    <t>Pythagorean Triples</t>
  </si>
  <si>
    <t>Dreamoon and Sums</t>
  </si>
  <si>
    <t>Gerald's Hexagon</t>
  </si>
  <si>
    <t>Olesya and Rodion</t>
  </si>
  <si>
    <t>Try and Catch</t>
  </si>
  <si>
    <t>Points on Line</t>
  </si>
  <si>
    <t>Primes or Palindromes?</t>
  </si>
  <si>
    <t>String Task</t>
  </si>
  <si>
    <t>Find Maximum</t>
  </si>
  <si>
    <t>View Angle</t>
  </si>
  <si>
    <t>Secrets</t>
  </si>
  <si>
    <t>Translation</t>
  </si>
  <si>
    <t>Flag Day</t>
  </si>
  <si>
    <t>Jzzhu and Sequences</t>
  </si>
  <si>
    <t>Little Pony and Sort by Shift</t>
  </si>
  <si>
    <t>Simple Game</t>
  </si>
  <si>
    <t>Case of the Zeros and Ones</t>
  </si>
  <si>
    <t>Prime Matrix</t>
  </si>
  <si>
    <t>Two Tables</t>
  </si>
  <si>
    <t>Vacation</t>
  </si>
  <si>
    <t>Football</t>
  </si>
  <si>
    <t>Explained in the tutorial videos</t>
  </si>
  <si>
    <t>Unidirectional TSP</t>
  </si>
  <si>
    <t>Brain's Photos</t>
  </si>
  <si>
    <t>Strategic Defense Initiative</t>
  </si>
  <si>
    <t>Make Palindrome</t>
  </si>
  <si>
    <t>Dividing coins</t>
  </si>
  <si>
    <t>Dubstep</t>
  </si>
  <si>
    <t>Fast Food</t>
  </si>
  <si>
    <t>Palindromic Subsequence</t>
  </si>
  <si>
    <t>Gone Fishing</t>
  </si>
  <si>
    <t>SRM149-D1-500</t>
  </si>
  <si>
    <t>SRM536-D2-1000</t>
  </si>
  <si>
    <t>The Blocks Problem</t>
  </si>
  <si>
    <t>Special Olympics</t>
  </si>
  <si>
    <t>Divisibility</t>
  </si>
  <si>
    <t>Rings and Glue</t>
  </si>
  <si>
    <t>UVA 11628</t>
  </si>
  <si>
    <t>Wasted Time</t>
  </si>
  <si>
    <t>k-Tree</t>
  </si>
  <si>
    <t>Points in Figures: Rectangles</t>
  </si>
  <si>
    <t>Caesar's Legions</t>
  </si>
  <si>
    <t>Rational Resistance</t>
  </si>
  <si>
    <t>Overlapping Rectangles</t>
  </si>
  <si>
    <t>Appleman and Toastman</t>
  </si>
  <si>
    <t>k-Multiple Free Set</t>
  </si>
  <si>
    <t>Fancy Fence</t>
  </si>
  <si>
    <t>Little Pony and Expected Maximum</t>
  </si>
  <si>
    <t>Boredom</t>
  </si>
  <si>
    <t>SRM354-D2-1000</t>
  </si>
  <si>
    <t>Wizards and Trolleybuses</t>
  </si>
  <si>
    <t>Pouring Rain</t>
  </si>
  <si>
    <t>SRM349-D1-500</t>
  </si>
  <si>
    <t>Anya and Smartphone</t>
  </si>
  <si>
    <t>SPOJ TWINSNOW</t>
  </si>
  <si>
    <t>Fourth Point !!</t>
  </si>
  <si>
    <t>Polycarpus' Dice</t>
  </si>
  <si>
    <t>Print Check</t>
  </si>
  <si>
    <t>Valera and X</t>
  </si>
  <si>
    <t>SPOJ FACENEMY</t>
  </si>
  <si>
    <t>Playing Cubes</t>
  </si>
  <si>
    <t>No to Palindromes!</t>
  </si>
  <si>
    <t>Arpa’s hard exam and Mehrdad’s naive cheat</t>
  </si>
  <si>
    <t>Triangle</t>
  </si>
  <si>
    <t>T-primes</t>
  </si>
  <si>
    <t>To Add or Not to Add</t>
  </si>
  <si>
    <t>Calculating Function</t>
  </si>
  <si>
    <t>Number of Ways</t>
  </si>
  <si>
    <t>Theatre Square</t>
  </si>
  <si>
    <t>Queue</t>
  </si>
  <si>
    <t>Anton and Polyhedrons</t>
  </si>
  <si>
    <t>Magical Boxes</t>
  </si>
  <si>
    <t>String to Palindrome</t>
  </si>
  <si>
    <t>Knight Tournament</t>
  </si>
  <si>
    <t>Panoramix's Prediction</t>
  </si>
  <si>
    <t>Find Pair</t>
  </si>
  <si>
    <t>Creating Palindrome</t>
  </si>
  <si>
    <t>Appleman and Card Game</t>
  </si>
  <si>
    <t>Counterexample</t>
  </si>
  <si>
    <t>Multitasking</t>
  </si>
  <si>
    <t>Again Palindrome</t>
  </si>
  <si>
    <t>Non-square Equation</t>
  </si>
  <si>
    <t>Good Number</t>
  </si>
  <si>
    <t>Exploring Pyramids</t>
  </si>
  <si>
    <t>Dice Tower</t>
  </si>
  <si>
    <t>Cutting Sticks</t>
  </si>
  <si>
    <t>Alyona and Numbers</t>
  </si>
  <si>
    <t>Trouble of 13-Dots</t>
  </si>
  <si>
    <t>Frogger</t>
  </si>
  <si>
    <t>Optimal Array Multiplication Sequence</t>
  </si>
  <si>
    <t>Mountain Scenery</t>
  </si>
  <si>
    <t xml:space="preserve">Identifying Concurrent </t>
  </si>
  <si>
    <t>Numbering Paths</t>
  </si>
  <si>
    <t>Accordian Patience</t>
  </si>
  <si>
    <t>Help Vasilisa the Wise 2</t>
  </si>
  <si>
    <t>Jack Straws</t>
  </si>
  <si>
    <t>Chewbaсca and Number</t>
  </si>
  <si>
    <t>Software CRC</t>
  </si>
  <si>
    <t>ZOJ 1200</t>
  </si>
  <si>
    <t>Ksenia and Pan Scales</t>
  </si>
  <si>
    <t>Longest Match</t>
  </si>
  <si>
    <t>Isolated Segments</t>
  </si>
  <si>
    <t>Maze</t>
  </si>
  <si>
    <t>Launch of Collider</t>
  </si>
  <si>
    <t>Thor</t>
  </si>
  <si>
    <t>Highways</t>
  </si>
  <si>
    <t>Counting</t>
  </si>
  <si>
    <t>Hard problem</t>
  </si>
  <si>
    <t>Polo the Penguin and Segments</t>
  </si>
  <si>
    <t>Unusual Product</t>
  </si>
  <si>
    <t>Palindrome Transformation</t>
  </si>
  <si>
    <t>Chain Reaction</t>
  </si>
  <si>
    <t>IQ Test</t>
  </si>
  <si>
    <t>Mafia</t>
  </si>
  <si>
    <t>Removing Columns</t>
  </si>
  <si>
    <t>Sereja and Prefixes</t>
  </si>
  <si>
    <t>Crazy Town</t>
  </si>
  <si>
    <t>Yaroslav and Permutations</t>
  </si>
  <si>
    <t>About Bacteria</t>
  </si>
  <si>
    <t>Laptops</t>
  </si>
  <si>
    <t>DNA Alignment</t>
  </si>
  <si>
    <t>Geometric Progression</t>
  </si>
  <si>
    <t>Vika and Squares</t>
  </si>
  <si>
    <t>Snow Footprints</t>
  </si>
  <si>
    <t>Watering Flowers</t>
  </si>
  <si>
    <t>Cosmic Tables</t>
  </si>
  <si>
    <t>Raising Bacteria</t>
  </si>
  <si>
    <t>Quiz</t>
  </si>
  <si>
    <t>Secret Combination</t>
  </si>
  <si>
    <t>MUH and Important Things</t>
  </si>
  <si>
    <t>Prime Factors</t>
  </si>
  <si>
    <t>Lucky Mask</t>
  </si>
  <si>
    <t>The Playboy Chimp</t>
  </si>
  <si>
    <t>Count the factors</t>
  </si>
  <si>
    <t>Perfection</t>
  </si>
  <si>
    <t>Pipeline</t>
  </si>
  <si>
    <t>Mr. Azad and his Son</t>
  </si>
  <si>
    <t>PT07Z</t>
  </si>
  <si>
    <t>Aggressive cows</t>
  </si>
  <si>
    <t>Perfect P-th Powers</t>
  </si>
  <si>
    <t>Roads in the North</t>
  </si>
  <si>
    <t>Before moving to another sheet, email me with feedback about these problems selection.</t>
  </si>
  <si>
    <t>Code Refactoring</t>
  </si>
  <si>
    <t>Subway tree systems</t>
  </si>
  <si>
    <t>Prime Land</t>
  </si>
  <si>
    <t>Bracket Sequence</t>
  </si>
  <si>
    <t>Recycling Bottles</t>
  </si>
  <si>
    <t>UVA 10920</t>
  </si>
  <si>
    <t>Optional Problems</t>
  </si>
  <si>
    <t>Fancy Number</t>
  </si>
  <si>
    <t>SRM274-D1-500</t>
  </si>
  <si>
    <t>Matrix</t>
  </si>
  <si>
    <t xml:space="preserve">If you can't solve 60% of above problems or need around 2+ hours per problem, then solve "some" of the following problems. They are sorted too.	</t>
  </si>
  <si>
    <t>Text Editor</t>
  </si>
  <si>
    <t>Shaass and Lights</t>
  </si>
  <si>
    <t>Left-handers, Right-handers and Ambidexters</t>
  </si>
  <si>
    <t>Alternative Thinking</t>
  </si>
  <si>
    <t>Journey</t>
  </si>
  <si>
    <t>Captain Marmot</t>
  </si>
  <si>
    <t>Tennis Championship</t>
  </si>
  <si>
    <t>George and Accommodation</t>
  </si>
  <si>
    <t>The Big Race</t>
  </si>
  <si>
    <t>Guess Your Way Out!</t>
  </si>
  <si>
    <t>Vasya the Hipster</t>
  </si>
  <si>
    <t>Molly's Chemicals</t>
  </si>
  <si>
    <t>Fox And Snake</t>
  </si>
  <si>
    <t>The New Year: Meeting Friends</t>
  </si>
  <si>
    <t>Frames</t>
  </si>
  <si>
    <t>Anatoly and Cockroaches</t>
  </si>
  <si>
    <t>Elephant</t>
  </si>
  <si>
    <t>Kolya and Tandem Repeat</t>
  </si>
  <si>
    <t>Biathlon</t>
  </si>
  <si>
    <t>Greg's Workout</t>
  </si>
  <si>
    <t>Opposites Attract</t>
  </si>
  <si>
    <t>Ultra-Fast Mathematician</t>
  </si>
  <si>
    <t>Marina and Vasya</t>
  </si>
  <si>
    <t>Railway</t>
  </si>
  <si>
    <t>Little Pony and Crystal Mine</t>
  </si>
  <si>
    <t>One-dimensional Japanese Crossword</t>
  </si>
  <si>
    <t>Factorial Factors</t>
  </si>
  <si>
    <t>Soldier and Bananas</t>
  </si>
  <si>
    <t>Divide by Three</t>
  </si>
  <si>
    <t>Wifi Access</t>
  </si>
  <si>
    <t>Bus to Udayland</t>
  </si>
  <si>
    <t>Cookies</t>
  </si>
  <si>
    <t>Second Order Statistics</t>
  </si>
  <si>
    <t>Lining Up</t>
  </si>
  <si>
    <t>Nearly Lucky Number</t>
  </si>
  <si>
    <t>Little Pigs and Wolves</t>
  </si>
  <si>
    <t>Playing with Dice</t>
  </si>
  <si>
    <t>Pouring water</t>
  </si>
  <si>
    <t>A Good Contest</t>
  </si>
  <si>
    <t>Beautiful Year</t>
  </si>
  <si>
    <t>Covered Path</t>
  </si>
  <si>
    <t>Far Relative’s Birthday Cake</t>
  </si>
  <si>
    <t>Mashmokh and Lights</t>
  </si>
  <si>
    <t>SRM321-D1-500</t>
  </si>
  <si>
    <t>Facetook Priority Wall</t>
  </si>
  <si>
    <t>See Rushiose's code in arena summary</t>
  </si>
  <si>
    <t>Triangular numbers</t>
  </si>
  <si>
    <t>God, Save me</t>
  </si>
  <si>
    <t>Roma and Lucky Numbers</t>
  </si>
  <si>
    <t>How Many Points of ?</t>
  </si>
  <si>
    <t>Toy Army</t>
  </si>
  <si>
    <t>Levko and Table</t>
  </si>
  <si>
    <t>Nature</t>
  </si>
  <si>
    <t>Cards</t>
  </si>
  <si>
    <t>Factovisors</t>
  </si>
  <si>
    <t>SRM577-D1-250</t>
  </si>
  <si>
    <t>Wizards' Duel</t>
  </si>
  <si>
    <t>Combination Lock</t>
  </si>
  <si>
    <t>Fractions Again?!</t>
  </si>
  <si>
    <t>Summer Camp</t>
  </si>
  <si>
    <t>Soft Drinking</t>
  </si>
  <si>
    <t>Cut Ribbon</t>
  </si>
  <si>
    <t>Coder</t>
  </si>
  <si>
    <t>GukiZ and Contest</t>
  </si>
  <si>
    <t>Circle Line</t>
  </si>
  <si>
    <t>Patrick and Shopping</t>
  </si>
  <si>
    <t>Choosing Teams</t>
  </si>
  <si>
    <t>Cows and Cars</t>
  </si>
  <si>
    <t>Vanya and Cubes</t>
  </si>
  <si>
    <t xml:space="preserve">If you can't solve 70% of above problems or need around 2+ hours per problem, then solve "some" of the following problems. They are sorted too.	</t>
  </si>
  <si>
    <t>Checkposts</t>
  </si>
  <si>
    <t>Insomnia cure</t>
  </si>
  <si>
    <t>What is the Probability?</t>
  </si>
  <si>
    <t>Cakeminator</t>
  </si>
  <si>
    <t>Literature Lesson</t>
  </si>
  <si>
    <t>Flag</t>
  </si>
  <si>
    <t>Let’s Dance</t>
  </si>
  <si>
    <t>Cupboards</t>
  </si>
  <si>
    <t>Arpa's loud Owf and Mehrdad's evil plan</t>
  </si>
  <si>
    <t>Soroban</t>
  </si>
  <si>
    <t>Parity Game</t>
  </si>
  <si>
    <t>Beauty Pageant</t>
  </si>
  <si>
    <t>Amusing Joke</t>
  </si>
  <si>
    <t>Probability|Given</t>
  </si>
  <si>
    <t>Heroes</t>
  </si>
  <si>
    <t>Lights Out</t>
  </si>
  <si>
    <t>Dynasty Puzzles</t>
  </si>
  <si>
    <t>Lunch Rush</t>
  </si>
  <si>
    <t>Buns</t>
  </si>
  <si>
    <t>Another lottery</t>
  </si>
  <si>
    <t>Duff and Meat</t>
  </si>
  <si>
    <t>Counting Kangaroos is Fun</t>
  </si>
  <si>
    <t>Vanya and Cards</t>
  </si>
  <si>
    <t>Corporation Mail</t>
  </si>
  <si>
    <t>Squats</t>
  </si>
  <si>
    <t>Airplane</t>
  </si>
  <si>
    <t>Little Elephant and Interval</t>
  </si>
  <si>
    <t>Arrival of the General</t>
  </si>
  <si>
    <t>Sereja and Contest</t>
  </si>
  <si>
    <t>Sinking Ship</t>
  </si>
  <si>
    <t>LLPS</t>
  </si>
  <si>
    <t>Vasya and Robot</t>
  </si>
  <si>
    <t>Hockey</t>
  </si>
  <si>
    <t>Candy Bags</t>
  </si>
  <si>
    <t>Petya and File System</t>
  </si>
  <si>
    <t>Learn  Fermat's little theorem</t>
  </si>
  <si>
    <t>Game With Sticks</t>
  </si>
  <si>
    <t>Kyoya and Colored Balls</t>
  </si>
  <si>
    <t>Vasya and Socks</t>
  </si>
  <si>
    <t>George and Job</t>
  </si>
  <si>
    <t>Dima and Friends</t>
  </si>
  <si>
    <t>Harmony Analysis</t>
  </si>
  <si>
    <t>Nicholas and Permutation</t>
  </si>
  <si>
    <t>Anton and Making Potions</t>
  </si>
  <si>
    <t>UVA 11573</t>
  </si>
  <si>
    <t>Toy Cars</t>
  </si>
  <si>
    <t>Table Decorations</t>
  </si>
  <si>
    <t>DZY Loves Hash</t>
  </si>
  <si>
    <t>Hacker, pack your bags!</t>
  </si>
  <si>
    <t>HQ9+</t>
  </si>
  <si>
    <t>Message</t>
  </si>
  <si>
    <t>Holidays</t>
  </si>
  <si>
    <t>Wilbur and Points</t>
  </si>
  <si>
    <t>The Meaningless Game</t>
  </si>
  <si>
    <t>Dividing Orange</t>
  </si>
  <si>
    <t>Cows and Sequence</t>
  </si>
  <si>
    <t>Haiku</t>
  </si>
  <si>
    <t>Ladder</t>
  </si>
  <si>
    <t>Not Wool Sequences</t>
  </si>
  <si>
    <t>Star sky</t>
  </si>
  <si>
    <t>System of Equations</t>
  </si>
  <si>
    <t>Anagram</t>
  </si>
  <si>
    <t>IQ test</t>
  </si>
  <si>
    <t>DZY Loves Sequences</t>
  </si>
  <si>
    <t>Contest</t>
  </si>
  <si>
    <t>DZY Loves Physics</t>
  </si>
  <si>
    <t>Restoring Password</t>
  </si>
  <si>
    <t>Misha and Forest</t>
  </si>
  <si>
    <t>Valera and Plates</t>
  </si>
  <si>
    <t>Jzzhu and Chocolate</t>
  </si>
  <si>
    <t>Minimum Difficulty</t>
  </si>
  <si>
    <t>Diverse Permutation</t>
  </si>
  <si>
    <t>Little Elephant and Function</t>
  </si>
  <si>
    <t>Report</t>
  </si>
  <si>
    <t>Collecting Beats is Fun</t>
  </si>
  <si>
    <t>Bear and Prime Numbers</t>
  </si>
  <si>
    <t>Letter</t>
  </si>
  <si>
    <t>Homework</t>
  </si>
  <si>
    <t>Robbery</t>
  </si>
  <si>
    <t>Little Elephant and Problem</t>
  </si>
  <si>
    <t>Kefa and First Steps</t>
  </si>
  <si>
    <t>Vasya and Basketball</t>
  </si>
  <si>
    <t>Vanya and Scales</t>
  </si>
  <si>
    <t>Ilya and Bank Account</t>
  </si>
  <si>
    <t>Developing Skills</t>
  </si>
  <si>
    <t>Uncowed Forces</t>
  </si>
  <si>
    <t>Pashmak and Buses</t>
  </si>
  <si>
    <t>Maxim and Discounts</t>
  </si>
  <si>
    <t>Reconnaissance 2</t>
  </si>
  <si>
    <t>Fox and Box Accumulation</t>
  </si>
  <si>
    <t>Lucky Ticket</t>
  </si>
  <si>
    <t>Ice Skating</t>
  </si>
  <si>
    <t>Chat room</t>
  </si>
  <si>
    <t>Valera and Tubes</t>
  </si>
  <si>
    <t>George and Sleep</t>
  </si>
  <si>
    <t>Secret</t>
  </si>
  <si>
    <t>Ostap and Grasshopper</t>
  </si>
  <si>
    <t>The number of positions</t>
  </si>
  <si>
    <t>They Are Everywhere</t>
  </si>
  <si>
    <t>Table</t>
  </si>
  <si>
    <t>Monitor</t>
  </si>
  <si>
    <t>Tavas and Nafas</t>
  </si>
  <si>
    <t>System Administrator</t>
  </si>
  <si>
    <t>Watermelon</t>
  </si>
  <si>
    <t>Lucky Sum</t>
  </si>
  <si>
    <t>Let's Watch Football</t>
  </si>
  <si>
    <t>NP-Hard Problem</t>
  </si>
  <si>
    <t>Initial Bet</t>
  </si>
  <si>
    <t>Vladik and fractions</t>
  </si>
  <si>
    <t>Saitama Destroys Hotel</t>
  </si>
  <si>
    <t>Case of Matryoshkas</t>
  </si>
  <si>
    <t>Queue on Bus Stop</t>
  </si>
  <si>
    <t>Vanya and Label</t>
  </si>
  <si>
    <t>Bicycle Chain</t>
  </si>
  <si>
    <t>Exams</t>
  </si>
  <si>
    <t>Little Elephant and Rozdil</t>
  </si>
  <si>
    <t>Amr and Music</t>
  </si>
  <si>
    <t>Purification</t>
  </si>
  <si>
    <t>Marks</t>
  </si>
  <si>
    <t>Division into Teams</t>
  </si>
  <si>
    <t>Postcards and photos</t>
  </si>
  <si>
    <t>Disposition</t>
  </si>
  <si>
    <t>Mashmokh and Numbers</t>
  </si>
  <si>
    <t>Business trip</t>
  </si>
  <si>
    <t>Statues</t>
  </si>
  <si>
    <t>Drazil and Date</t>
  </si>
  <si>
    <t>Inna and Huge Candy Matrix</t>
  </si>
  <si>
    <t>Multiplication Table</t>
  </si>
  <si>
    <t>Anagram Search</t>
  </si>
  <si>
    <t>Exam</t>
  </si>
  <si>
    <t>Ilya and Sticks</t>
  </si>
  <si>
    <t>Alena's Schedule</t>
  </si>
  <si>
    <t>Day at the Beach</t>
  </si>
  <si>
    <t>Interview</t>
  </si>
  <si>
    <t>Lucky Division</t>
  </si>
  <si>
    <t>The Child and Toy</t>
  </si>
  <si>
    <t>Appleman and Easy Task</t>
  </si>
  <si>
    <t>Perfect Pair</t>
  </si>
  <si>
    <t>Vasya and Digital Root</t>
  </si>
  <si>
    <t>Parallelepiped</t>
  </si>
  <si>
    <t>Another Problem on Strings</t>
  </si>
  <si>
    <t>Socks</t>
  </si>
  <si>
    <t>Group of Students</t>
  </si>
  <si>
    <t>Valera and Elections</t>
  </si>
  <si>
    <t>Joysticks</t>
  </si>
  <si>
    <t>Array</t>
  </si>
  <si>
    <t>Round House</t>
  </si>
  <si>
    <t>Lala Land and Apple Trees</t>
  </si>
  <si>
    <t>Autocomplete</t>
  </si>
  <si>
    <t>Digital Counter</t>
  </si>
  <si>
    <t>Vitaliy and Pie</t>
  </si>
  <si>
    <t>Life Without Zeros</t>
  </si>
  <si>
    <t>Decoding</t>
  </si>
  <si>
    <t>Petya and Countryside</t>
  </si>
  <si>
    <t>Bear and Finding Criminals</t>
  </si>
  <si>
    <t>Burglar and Matches</t>
  </si>
  <si>
    <t>Caisa and Pylons</t>
  </si>
  <si>
    <t>Sum of Digits</t>
  </si>
  <si>
    <t>Coins</t>
  </si>
  <si>
    <t>Vanya and Lanterns</t>
  </si>
  <si>
    <t>Effective Approach</t>
  </si>
  <si>
    <t>Easter Eggs</t>
  </si>
  <si>
    <t>Big Mod</t>
  </si>
  <si>
    <t>Euclid's Game</t>
  </si>
  <si>
    <t>Combinations</t>
  </si>
  <si>
    <t>Pi</t>
  </si>
  <si>
    <t>Adding Reversed Numbers</t>
  </si>
  <si>
    <t>Solitaire</t>
  </si>
  <si>
    <t>Don't use big integer class. Write simple array computations</t>
  </si>
  <si>
    <t>Taxi</t>
  </si>
  <si>
    <t>Oulipo</t>
  </si>
  <si>
    <t>The Drunk Jailer</t>
  </si>
  <si>
    <t>Dividing Island</t>
  </si>
  <si>
    <t>Flowers</t>
  </si>
  <si>
    <t>A Needle in the Haystack</t>
  </si>
  <si>
    <t>Kuriyama Mirai's Stones</t>
  </si>
  <si>
    <t>SPOJ CSUMQ</t>
  </si>
  <si>
    <t>Dima and Bacteria</t>
  </si>
  <si>
    <t>Finding the Tesserect</t>
  </si>
  <si>
    <t>UVA 983</t>
  </si>
  <si>
    <t>President's Office</t>
  </si>
  <si>
    <t>Fence</t>
  </si>
  <si>
    <t>Lovely Palindromes</t>
  </si>
  <si>
    <t>Period</t>
  </si>
  <si>
    <t>Sort the Array</t>
  </si>
  <si>
    <t>Tourist Problem</t>
  </si>
  <si>
    <t>Devu, the Dumb Guy</t>
  </si>
  <si>
    <t>Prefixes and Suffixes</t>
  </si>
  <si>
    <t>Tavas and Malekas</t>
  </si>
  <si>
    <t>Lorenzo Von Matterhorn</t>
  </si>
  <si>
    <t>Another Game With Numbers</t>
  </si>
  <si>
    <t>Summer sell-off</t>
  </si>
  <si>
    <t>Restore Graph</t>
  </si>
  <si>
    <t>Colorful Field</t>
  </si>
  <si>
    <t>Be Efficient</t>
  </si>
  <si>
    <t>Vertex Cover</t>
  </si>
  <si>
    <t>Mahmoud and a Triangle</t>
  </si>
  <si>
    <t>First Digit Law</t>
  </si>
  <si>
    <t>Find The Bone</t>
  </si>
  <si>
    <t>SRM569-D2-1000</t>
  </si>
  <si>
    <t>Tic-Tac-Toe ( I )</t>
  </si>
  <si>
    <t>TIMUS 1498</t>
  </si>
  <si>
    <t>Tic-Tac-Toe ( II )</t>
  </si>
  <si>
    <t>UVA 10174</t>
  </si>
  <si>
    <t>UVA 1333</t>
  </si>
  <si>
    <t>Knight Moves</t>
  </si>
  <si>
    <t>UVA 12869</t>
  </si>
  <si>
    <t>Robin Hood</t>
  </si>
  <si>
    <t>King's Path</t>
  </si>
  <si>
    <t>End of Exams</t>
  </si>
  <si>
    <t>Bookworm</t>
  </si>
  <si>
    <t>TIMUS 1638</t>
  </si>
  <si>
    <t>Equivalent Strings</t>
  </si>
  <si>
    <t>Interval Product</t>
  </si>
  <si>
    <t>UVA 10461</t>
  </si>
  <si>
    <t>Count Good Substrings</t>
  </si>
  <si>
    <t>Students and Shoelaces</t>
  </si>
  <si>
    <t>Mushroom Scientists</t>
  </si>
  <si>
    <t>Potentiometers</t>
  </si>
  <si>
    <t>Analyzing Polyline</t>
  </si>
  <si>
    <t>Dreamoon and WiFi</t>
  </si>
  <si>
    <t>Chat Online</t>
  </si>
  <si>
    <t>Olympic Medal</t>
  </si>
  <si>
    <t>Halt The War</t>
  </si>
  <si>
    <t>Bear and Prime 100</t>
  </si>
  <si>
    <t>Filya and Homework</t>
  </si>
  <si>
    <t>24 Game</t>
  </si>
  <si>
    <t>Counting Primes</t>
  </si>
  <si>
    <t>Horrible Queries</t>
  </si>
  <si>
    <t>Inna and New Matrix of Candies</t>
  </si>
  <si>
    <t>Light Switching</t>
  </si>
  <si>
    <t>Steps</t>
  </si>
  <si>
    <t>Bachet's Game</t>
  </si>
  <si>
    <t>Circular RMQ</t>
  </si>
  <si>
    <t>Growing Mushrooms</t>
  </si>
  <si>
    <t>Regular Bracket Sequence</t>
  </si>
  <si>
    <t>A Famous City</t>
  </si>
  <si>
    <t>Escape</t>
  </si>
  <si>
    <t>SRM534-D1-250</t>
  </si>
  <si>
    <t>RMQ with Shifts</t>
  </si>
  <si>
    <t>Vacations</t>
  </si>
  <si>
    <t>SRM522-D1-250</t>
  </si>
  <si>
    <t>Woodcutters</t>
  </si>
  <si>
    <t>R2D2 and Droid Army</t>
  </si>
  <si>
    <t>Divisibility by Eight</t>
  </si>
  <si>
    <t>SRM228-D1-500</t>
  </si>
  <si>
    <t>Barcode</t>
  </si>
  <si>
    <t>Bag of mice</t>
  </si>
  <si>
    <t>Use rmq</t>
  </si>
  <si>
    <t>Ahoy, Pirates!</t>
  </si>
  <si>
    <t>Continents</t>
  </si>
  <si>
    <t>MELE3</t>
  </si>
  <si>
    <t>Brownie Points</t>
  </si>
  <si>
    <t>Roads</t>
  </si>
  <si>
    <t>Hanoi Tower</t>
  </si>
  <si>
    <t>The Tree Root</t>
  </si>
  <si>
    <t>SKYLINE</t>
  </si>
  <si>
    <t>Roma and Changing Signs</t>
  </si>
  <si>
    <t>Ordering the Soldiers</t>
  </si>
  <si>
    <t>Bear and Strings</t>
  </si>
  <si>
    <t>Brackets</t>
  </si>
  <si>
    <t>I.O.U.</t>
  </si>
  <si>
    <t>Playlist</t>
  </si>
  <si>
    <t>Jeff and Periods</t>
  </si>
  <si>
    <t>Meeting</t>
  </si>
  <si>
    <t>Present</t>
  </si>
  <si>
    <t>SRM481-D1-500</t>
  </si>
  <si>
    <t>The Dueling Philosophers Problem</t>
  </si>
  <si>
    <t>Chocolate</t>
  </si>
  <si>
    <t>Easy Number Challenge</t>
  </si>
  <si>
    <t>Han Solo and Lazer Gun</t>
  </si>
  <si>
    <t>Physics Practical</t>
  </si>
  <si>
    <t>Little Girl and Maximum XOR</t>
  </si>
  <si>
    <t>Two Buttons</t>
  </si>
  <si>
    <t>Mirror, Mirror</t>
  </si>
  <si>
    <t>Two Strings</t>
  </si>
  <si>
    <t>Pick up sticks</t>
  </si>
  <si>
    <t>Intersecting Lines</t>
  </si>
  <si>
    <t>Big Maximum Sum</t>
  </si>
  <si>
    <t>SPOJ BRCKTS2</t>
  </si>
  <si>
    <t>The Stern-Brocot Number</t>
  </si>
  <si>
    <t>Mr. Kitayuta's Colorful Graph</t>
  </si>
  <si>
    <t>Maximum Sum</t>
  </si>
  <si>
    <t>SRM297-D1-500</t>
  </si>
  <si>
    <t>SRM441-D1-250</t>
  </si>
  <si>
    <t>UVA 10888</t>
  </si>
  <si>
    <t>Efim and Strange Grade</t>
  </si>
  <si>
    <t>DZY Loves Chemistry</t>
  </si>
  <si>
    <t>Football Championship</t>
  </si>
  <si>
    <t>Kolya and Tanya</t>
  </si>
  <si>
    <t>Given Length and Sum of Digits...</t>
  </si>
  <si>
    <t>Suffix Structures</t>
  </si>
  <si>
    <t>Trip Routing</t>
  </si>
  <si>
    <t>Complete the Word</t>
  </si>
  <si>
    <t>Scheduling Lectures</t>
  </si>
  <si>
    <t>Sea and Islands</t>
  </si>
  <si>
    <t>Weird Function</t>
  </si>
  <si>
    <t>Hopscotch</t>
  </si>
  <si>
    <t>Valera and Contest</t>
  </si>
  <si>
    <t>The ? 1 ? 2 ? ... ? n = k problem</t>
  </si>
  <si>
    <t>Bear and Friendship Condition</t>
  </si>
  <si>
    <t>Dictionary Subsequences</t>
  </si>
  <si>
    <t>Quantity of Strings</t>
  </si>
  <si>
    <t>Preparing Olympiad</t>
  </si>
  <si>
    <t>Jimmi's Riddles</t>
  </si>
  <si>
    <t>Friends and Subsequences</t>
  </si>
  <si>
    <t>Sum of Squares with Segment Tree</t>
  </si>
  <si>
    <t>Eternal Victory</t>
  </si>
  <si>
    <t>Travel in Desert</t>
  </si>
  <si>
    <t>Almost Union-Find</t>
  </si>
  <si>
    <t>UVA 11987</t>
  </si>
  <si>
    <t>Virtual Friends</t>
  </si>
  <si>
    <t>Arctic Network</t>
  </si>
  <si>
    <t>SRM537-D2-1000</t>
  </si>
  <si>
    <t>Trees on the level</t>
  </si>
  <si>
    <t>Rankings</t>
  </si>
  <si>
    <t>SRM453.5-D2-1000</t>
  </si>
  <si>
    <t>SPOJ PARSUMS</t>
  </si>
  <si>
    <t>Final Standings</t>
  </si>
  <si>
    <t>Cow Program</t>
  </si>
  <si>
    <t>Farm</t>
  </si>
  <si>
    <t>Random Task</t>
  </si>
  <si>
    <t>Mashmokh and Tokens</t>
  </si>
  <si>
    <t>Greg and Graph</t>
  </si>
  <si>
    <t>Approximating a Constant Range</t>
  </si>
  <si>
    <t>Russian Roulette</t>
  </si>
  <si>
    <t>Gena's Code</t>
  </si>
  <si>
    <t>Bicycle Race</t>
  </si>
  <si>
    <t>OR in Matrix</t>
  </si>
  <si>
    <t>Greenhouse Effect</t>
  </si>
  <si>
    <t>Fox And Two Dots</t>
  </si>
  <si>
    <t>Routine Problem</t>
  </si>
  <si>
    <t>Vasya and Wrestling</t>
  </si>
  <si>
    <t>ZOJ 2587</t>
  </si>
  <si>
    <t>Hamming Distance Sum</t>
  </si>
  <si>
    <t>Wet Shark and Bishops</t>
  </si>
  <si>
    <t>Pocket Book</t>
  </si>
  <si>
    <t>Kefa and Company</t>
  </si>
  <si>
    <t>Levko and Array Recovery</t>
  </si>
  <si>
    <t>Tavas and SaDDas</t>
  </si>
  <si>
    <t>Ice Cave</t>
  </si>
  <si>
    <t>Treasure Hunt</t>
  </si>
  <si>
    <t>The Errant Physicist</t>
  </si>
  <si>
    <t>Minimum Ternary String</t>
  </si>
  <si>
    <t>Brackets sequence</t>
  </si>
  <si>
    <t>Unique World</t>
  </si>
  <si>
    <t>Bad Luck Island</t>
  </si>
  <si>
    <t>Game of Euler</t>
  </si>
  <si>
    <t>UVA 10536</t>
  </si>
  <si>
    <t>Painting Eggs</t>
  </si>
  <si>
    <t>Shopping Trip</t>
  </si>
  <si>
    <t>UVA 11284</t>
  </si>
  <si>
    <t>Hotel booking</t>
  </si>
  <si>
    <t>UVA 11635</t>
  </si>
  <si>
    <t>Pasha Maximizes</t>
  </si>
  <si>
    <t>Little Girl and Game</t>
  </si>
  <si>
    <t>Pasha and String</t>
  </si>
  <si>
    <t>Hit Ball</t>
  </si>
  <si>
    <t>Sereja ans Anagrams</t>
  </si>
  <si>
    <t>Booking System</t>
  </si>
  <si>
    <t>Choosing Capital for Treeland</t>
  </si>
  <si>
    <t>Vanya and Exams</t>
  </si>
  <si>
    <t>Coloring Brackets</t>
  </si>
  <si>
    <t>The Skyline Problem</t>
  </si>
  <si>
    <t>Hanoi Tower Troubles !</t>
  </si>
  <si>
    <t>Changing a String</t>
  </si>
  <si>
    <t>Cycle in Graph</t>
  </si>
  <si>
    <t>Maze Exploration</t>
  </si>
  <si>
    <t>IP-TV</t>
  </si>
  <si>
    <t>UVA 1174</t>
  </si>
  <si>
    <t>SRM319-D1-500</t>
  </si>
  <si>
    <t>Fixing Typos</t>
  </si>
  <si>
    <t>If you can't solve 60% of above problems or need around 2+ hours per problem, then solve "some" of the following problems. They are sorted too.</t>
  </si>
  <si>
    <t>Inbox (100500)</t>
  </si>
  <si>
    <t>Cutting Figure</t>
  </si>
  <si>
    <t>Different is Good</t>
  </si>
  <si>
    <t>Escape from Stones</t>
  </si>
  <si>
    <t>Permutation</t>
  </si>
  <si>
    <t>Little Elephant and Magic Square</t>
  </si>
  <si>
    <t>Airport</t>
  </si>
  <si>
    <t>Cormen --- The Best Friend Of a Man</t>
  </si>
  <si>
    <t>Prison Transfer</t>
  </si>
  <si>
    <t>A and B and Compilation Errors</t>
  </si>
  <si>
    <t>SRM278-D2-500</t>
  </si>
  <si>
    <t>Trees on My Island</t>
  </si>
  <si>
    <t>Game of Robots</t>
  </si>
  <si>
    <t>Packing polygons</t>
  </si>
  <si>
    <t>African Crossword</t>
  </si>
  <si>
    <t>Cows and Poker Game</t>
  </si>
  <si>
    <t>LIVEARCHIVE 2831</t>
  </si>
  <si>
    <t>Find Marble</t>
  </si>
  <si>
    <t>Interesting drink</t>
  </si>
  <si>
    <t>Video Surveillance</t>
  </si>
  <si>
    <t>Megacity</t>
  </si>
  <si>
    <t>Beautiful Paintings</t>
  </si>
  <si>
    <t>The Most Potent Corner</t>
  </si>
  <si>
    <t>Ilya and Queries</t>
  </si>
  <si>
    <t>Code Parsing</t>
  </si>
  <si>
    <t>Hungry Sequence</t>
  </si>
  <si>
    <t>Array Division</t>
  </si>
  <si>
    <t>Chloe and the sequence</t>
  </si>
  <si>
    <t>SRM514-D1-500</t>
  </si>
  <si>
    <t>SRM473-D1-500</t>
  </si>
  <si>
    <t>SRM555-D2-1000</t>
  </si>
  <si>
    <t>UVA 557</t>
  </si>
  <si>
    <t>Luxurious Houses</t>
  </si>
  <si>
    <t>SRM285-D1-500</t>
  </si>
  <si>
    <t>Xrange's Pancakes</t>
  </si>
  <si>
    <t>SRM428-D2-1000</t>
  </si>
  <si>
    <t>Settlers' Training</t>
  </si>
  <si>
    <t>SRM525-D1-500</t>
  </si>
  <si>
    <t>UVA 11648</t>
  </si>
  <si>
    <t>Far Relative’s Problem</t>
  </si>
  <si>
    <t>Wilbur and Array</t>
  </si>
  <si>
    <t>Text Document Analysis</t>
  </si>
  <si>
    <t>Shower Line</t>
  </si>
  <si>
    <t>SRM513-D2-1000</t>
  </si>
  <si>
    <t>SRM292-D1-500</t>
  </si>
  <si>
    <t>SRM405-D2-1000</t>
  </si>
  <si>
    <t>Misha and Changing Handles</t>
  </si>
  <si>
    <t>Hiring Staff</t>
  </si>
  <si>
    <t>Coat of Anticubism</t>
  </si>
  <si>
    <t>Ternary Logic</t>
  </si>
  <si>
    <t>Tavas and Karafs</t>
  </si>
  <si>
    <t>Counting Rhombi</t>
  </si>
  <si>
    <t>Pashmak and Flowers</t>
  </si>
  <si>
    <t>The Monster and the Squirrel</t>
  </si>
  <si>
    <t>UVA 881</t>
  </si>
  <si>
    <t>The Fibonacci Segment</t>
  </si>
  <si>
    <t>Spider Man</t>
  </si>
  <si>
    <t>UVA 11665</t>
  </si>
  <si>
    <t>Little Robber Girl's Zoo</t>
  </si>
  <si>
    <t>Spider's Web</t>
  </si>
  <si>
    <t>TIMUS 1599</t>
  </si>
  <si>
    <t>Unary</t>
  </si>
  <si>
    <t>Polygons</t>
  </si>
  <si>
    <t>Canvas Frames</t>
  </si>
  <si>
    <t>Ohana Cleans Up</t>
  </si>
  <si>
    <t>Chips</t>
  </si>
  <si>
    <t>Garland</t>
  </si>
  <si>
    <t>Petya and Staircases</t>
  </si>
  <si>
    <t>Equidistant String</t>
  </si>
  <si>
    <t>Vasya and String</t>
  </si>
  <si>
    <t>Vanya and Food Processor</t>
  </si>
  <si>
    <t>Potholers</t>
  </si>
  <si>
    <t>Calendar</t>
  </si>
  <si>
    <t>The SetStack Computer</t>
  </si>
  <si>
    <t>Amr and Pins</t>
  </si>
  <si>
    <t>Polo the Penguin and Matrix</t>
  </si>
  <si>
    <t>Power Transmission</t>
  </si>
  <si>
    <t>Database</t>
  </si>
  <si>
    <t>George and Round</t>
  </si>
  <si>
    <t>Can you answer these queries I</t>
  </si>
  <si>
    <t>Alyona and flowers</t>
  </si>
  <si>
    <t>Gopher II</t>
  </si>
  <si>
    <t>Urbanization</t>
  </si>
  <si>
    <t>Testing Pants for Sadness</t>
  </si>
  <si>
    <t>Cells Not Under Attack</t>
  </si>
  <si>
    <t>Software Allocation</t>
  </si>
  <si>
    <t>Can you answer these queries III</t>
  </si>
  <si>
    <t>Vanya and Books</t>
  </si>
  <si>
    <t>SPOJ ABA12E</t>
  </si>
  <si>
    <t>Worms</t>
  </si>
  <si>
    <t>UVA 11825</t>
  </si>
  <si>
    <t>Fortune Telling</t>
  </si>
  <si>
    <t>UVA 12168</t>
  </si>
  <si>
    <t>UVA 12325</t>
  </si>
  <si>
    <t>Walking in the Rain</t>
  </si>
  <si>
    <t>Dima and To-do List</t>
  </si>
  <si>
    <t>UVA 12047</t>
  </si>
  <si>
    <t>Sail</t>
  </si>
  <si>
    <t>A Plug for UNIX</t>
  </si>
  <si>
    <t>UVA 10705</t>
  </si>
  <si>
    <t>Fox and Cross</t>
  </si>
  <si>
    <t>Rebranding</t>
  </si>
  <si>
    <t>Increase and Decrease</t>
  </si>
  <si>
    <t>Mahmoud and a Dictionary</t>
  </si>
  <si>
    <t>Alyona and Mex</t>
  </si>
  <si>
    <t>Intergalactic Map</t>
  </si>
  <si>
    <t>Berland National Library</t>
  </si>
  <si>
    <t>An overnight dance in discotheque</t>
  </si>
  <si>
    <t>Art Union</t>
  </si>
  <si>
    <t>BerSU Ball</t>
  </si>
  <si>
    <t>Polyline</t>
  </si>
  <si>
    <t>Random Teams</t>
  </si>
  <si>
    <t>Friends</t>
  </si>
  <si>
    <t>UVA 1194</t>
  </si>
  <si>
    <t>War of the Corporations</t>
  </si>
  <si>
    <t>Fence Obstacle Course</t>
  </si>
  <si>
    <t>Road Construction</t>
  </si>
  <si>
    <t>Binary Number</t>
  </si>
  <si>
    <t>Before an Exam</t>
  </si>
  <si>
    <t>Running Student</t>
  </si>
  <si>
    <t>River Crossing</t>
  </si>
  <si>
    <t>UVA 10514</t>
  </si>
  <si>
    <t>Anton and currency you all know</t>
  </si>
  <si>
    <t>SRM368-D1-500</t>
  </si>
  <si>
    <t>Phone Numbers</t>
  </si>
  <si>
    <t>SRM373-D2-1000</t>
  </si>
  <si>
    <t>SRM558-D1-250</t>
  </si>
  <si>
    <t>SRM550-D2-1000</t>
  </si>
  <si>
    <t>UVA 10180</t>
  </si>
  <si>
    <t>TIMUS 1156</t>
  </si>
  <si>
    <t>SPOJ BIA</t>
  </si>
  <si>
    <t>UVA 1184</t>
  </si>
  <si>
    <t>Plant</t>
  </si>
  <si>
    <t>Reberland Linguistics</t>
  </si>
  <si>
    <t>Lucky Permutation</t>
  </si>
  <si>
    <t>Dice Throwing</t>
  </si>
  <si>
    <t>SRM339-D1-500</t>
  </si>
  <si>
    <t>Collecting Bugs</t>
  </si>
  <si>
    <t>France '98</t>
  </si>
  <si>
    <t>Problem</t>
  </si>
  <si>
    <t>Any Comments</t>
  </si>
  <si>
    <t>Tribbles</t>
  </si>
  <si>
    <t>Hats</t>
  </si>
  <si>
    <t>Tennis contest</t>
  </si>
  <si>
    <t>Water Falls</t>
  </si>
  <si>
    <t>Number Sequence</t>
  </si>
  <si>
    <t>Is It A Tree?</t>
  </si>
  <si>
    <t>Help R2-D2!</t>
  </si>
  <si>
    <t>The Bottom of a Graph</t>
  </si>
  <si>
    <t>Test</t>
  </si>
  <si>
    <t>This is your own sheet</t>
  </si>
  <si>
    <t>UVA 11997</t>
  </si>
  <si>
    <t>Add here other external problems you solve</t>
  </si>
  <si>
    <t>SRM312-D1-500</t>
  </si>
  <si>
    <t>E.g. what you solve in codeforces contests</t>
  </si>
  <si>
    <t>SRM456-D2-1000</t>
  </si>
  <si>
    <t>Andrey and Problem</t>
  </si>
  <si>
    <t>SRM608-D2-1000</t>
  </si>
  <si>
    <t>Theseus and labyrinth</t>
  </si>
  <si>
    <t>Colliders</t>
  </si>
  <si>
    <t>Three Logos</t>
  </si>
  <si>
    <t>Cunning Gena</t>
  </si>
  <si>
    <t>Good Sequences</t>
  </si>
  <si>
    <t>Party</t>
  </si>
  <si>
    <t>Sabotage</t>
  </si>
  <si>
    <t>Cupboard and Balloons</t>
  </si>
  <si>
    <t>Cycles</t>
  </si>
  <si>
    <t>SRM352-D2-1000</t>
  </si>
  <si>
    <t>Pebble Solitaire</t>
  </si>
  <si>
    <t>Kefa and Dishes</t>
  </si>
  <si>
    <t>Assignments</t>
  </si>
  <si>
    <t>Gifts by the List</t>
  </si>
  <si>
    <t>Islands and Bridges</t>
  </si>
  <si>
    <t>DZY Loves Modification</t>
  </si>
  <si>
    <t>Prove</t>
  </si>
  <si>
    <t>Mike and Feet</t>
  </si>
  <si>
    <t>Permutation Sum</t>
  </si>
  <si>
    <t>Count the Faces.</t>
  </si>
  <si>
    <t>Special Grid</t>
  </si>
  <si>
    <t>Roman and Numbers</t>
  </si>
  <si>
    <t>Persistent Bookcase</t>
  </si>
  <si>
    <t>LCM Cardinality</t>
  </si>
  <si>
    <t>Regular Bridge</t>
  </si>
  <si>
    <t>Robot Rapping Results Report time</t>
  </si>
  <si>
    <t>Almost Arithmetical Progression</t>
  </si>
  <si>
    <t>Wavio Sequence</t>
  </si>
  <si>
    <t>Title</t>
  </si>
  <si>
    <t>Treasure</t>
  </si>
  <si>
    <t>Unique Attack</t>
  </si>
  <si>
    <t>UVA 10342</t>
  </si>
  <si>
    <t>End of Fun</t>
  </si>
  <si>
    <t>Grammar Evaluation</t>
  </si>
  <si>
    <t>Directed Roads</t>
  </si>
  <si>
    <t>Find the Winning Move</t>
  </si>
  <si>
    <t>Block Tower</t>
  </si>
  <si>
    <t>A and B and Interesting Substrings</t>
  </si>
  <si>
    <t>Check the difficulty of problems</t>
  </si>
  <si>
    <t>As Fast As Possible</t>
  </si>
  <si>
    <t>Chloe and pleasant prizes</t>
  </si>
  <si>
    <t>Proving Equivalences</t>
  </si>
  <si>
    <t>Roads in Berland</t>
  </si>
  <si>
    <t>DDF</t>
  </si>
  <si>
    <t>Photographer</t>
  </si>
  <si>
    <t>LCM Challenge</t>
  </si>
  <si>
    <t>Dominos</t>
  </si>
  <si>
    <t>SRM419-D2-1000</t>
  </si>
  <si>
    <t>Winning Streak</t>
  </si>
  <si>
    <t>SRM391-D2-1000</t>
  </si>
  <si>
    <t>SRM465-D1-500</t>
  </si>
  <si>
    <t>Search in the dictionary!</t>
  </si>
  <si>
    <t>Reading</t>
  </si>
  <si>
    <t>Read within 3-5 minutes for short text problem. If no, you need to work on your Reading English Skills</t>
  </si>
  <si>
    <t>UVA 10740</t>
  </si>
  <si>
    <t>Never suspect later your problem understanding? If happens, you need to improve your comprehension / cases tracing</t>
  </si>
  <si>
    <t>Thinking</t>
  </si>
  <si>
    <t xml:space="preserve">Ready and in the challenging mood before start solving. </t>
  </si>
  <si>
    <t>UVA 12261</t>
  </si>
  <si>
    <t>LIVEARCHIVE 4008</t>
  </si>
  <si>
    <t>UVA 1342</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</si>
  <si>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</si>
  <si>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</si>
  <si>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</si>
  <si>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</si>
  <si>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</si>
  <si>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</si>
  <si>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</si>
  <si>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</si>
  <si>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</si>
  <si>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</si>
  <si>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</si>
  <si>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</si>
  <si>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</si>
  <si>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</si>
  <si>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</si>
  <si>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</si>
  <si>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</si>
  <si>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</si>
  <si>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</si>
  <si>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</si>
  <si>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</si>
  <si>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</si>
  <si>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</si>
  <si>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</si>
  <si>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</si>
  <si>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</si>
  <si>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</si>
  <si>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</si>
  <si>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</si>
  <si>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</si>
  <si>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Disk Tree</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</si>
  <si>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</si>
  <si>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</si>
  <si>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</si>
  <si>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</si>
  <si>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</si>
  <si>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</si>
  <si>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</si>
  <si>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</si>
  <si>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</si>
  <si>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</si>
  <si>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</si>
  <si>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</si>
  <si>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</si>
  <si>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</si>
  <si>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</si>
  <si>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</si>
  <si>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</si>
  <si>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</si>
  <si>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Red-Green Towers</t>
  </si>
  <si>
    <t>Phone List</t>
  </si>
  <si>
    <t>Renting Bikes</t>
  </si>
  <si>
    <t>Lucky Number 2</t>
  </si>
  <si>
    <t>Cellphone Typing</t>
  </si>
  <si>
    <t>Digits Permutations</t>
  </si>
  <si>
    <t>Tennis Game</t>
  </si>
  <si>
    <t>Vasiliy's Multiset</t>
  </si>
  <si>
    <t>Bubble Sort Graph</t>
  </si>
  <si>
    <t>Upgrading Array</t>
  </si>
  <si>
    <t>ZOJ 3305</t>
  </si>
  <si>
    <t>Exchange Rates</t>
  </si>
  <si>
    <t>Game</t>
  </si>
  <si>
    <t>Equation</t>
  </si>
  <si>
    <t>Ciel and Robot</t>
  </si>
  <si>
    <t>Plus and Square Root</t>
  </si>
  <si>
    <t>Safe</t>
  </si>
  <si>
    <t>Boxes in a Line</t>
  </si>
  <si>
    <t>Central Post Office</t>
  </si>
  <si>
    <t>SPOJ QUEST4</t>
  </si>
  <si>
    <t>Multifactorials</t>
  </si>
  <si>
    <t>Permalex</t>
  </si>
  <si>
    <t>Crimewave</t>
  </si>
  <si>
    <t>SRM545-D2-1000</t>
  </si>
  <si>
    <t>SRM495-D1-500</t>
  </si>
  <si>
    <t>Primitive Root</t>
  </si>
  <si>
    <t>Volleyball</t>
  </si>
  <si>
    <t>Of Zorcs and Axes</t>
  </si>
  <si>
    <t>Lazy Student</t>
  </si>
  <si>
    <t>Connected Components</t>
  </si>
  <si>
    <t>AND Rounds</t>
  </si>
  <si>
    <t>Campus Roads</t>
  </si>
  <si>
    <t>The Child and Zoo</t>
  </si>
  <si>
    <t>Divisible by Seven</t>
  </si>
  <si>
    <t>Devu and Partitioning of the Array</t>
  </si>
  <si>
    <t>SRM392-D1-1000</t>
  </si>
  <si>
    <t>UVA 12128</t>
  </si>
  <si>
    <t>Timus 1362</t>
  </si>
  <si>
    <t>Arthur and Table</t>
  </si>
  <si>
    <t>SPOJ COCONUTS</t>
  </si>
  <si>
    <t>Image Preview</t>
  </si>
  <si>
    <t>Maximum Xor Secondary</t>
  </si>
  <si>
    <t>Psychos in a Line</t>
  </si>
  <si>
    <t>Ilya and Roads</t>
  </si>
  <si>
    <t>Mr. Bender and Square</t>
  </si>
  <si>
    <t>Fish Weight</t>
  </si>
  <si>
    <t>Guess That Car!</t>
  </si>
  <si>
    <t>T-decomposition</t>
  </si>
  <si>
    <t>Wizards and Huge Prize</t>
  </si>
  <si>
    <t>Dima and Salad</t>
  </si>
  <si>
    <t>Gennady the Dentist</t>
  </si>
  <si>
    <t>Cinema</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</si>
  <si>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</si>
  <si>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</si>
  <si>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</si>
  <si>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</si>
  <si>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</si>
  <si>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</si>
  <si>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</si>
  <si>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</si>
  <si>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</si>
  <si>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</si>
  <si>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</si>
  <si>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</si>
  <si>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</si>
  <si>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</si>
  <si>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</si>
  <si>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</si>
  <si>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</si>
  <si>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</si>
  <si>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</si>
  <si>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</si>
  <si>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</si>
  <si>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AlgoRace</t>
  </si>
  <si>
    <t>Moodular Arithmetic</t>
  </si>
  <si>
    <t>Lucky Transformation</t>
  </si>
  <si>
    <t>Boring Partition</t>
  </si>
  <si>
    <t>Spongebob and Squares</t>
  </si>
  <si>
    <t>How many trees?</t>
  </si>
  <si>
    <t>UVA 10982</t>
  </si>
  <si>
    <t>Gargari and Bishops</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</si>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</sst>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84">
    <font>
      <sz val="10.0"/>
      <color rgb="FF000000"/>
      <name val="Arial"/>
    </font>
    <font>
      <name val="Arial"/>
    </font>
    <font>
      <b/>
      <name val="Arial"/>
    </font>
    <font/>
    <font>
      <u/>
      <color rgb="FF0000FF"/>
    </font>
    <font>
      <u/>
      <color rgb="FF0000FF"/>
      <name val="Arial"/>
    </font>
    <font>
      <i/>
      <name val="Arial"/>
    </font>
    <font>
      <u/>
      <color rgb="FF1155CC"/>
      <name val="Arial"/>
    </font>
    <font>
      <u/>
      <color rgb="FF0000FF"/>
      <name val="Arial"/>
    </font>
    <font>
      <u/>
      <color rgb="FF0000FF"/>
      <name val="Arial"/>
    </font>
    <font>
      <u/>
      <color rgb="FF0000FF"/>
      <name val="Arial"/>
    </font>
    <font>
      <u/>
      <color rgb="FF1155CC"/>
      <name val="Arial"/>
    </font>
    <font>
      <color rgb="FF000000"/>
      <name val="Arial"/>
    </font>
    <font>
      <u/>
      <color rgb="FF0000FF"/>
      <name val="Arial"/>
    </font>
    <font>
      <b/>
      <u/>
      <color rgb="FF1155CC"/>
      <name val="Arial"/>
    </font>
    <font>
      <u/>
      <color rgb="FF1155CC"/>
      <name val="Arial"/>
    </font>
    <font>
      <b/>
      <u/>
      <color rgb="FF1155CC"/>
      <name val="Arial"/>
    </font>
    <font>
      <u/>
      <color rgb="FF0000FF"/>
    </font>
    <font>
      <u/>
      <color rgb="FF0000FF"/>
      <name val="Arial"/>
    </font>
    <font>
      <u/>
      <color rgb="FF0000FF"/>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1155CC"/>
      <name val="Arial"/>
    </font>
    <font>
      <u/>
      <color rgb="FF0000FF"/>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font>
    <font>
      <u/>
      <color rgb="FF0000FF"/>
      <name val="Arial"/>
    </font>
    <font>
      <b/>
      <u/>
      <color rgb="FF0000FF"/>
      <name val="Arial"/>
    </font>
    <font>
      <u/>
      <color rgb="FF0000FF"/>
    </font>
    <font>
      <u/>
      <color rgb="FF0000FF"/>
      <name val="Arial"/>
    </font>
    <font>
      <u/>
      <color rgb="FF1155CC"/>
      <name val="Arial"/>
    </font>
    <font>
      <u/>
      <color rgb="FF0000FF"/>
      <name val="Arial"/>
    </font>
    <font>
      <u/>
      <color rgb="FF0000FF"/>
      <name val="Arial"/>
    </font>
    <font>
      <b/>
      <u/>
      <color rgb="FF0000FF"/>
    </font>
    <font>
      <u/>
      <color rgb="FF0000FF"/>
      <name val="Arial"/>
    </font>
    <font>
      <u/>
      <color rgb="FF0000FF"/>
      <name val="Roboto"/>
    </font>
    <font>
      <u/>
      <color rgb="FF0000FF"/>
      <name val="Arial"/>
    </font>
    <font>
      <b/>
      <u/>
      <color rgb="FF1155CC"/>
      <name val="Arial"/>
    </font>
    <font>
      <u/>
      <color rgb="FF0000FF"/>
      <name val="Arial"/>
    </font>
    <font>
      <u/>
      <color rgb="FF1155CC"/>
      <name val="Arial"/>
    </font>
    <font>
      <u/>
      <color rgb="FF1155CC"/>
      <name val="Arial"/>
    </font>
    <font>
      <u/>
      <color rgb="FF1155CC"/>
      <name val="Arial"/>
    </font>
    <font>
      <u/>
      <color rgb="FF0000FF"/>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b/>
      <u/>
      <color rgb="FF0000FF"/>
      <name val="Arial"/>
    </font>
    <font>
      <u/>
      <color rgb="FF1155CC"/>
      <name val="Arial"/>
    </font>
    <font>
      <b/>
      <u/>
      <color rgb="FF0000FF"/>
    </font>
    <font>
      <u/>
      <color rgb="FF0000FF"/>
    </font>
    <font>
      <u/>
      <color rgb="FF0000FF"/>
      <name val="Arial"/>
    </font>
    <font>
      <u/>
      <color rgb="FF0000FF"/>
      <name val="Arial"/>
    </font>
    <font>
      <u/>
      <color rgb="FF1155CC"/>
      <name val="Arial"/>
    </font>
    <font>
      <b/>
      <u/>
      <color rgb="FF1155CC"/>
      <name val="Arial"/>
    </font>
    <font>
      <b/>
      <u/>
      <color rgb="FF1155CC"/>
      <name val="Arial"/>
    </font>
    <font>
      <u/>
      <color rgb="FF0000FF"/>
      <name val="Arial"/>
    </font>
    <font>
      <u/>
      <color rgb="FF1155CC"/>
      <name val="Arial"/>
    </font>
    <font>
      <b/>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1155CC"/>
      <name val="Arial"/>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9900"/>
        <bgColor rgb="FFFF9900"/>
      </patternFill>
    </fill>
    <fill>
      <patternFill patternType="solid">
        <fgColor rgb="FFFFD966"/>
        <bgColor rgb="FFFFD966"/>
      </patternFill>
    </fill>
    <fill>
      <patternFill patternType="solid">
        <fgColor rgb="FF351C75"/>
        <bgColor rgb="FF351C75"/>
      </patternFill>
    </fill>
  </fills>
  <borders count="7">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365">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2" numFmtId="0" xfId="0" applyAlignment="1" applyFont="1">
      <alignment horizontal="left" readingOrder="0" shrinkToFit="0" vertical="center" wrapText="1"/>
    </xf>
    <xf borderId="0" fillId="2" fontId="3" numFmtId="0" xfId="0" applyAlignment="1" applyFont="1">
      <alignment readingOrder="0" shrinkToFit="0" wrapText="1"/>
    </xf>
    <xf borderId="0" fillId="2" fontId="1" numFmtId="0" xfId="0" applyAlignment="1" applyFont="1">
      <alignment horizontal="left" readingOrder="0" shrinkToFit="0" vertical="center" wrapText="1"/>
    </xf>
    <xf borderId="0" fillId="0" fontId="3" numFmtId="0" xfId="0" applyAlignment="1" applyFont="1">
      <alignment readingOrder="0" shrinkToFit="0"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left"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4" numFmtId="0" xfId="0" applyAlignment="1" applyFont="1">
      <alignment readingOrder="0" shrinkToFit="0" wrapText="1"/>
    </xf>
    <xf borderId="0" fillId="2" fontId="1" numFmtId="0" xfId="0" applyAlignment="1" applyFont="1">
      <alignment horizontal="left" readingOrder="0" shrinkToFit="0" vertical="center" wrapText="0"/>
    </xf>
    <xf borderId="0" fillId="2" fontId="5" numFmtId="0" xfId="0" applyAlignment="1" applyFont="1">
      <alignment horizontal="center" shrinkToFit="0" vertical="center" wrapText="1"/>
    </xf>
    <xf borderId="0" fillId="0" fontId="6" numFmtId="0" xfId="0" applyAlignment="1" applyFont="1">
      <alignment readingOrder="0" shrinkToFit="0" vertical="center" wrapText="0"/>
    </xf>
    <xf borderId="0" fillId="0" fontId="1" numFmtId="0" xfId="0" applyAlignment="1" applyFont="1">
      <alignment horizontal="center" shrinkToFit="0" vertical="center" wrapText="1"/>
    </xf>
    <xf borderId="0" fillId="2" fontId="1" numFmtId="0" xfId="0" applyAlignment="1" applyFont="1">
      <alignment readingOrder="0" shrinkToFit="0" vertical="bottom" wrapText="1"/>
    </xf>
    <xf borderId="0" fillId="0" fontId="1" numFmtId="0" xfId="0" applyAlignment="1" applyFont="1">
      <alignment shrinkToFit="0" vertical="bottom" wrapText="1"/>
    </xf>
    <xf borderId="0" fillId="2" fontId="7" numFmtId="0" xfId="0" applyAlignment="1" applyFont="1">
      <alignment shrinkToFit="0" vertical="bottom" wrapText="1"/>
    </xf>
    <xf borderId="0" fillId="3" fontId="1" numFmtId="0" xfId="0" applyAlignment="1" applyFill="1" applyFont="1">
      <alignment horizontal="center" shrinkToFit="0" vertical="bottom" wrapText="1"/>
    </xf>
    <xf borderId="0" fillId="2" fontId="1"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3" fontId="1" numFmtId="0" xfId="0" applyAlignment="1" applyFont="1">
      <alignment horizontal="center" shrinkToFit="0" vertical="bottom" wrapText="1"/>
    </xf>
    <xf borderId="0" fillId="0" fontId="2"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4" fontId="2" numFmtId="0" xfId="0" applyAlignment="1" applyFill="1" applyFont="1">
      <alignment horizontal="left" readingOrder="0" shrinkToFit="0" vertical="center" wrapText="1"/>
    </xf>
    <xf borderId="0" fillId="4" fontId="1" numFmtId="0" xfId="0" applyAlignment="1" applyFont="1">
      <alignment readingOrder="0" shrinkToFit="0" vertical="bottom" wrapText="1"/>
    </xf>
    <xf borderId="0" fillId="2" fontId="1" numFmtId="0" xfId="0" applyAlignment="1" applyFont="1">
      <alignment readingOrder="0" shrinkToFit="0" vertical="bottom" wrapText="1"/>
    </xf>
    <xf borderId="0" fillId="0" fontId="2" numFmtId="0" xfId="0" applyAlignment="1" applyFont="1">
      <alignment horizontal="left" shrinkToFit="0" vertical="center" wrapText="1"/>
    </xf>
    <xf borderId="0" fillId="2" fontId="1" numFmtId="0" xfId="0" applyAlignment="1" applyFont="1">
      <alignment shrinkToFit="0" vertical="bottom" wrapText="1"/>
    </xf>
    <xf borderId="0" fillId="2" fontId="9" numFmtId="0" xfId="0" applyAlignment="1" applyFont="1">
      <alignment horizontal="center" readingOrder="0" shrinkToFit="0" vertical="bottom" wrapText="1"/>
    </xf>
    <xf borderId="0" fillId="3" fontId="1" numFmtId="0" xfId="0" applyAlignment="1" applyFont="1">
      <alignment horizontal="center" shrinkToFit="0" vertical="bottom" wrapText="0"/>
    </xf>
    <xf borderId="0" fillId="2" fontId="10" numFmtId="0" xfId="0" applyAlignment="1" applyFont="1">
      <alignment readingOrder="0" shrinkToFit="0" vertical="bottom" wrapText="1"/>
    </xf>
    <xf borderId="0" fillId="3" fontId="1" numFmtId="0" xfId="0" applyAlignment="1" applyFont="1">
      <alignment horizontal="left" shrinkToFit="0" vertical="bottom" wrapText="1"/>
    </xf>
    <xf borderId="0" fillId="0" fontId="1" numFmtId="0" xfId="0" applyAlignment="1" applyFont="1">
      <alignment readingOrder="0" shrinkToFit="0" vertical="center" wrapText="0"/>
    </xf>
    <xf borderId="0" fillId="5" fontId="1" numFmtId="0" xfId="0" applyAlignment="1" applyFill="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5" fontId="11" numFmtId="0" xfId="0" applyAlignment="1" applyFont="1">
      <alignment horizontal="left" shrinkToFit="0" vertical="bottom" wrapText="1"/>
    </xf>
    <xf borderId="0" fillId="5" fontId="1" numFmtId="0" xfId="0" applyAlignment="1" applyFont="1">
      <alignment shrinkToFit="0" vertical="bottom" wrapText="1"/>
    </xf>
    <xf borderId="0" fillId="0" fontId="1" numFmtId="0" xfId="0" applyAlignment="1" applyFont="1">
      <alignment horizontal="center" shrinkToFit="0" vertical="center" wrapText="1"/>
    </xf>
    <xf borderId="0" fillId="0" fontId="12" numFmtId="0" xfId="0" applyAlignment="1" applyFont="1">
      <alignment readingOrder="0" shrinkToFit="0" vertical="center" wrapText="1"/>
    </xf>
    <xf borderId="0" fillId="2" fontId="13" numFmtId="0" xfId="0" applyAlignment="1" applyFont="1">
      <alignment readingOrder="0" shrinkToFit="0" vertical="bottom"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6" fontId="1" numFmtId="0" xfId="0" applyAlignment="1" applyFill="1" applyFont="1">
      <alignment horizontal="center" shrinkToFit="0" vertical="center" wrapText="1"/>
    </xf>
    <xf borderId="0" fillId="0" fontId="2" numFmtId="0" xfId="0" applyAlignment="1" applyFont="1">
      <alignment shrinkToFit="0" vertical="center" wrapText="1"/>
    </xf>
    <xf borderId="0" fillId="7" fontId="1" numFmtId="0" xfId="0" applyAlignment="1" applyFill="1" applyFont="1">
      <alignment horizontal="center" shrinkToFit="0" vertical="center" wrapText="1"/>
    </xf>
    <xf borderId="0" fillId="2" fontId="2"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bottom" wrapText="1"/>
    </xf>
    <xf borderId="0" fillId="0" fontId="3" numFmtId="0" xfId="0" applyAlignment="1" applyFont="1">
      <alignment shrinkToFit="0"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14" numFmtId="0" xfId="0" applyAlignment="1" applyFont="1">
      <alignment horizontal="left" shrinkToFit="0" vertical="center" wrapText="0"/>
    </xf>
    <xf borderId="0" fillId="5" fontId="15" numFmtId="0" xfId="0" applyAlignment="1" applyFont="1">
      <alignment shrinkToFit="0" vertical="bottom" wrapText="1"/>
    </xf>
    <xf borderId="0" fillId="8" fontId="1" numFmtId="0" xfId="0" applyAlignment="1" applyFill="1" applyFont="1">
      <alignment horizontal="center" shrinkToFit="0" vertical="bottom" wrapText="1"/>
    </xf>
    <xf borderId="0" fillId="0" fontId="16" numFmtId="0" xfId="0" applyAlignment="1" applyFont="1">
      <alignment horizontal="left" shrinkToFit="0" vertical="center" wrapText="0"/>
    </xf>
    <xf borderId="0" fillId="5" fontId="1" numFmtId="0" xfId="0" applyAlignment="1" applyFont="1">
      <alignment horizontal="center" shrinkToFit="0" vertical="bottom" wrapText="1"/>
    </xf>
    <xf borderId="0" fillId="0" fontId="3" numFmtId="0" xfId="0" applyAlignment="1" applyFont="1">
      <alignment readingOrder="0" shrinkToFit="0" vertical="center" wrapText="0"/>
    </xf>
    <xf borderId="0" fillId="8" fontId="1" numFmtId="0" xfId="0" applyAlignment="1" applyFont="1">
      <alignment horizontal="center" readingOrder="0" shrinkToFit="0" vertical="bottom" wrapText="1"/>
    </xf>
    <xf borderId="0" fillId="0" fontId="17" numFmtId="0" xfId="0" applyAlignment="1" applyFont="1">
      <alignment horizontal="left" shrinkToFit="0" vertical="center" wrapText="1"/>
    </xf>
    <xf borderId="0" fillId="2" fontId="2" numFmtId="0" xfId="0" applyAlignment="1" applyFont="1">
      <alignment readingOrder="0" shrinkToFit="0" vertical="center" wrapText="1"/>
    </xf>
    <xf borderId="0" fillId="0" fontId="18" numFmtId="0" xfId="0" applyAlignment="1" applyFont="1">
      <alignment readingOrder="0" shrinkToFit="0" vertical="center" wrapText="0"/>
    </xf>
    <xf borderId="0" fillId="0" fontId="1" numFmtId="0" xfId="0" applyAlignment="1" applyFont="1">
      <alignment readingOrder="0" shrinkToFit="0" vertical="bottom" wrapText="1"/>
    </xf>
    <xf borderId="0" fillId="0" fontId="19" numFmtId="0" xfId="0" applyAlignment="1" applyFont="1">
      <alignment readingOrder="0" shrinkToFit="0" wrapText="0"/>
    </xf>
    <xf borderId="0" fillId="0" fontId="20" numFmtId="0" xfId="0" applyAlignment="1" applyFont="1">
      <alignment shrinkToFit="0" vertical="bottom" wrapText="1"/>
    </xf>
    <xf borderId="0" fillId="0" fontId="3" numFmtId="0" xfId="0" applyAlignment="1" applyFont="1">
      <alignment horizontal="left" shrinkToFit="0" vertical="center" wrapText="1"/>
    </xf>
    <xf borderId="0" fillId="0" fontId="6" numFmtId="0" xfId="0" applyAlignment="1" applyFont="1">
      <alignment readingOrder="0" shrinkToFit="0" vertical="center" wrapText="1"/>
    </xf>
    <xf borderId="0" fillId="2" fontId="1" numFmtId="164" xfId="0" applyAlignment="1" applyFont="1" applyNumberFormat="1">
      <alignment horizontal="center" shrinkToFit="0" vertical="center" wrapText="0"/>
    </xf>
    <xf borderId="0" fillId="0" fontId="21" numFmtId="0" xfId="0" applyAlignment="1" applyFont="1">
      <alignment horizontal="left" shrinkToFit="0" vertical="top" wrapText="1"/>
    </xf>
    <xf borderId="0" fillId="0" fontId="22" numFmtId="0" xfId="0" applyAlignment="1" applyFont="1">
      <alignment horizontal="left" readingOrder="0" shrinkToFit="0" vertical="center" wrapText="1"/>
    </xf>
    <xf borderId="0" fillId="2" fontId="1" numFmtId="164" xfId="0" applyAlignment="1" applyFont="1" applyNumberFormat="1">
      <alignment horizontal="center" readingOrder="0" shrinkToFit="0" vertical="center" wrapText="0"/>
    </xf>
    <xf borderId="0" fillId="9" fontId="23" numFmtId="0" xfId="0" applyAlignment="1" applyFill="1" applyFont="1">
      <alignment shrinkToFit="0" vertical="bottom" wrapText="1"/>
    </xf>
    <xf borderId="0" fillId="0" fontId="6" numFmtId="0" xfId="0" applyAlignment="1" applyFont="1">
      <alignment readingOrder="0" shrinkToFit="0" vertical="bottom" wrapText="0"/>
    </xf>
    <xf borderId="0" fillId="0" fontId="24" numFmtId="0" xfId="0" applyAlignment="1" applyFont="1">
      <alignment horizontal="left" readingOrder="0" shrinkToFit="0" vertical="center" wrapText="0"/>
    </xf>
    <xf borderId="0" fillId="10" fontId="25" numFmtId="0" xfId="0" applyAlignment="1" applyFill="1" applyFont="1">
      <alignment shrinkToFit="0" vertical="bottom" wrapText="1"/>
    </xf>
    <xf borderId="0" fillId="0" fontId="1" numFmtId="0" xfId="0" applyAlignment="1" applyFont="1">
      <alignment shrinkToFit="0" vertical="bottom" wrapText="0"/>
    </xf>
    <xf borderId="0" fillId="11" fontId="26" numFmtId="0" xfId="0" applyAlignment="1" applyFill="1" applyFont="1">
      <alignment shrinkToFit="0" vertical="bottom" wrapText="0"/>
    </xf>
    <xf borderId="0" fillId="0" fontId="27" numFmtId="0" xfId="0" applyAlignment="1" applyFont="1">
      <alignment readingOrder="0" shrinkToFit="0" vertical="center" wrapText="0"/>
    </xf>
    <xf borderId="0" fillId="0" fontId="1" numFmtId="0" xfId="0" applyAlignment="1" applyFont="1">
      <alignment shrinkToFit="0" vertical="bottom" wrapText="1"/>
    </xf>
    <xf borderId="0" fillId="0" fontId="1" numFmtId="0" xfId="0" applyAlignment="1" applyFont="1">
      <alignment shrinkToFit="0" wrapText="0"/>
    </xf>
    <xf borderId="0" fillId="0" fontId="28" numFmtId="0" xfId="0" applyAlignment="1" applyFont="1">
      <alignment shrinkToFit="0" wrapText="1"/>
    </xf>
    <xf borderId="0" fillId="0" fontId="29" numFmtId="0" xfId="0" applyAlignment="1" applyFont="1">
      <alignment readingOrder="0" shrinkToFit="0" vertical="bottom" wrapText="1"/>
    </xf>
    <xf borderId="0" fillId="0" fontId="30" numFmtId="0" xfId="0" applyAlignment="1" applyFont="1">
      <alignment shrinkToFit="0" wrapText="0"/>
    </xf>
    <xf borderId="0" fillId="0" fontId="31" numFmtId="0" xfId="0" applyAlignment="1" applyFont="1">
      <alignment readingOrder="0" shrinkToFit="0" vertical="bottom" wrapText="0"/>
    </xf>
    <xf borderId="0" fillId="0" fontId="1" numFmtId="0" xfId="0" applyAlignment="1" applyFont="1">
      <alignment horizontal="left" shrinkToFit="0" vertical="bottom" wrapText="0"/>
    </xf>
    <xf borderId="0" fillId="0" fontId="1" numFmtId="0" xfId="0" applyAlignment="1" applyFont="1">
      <alignment readingOrder="0" shrinkToFit="0" vertical="bottom" wrapText="0"/>
    </xf>
    <xf borderId="0" fillId="0" fontId="32" numFmtId="0" xfId="0" applyAlignment="1" applyFont="1">
      <alignment horizontal="left" shrinkToFit="0" vertical="bottom" wrapText="1"/>
    </xf>
    <xf borderId="0" fillId="2" fontId="2" numFmtId="0" xfId="0" applyAlignment="1" applyFont="1">
      <alignment horizontal="left" shrinkToFit="0" vertical="center" wrapText="1"/>
    </xf>
    <xf borderId="0" fillId="0" fontId="1" numFmtId="0" xfId="0" applyAlignment="1" applyFont="1">
      <alignment horizontal="left" shrinkToFit="0" wrapText="0"/>
    </xf>
    <xf borderId="0" fillId="2" fontId="33" numFmtId="0" xfId="0" applyAlignment="1" applyFont="1">
      <alignment shrinkToFit="0" vertical="bottom" wrapText="1"/>
    </xf>
    <xf borderId="0" fillId="0" fontId="3" numFmtId="0" xfId="0" applyAlignment="1" applyFont="1">
      <alignment readingOrder="0" shrinkToFit="0" wrapText="0"/>
    </xf>
    <xf borderId="0" fillId="0" fontId="34" numFmtId="0" xfId="0" applyAlignment="1" applyFont="1">
      <alignment shrinkToFit="0" vertical="bottom" wrapText="1"/>
    </xf>
    <xf borderId="0" fillId="0" fontId="3" numFmtId="0" xfId="0" applyAlignment="1" applyFont="1">
      <alignment shrinkToFit="0" wrapText="0"/>
    </xf>
    <xf borderId="0" fillId="0" fontId="1" numFmtId="0" xfId="0" applyAlignment="1" applyFont="1">
      <alignment horizontal="center" shrinkToFit="0" vertical="bottom" wrapText="1"/>
    </xf>
    <xf borderId="0" fillId="2" fontId="35" numFmtId="0" xfId="0" applyAlignment="1" applyFont="1">
      <alignment shrinkToFit="0" vertical="bottom" wrapText="1"/>
    </xf>
    <xf borderId="0" fillId="0" fontId="1" numFmtId="0" xfId="0" applyAlignment="1" applyFont="1">
      <alignment horizontal="center" shrinkToFit="0" vertical="bottom" wrapText="1"/>
    </xf>
    <xf borderId="0" fillId="0" fontId="1" numFmtId="0" xfId="0" applyAlignment="1" applyFont="1">
      <alignment readingOrder="0" shrinkToFit="0" vertical="bottom" wrapText="1"/>
    </xf>
    <xf borderId="0" fillId="0" fontId="36" numFmtId="0" xfId="0" applyAlignment="1" applyFont="1">
      <alignment horizontal="left" shrinkToFit="0" wrapText="1"/>
    </xf>
    <xf borderId="0" fillId="0" fontId="1" numFmtId="0" xfId="0" applyAlignment="1" applyFont="1">
      <alignment readingOrder="0" shrinkToFit="0" vertical="bottom" wrapText="1"/>
    </xf>
    <xf borderId="0" fillId="0" fontId="37" numFmtId="0" xfId="0" applyAlignment="1" applyFont="1">
      <alignment shrinkToFit="0" vertical="bottom" wrapText="0"/>
    </xf>
    <xf borderId="0" fillId="0" fontId="38" numFmtId="0" xfId="0" applyAlignment="1" applyFont="1">
      <alignment shrinkToFit="0" wrapText="0"/>
    </xf>
    <xf borderId="0" fillId="8" fontId="2" numFmtId="0" xfId="0" applyAlignment="1" applyFont="1">
      <alignment horizontal="center" readingOrder="0" shrinkToFit="0" vertical="center" wrapText="1"/>
    </xf>
    <xf borderId="0" fillId="0" fontId="1" numFmtId="0" xfId="0" applyAlignment="1" applyFont="1">
      <alignment horizontal="left" readingOrder="0" shrinkToFit="0" wrapText="1"/>
    </xf>
    <xf borderId="0" fillId="0" fontId="1" numFmtId="0" xfId="0" applyAlignment="1" applyFont="1">
      <alignment shrinkToFit="0" vertical="bottom" wrapText="0"/>
    </xf>
    <xf borderId="0" fillId="0" fontId="1" numFmtId="0" xfId="0" applyAlignment="1" applyFont="1">
      <alignment horizontal="left" readingOrder="0" shrinkToFit="0" vertical="bottom" wrapText="0"/>
    </xf>
    <xf borderId="0" fillId="0" fontId="39" numFmtId="0" xfId="0" applyAlignment="1" applyFont="1">
      <alignment shrinkToFit="0" vertical="bottom" wrapText="1"/>
    </xf>
    <xf borderId="0" fillId="0" fontId="40" numFmtId="0" xfId="0" applyAlignment="1" applyFont="1">
      <alignment shrinkToFit="0" vertical="bottom" wrapText="0"/>
    </xf>
    <xf borderId="0" fillId="0" fontId="41" numFmtId="0" xfId="0" applyAlignment="1" applyFont="1">
      <alignment shrinkToFit="0" vertical="bottom" wrapText="0"/>
    </xf>
    <xf borderId="0" fillId="0" fontId="42" numFmtId="0" xfId="0" applyAlignment="1" applyFont="1">
      <alignment shrinkToFit="0" vertical="bottom" wrapText="0"/>
    </xf>
    <xf borderId="0" fillId="0" fontId="1" numFmtId="0" xfId="0" applyAlignment="1" applyFont="1">
      <alignment shrinkToFit="0" wrapText="1"/>
    </xf>
    <xf borderId="0" fillId="0" fontId="1" numFmtId="0" xfId="0" applyAlignment="1" applyFont="1">
      <alignment shrinkToFit="0" wrapText="1"/>
    </xf>
    <xf borderId="0" fillId="0" fontId="3" numFmtId="0" xfId="0" applyAlignment="1" applyFont="1">
      <alignment horizontal="left" readingOrder="0" shrinkToFit="0" vertical="center" wrapText="0"/>
    </xf>
    <xf borderId="0" fillId="0" fontId="43" numFmtId="0" xfId="0" applyAlignment="1" applyFont="1">
      <alignment shrinkToFit="0" vertical="bottom" wrapText="0"/>
    </xf>
    <xf borderId="0" fillId="0" fontId="44" numFmtId="0" xfId="0" applyAlignment="1" applyFont="1">
      <alignment horizontal="left" shrinkToFit="0" vertical="top" wrapText="0"/>
    </xf>
    <xf borderId="0" fillId="0" fontId="45" numFmtId="0" xfId="0" applyAlignment="1" applyFont="1">
      <alignment horizontal="left" shrinkToFit="0" vertical="top" wrapText="0"/>
    </xf>
    <xf borderId="0" fillId="9" fontId="1" numFmtId="0" xfId="0" applyAlignment="1" applyFont="1">
      <alignment shrinkToFit="0" vertical="bottom" wrapText="0"/>
    </xf>
    <xf borderId="0" fillId="9" fontId="46" numFmtId="0" xfId="0" applyAlignment="1" applyFont="1">
      <alignment shrinkToFit="0" vertical="bottom" wrapText="0"/>
    </xf>
    <xf borderId="0" fillId="0" fontId="47" numFmtId="0" xfId="0" applyAlignment="1" applyFont="1">
      <alignment horizontal="left" shrinkToFit="0" vertical="bottom" wrapText="0"/>
    </xf>
    <xf borderId="0" fillId="0" fontId="1" numFmtId="0" xfId="0" applyAlignment="1" applyFont="1">
      <alignment shrinkToFit="0" vertical="bottom"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48" numFmtId="0" xfId="0" applyAlignment="1" applyFont="1">
      <alignment horizontal="left" readingOrder="0" shrinkToFit="0" vertical="bottom" wrapText="0"/>
    </xf>
    <xf borderId="0" fillId="10" fontId="1" numFmtId="0" xfId="0" applyAlignment="1" applyFont="1">
      <alignment shrinkToFit="0" vertical="bottom" wrapText="0"/>
    </xf>
    <xf borderId="0" fillId="10" fontId="49" numFmtId="0" xfId="0" applyAlignment="1" applyFont="1">
      <alignment shrinkToFit="0" vertical="bottom" wrapText="0"/>
    </xf>
    <xf borderId="0" fillId="0" fontId="50" numFmtId="0" xfId="0" applyAlignment="1" applyFont="1">
      <alignment shrinkToFit="0" wrapText="0"/>
    </xf>
    <xf borderId="0" fillId="0" fontId="1" numFmtId="0" xfId="0" applyAlignment="1" applyFont="1">
      <alignment horizontal="center" shrinkToFit="0" vertical="bottom" wrapText="1"/>
    </xf>
    <xf borderId="0" fillId="0" fontId="1" numFmtId="0" xfId="0" applyAlignment="1" applyFont="1">
      <alignment horizontal="left" shrinkToFit="0" wrapText="0"/>
    </xf>
    <xf borderId="0" fillId="10" fontId="1" numFmtId="0" xfId="0" applyAlignment="1" applyFont="1">
      <alignment shrinkToFit="0" vertical="bottom" wrapText="0"/>
    </xf>
    <xf borderId="0" fillId="0" fontId="51" numFmtId="0" xfId="0" applyAlignment="1" applyFont="1">
      <alignment horizontal="left" shrinkToFit="0" wrapText="1"/>
    </xf>
    <xf borderId="0" fillId="0" fontId="52" numFmtId="0" xfId="0" applyAlignment="1" applyFont="1">
      <alignment horizontal="left" readingOrder="0" shrinkToFit="0" vertical="top" wrapText="0"/>
    </xf>
    <xf borderId="0" fillId="10" fontId="53" numFmtId="0" xfId="0" applyAlignment="1" applyFont="1">
      <alignment shrinkToFit="0" vertical="bottom" wrapText="0"/>
    </xf>
    <xf borderId="0" fillId="0" fontId="1" numFmtId="0" xfId="0" applyAlignment="1" applyFont="1">
      <alignment horizontal="left" readingOrder="0" shrinkToFit="0" wrapText="0"/>
    </xf>
    <xf borderId="0" fillId="0" fontId="54" numFmtId="0" xfId="0" applyAlignment="1" applyFont="1">
      <alignment horizontal="left" shrinkToFit="0" wrapText="1"/>
    </xf>
    <xf borderId="0" fillId="0" fontId="55" numFmtId="0" xfId="0" applyAlignment="1" applyFont="1">
      <alignment horizontal="left" shrinkToFit="0" vertical="top" wrapText="0"/>
    </xf>
    <xf borderId="0" fillId="10" fontId="1" numFmtId="0" xfId="0" applyAlignment="1" applyFont="1">
      <alignment readingOrder="0" shrinkToFit="0" vertical="bottom" wrapText="0"/>
    </xf>
    <xf borderId="0" fillId="11" fontId="1" numFmtId="0" xfId="0" applyAlignment="1" applyFont="1">
      <alignment shrinkToFit="0" vertical="bottom" wrapText="0"/>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56" numFmtId="0" xfId="0" applyAlignment="1" applyFont="1">
      <alignment readingOrder="0" shrinkToFit="0" wrapText="0"/>
    </xf>
    <xf borderId="0" fillId="0" fontId="57" numFmtId="0" xfId="0" applyAlignment="1" applyFont="1">
      <alignment horizontal="left" shrinkToFit="0" vertical="bottom" wrapText="1"/>
    </xf>
    <xf borderId="0" fillId="0" fontId="58" numFmtId="0" xfId="0" applyAlignment="1" applyFont="1">
      <alignment shrinkToFit="0" wrapText="0"/>
    </xf>
    <xf borderId="0" fillId="0" fontId="1" numFmtId="0" xfId="0" applyAlignment="1" applyFont="1">
      <alignment readingOrder="0" shrinkToFit="0" vertical="bottom" wrapText="1"/>
    </xf>
    <xf borderId="0" fillId="0" fontId="59" numFmtId="0" xfId="0" applyAlignment="1" applyFont="1">
      <alignment shrinkToFit="0" vertical="bottom" wrapText="1"/>
    </xf>
    <xf borderId="0" fillId="9" fontId="1" numFmtId="0" xfId="0" applyAlignment="1" applyFont="1">
      <alignment shrinkToFit="0" wrapText="0"/>
    </xf>
    <xf borderId="0" fillId="9" fontId="60" numFmtId="0" xfId="0" applyAlignment="1" applyFont="1">
      <alignment shrinkToFit="0" wrapText="1"/>
    </xf>
    <xf borderId="0" fillId="0" fontId="61" numFmtId="0" xfId="0" applyAlignment="1" applyFont="1">
      <alignment shrinkToFit="0" wrapText="0"/>
    </xf>
    <xf borderId="0" fillId="9" fontId="1" numFmtId="0" xfId="0" applyAlignment="1" applyFont="1">
      <alignment shrinkToFit="0" vertical="center" wrapText="0"/>
    </xf>
    <xf borderId="0" fillId="11" fontId="62" numFmtId="0" xfId="0" applyAlignment="1" applyFont="1">
      <alignment shrinkToFit="0" vertical="bottom" wrapText="0"/>
    </xf>
    <xf borderId="0" fillId="9" fontId="63" numFmtId="0" xfId="0" applyAlignment="1" applyFont="1">
      <alignment horizontal="left" shrinkToFit="0" vertical="center" wrapText="0"/>
    </xf>
    <xf borderId="0" fillId="9" fontId="64" numFmtId="0" xfId="0" applyAlignment="1" applyFont="1">
      <alignment readingOrder="0" shrinkToFit="0" wrapText="1"/>
    </xf>
    <xf borderId="0" fillId="9" fontId="65" numFmtId="0" xfId="0" applyAlignment="1" applyFont="1">
      <alignment shrinkToFit="0" vertical="bottom" wrapText="0"/>
    </xf>
    <xf borderId="0" fillId="0" fontId="66" numFmtId="0" xfId="0" applyAlignment="1" applyFont="1">
      <alignment horizontal="left" shrinkToFit="0" vertical="top" wrapText="0"/>
    </xf>
    <xf borderId="0" fillId="0" fontId="67" numFmtId="0" xfId="0" applyAlignment="1" applyFont="1">
      <alignment readingOrder="0" shrinkToFit="0" wrapText="0"/>
    </xf>
    <xf borderId="0" fillId="10" fontId="68" numFmtId="0" xfId="0" applyAlignment="1" applyFont="1">
      <alignment shrinkToFit="0" vertical="bottom" wrapText="0"/>
    </xf>
    <xf borderId="0" fillId="10" fontId="69" numFmtId="0" xfId="0" applyAlignment="1" applyFont="1">
      <alignment readingOrder="0" shrinkToFit="0" vertical="bottom" wrapText="0"/>
    </xf>
    <xf borderId="0" fillId="0" fontId="70" numFmtId="0" xfId="0" applyAlignment="1" applyFont="1">
      <alignment shrinkToFit="0" vertical="bottom" wrapText="0"/>
    </xf>
    <xf borderId="0" fillId="0" fontId="1" numFmtId="0" xfId="0" applyAlignment="1" applyFont="1">
      <alignment shrinkToFit="0" vertical="bottom" wrapText="0"/>
    </xf>
    <xf borderId="0" fillId="9" fontId="71" numFmtId="0" xfId="0" applyAlignment="1" applyFont="1">
      <alignment shrinkToFit="0" vertical="bottom" wrapText="0"/>
    </xf>
    <xf borderId="0" fillId="0" fontId="72" numFmtId="0" xfId="0" applyAlignment="1" applyFont="1">
      <alignment horizontal="left" shrinkToFit="0" vertical="bottom" wrapText="0"/>
    </xf>
    <xf borderId="0" fillId="0" fontId="73" numFmtId="0" xfId="0" applyAlignment="1" applyFont="1">
      <alignment shrinkToFit="0" wrapText="0"/>
    </xf>
    <xf borderId="0" fillId="10" fontId="1" numFmtId="0" xfId="0" applyAlignment="1" applyFont="1">
      <alignment readingOrder="0" shrinkToFit="0" vertical="bottom" wrapText="0"/>
    </xf>
    <xf borderId="0" fillId="0" fontId="1" numFmtId="0" xfId="0" applyAlignment="1" applyFont="1">
      <alignment readingOrder="0" shrinkToFit="0" wrapText="0"/>
    </xf>
    <xf borderId="0" fillId="10" fontId="74" numFmtId="0" xfId="0" applyAlignment="1" applyFont="1">
      <alignment readingOrder="0" shrinkToFit="0" vertical="bottom" wrapText="0"/>
    </xf>
    <xf borderId="0" fillId="0" fontId="75" numFmtId="0" xfId="0" applyAlignment="1" applyFont="1">
      <alignment shrinkToFit="0" wrapText="1"/>
    </xf>
    <xf borderId="0" fillId="10" fontId="76" numFmtId="0" xfId="0" applyAlignment="1" applyFont="1">
      <alignment readingOrder="0" shrinkToFit="0" vertical="bottom" wrapText="0"/>
    </xf>
    <xf borderId="0" fillId="0" fontId="77" numFmtId="0" xfId="0" applyAlignment="1" applyFont="1">
      <alignment shrinkToFit="0" vertical="bottom" wrapText="0"/>
    </xf>
    <xf borderId="0" fillId="0" fontId="78" numFmtId="0" xfId="0" applyAlignment="1" applyFont="1">
      <alignment shrinkToFit="0" vertical="bottom" wrapText="0"/>
    </xf>
    <xf borderId="0" fillId="9" fontId="1" numFmtId="0" xfId="0" applyAlignment="1" applyFont="1">
      <alignment shrinkToFit="0" vertical="bottom" wrapText="0"/>
    </xf>
    <xf borderId="0" fillId="9" fontId="1" numFmtId="0" xfId="0" applyAlignment="1" applyFont="1">
      <alignment readingOrder="0" shrinkToFit="0" vertical="bottom" wrapText="0"/>
    </xf>
    <xf borderId="0" fillId="9" fontId="79" numFmtId="0" xfId="0" applyAlignment="1" applyFont="1">
      <alignment readingOrder="0" shrinkToFit="0" vertical="bottom" wrapText="0"/>
    </xf>
    <xf borderId="0" fillId="9" fontId="80" numFmtId="0" xfId="0" applyAlignment="1" applyFont="1">
      <alignment readingOrder="0" shrinkToFit="0" vertical="bottom" wrapText="1"/>
    </xf>
    <xf borderId="0" fillId="0" fontId="1" numFmtId="0" xfId="0" applyAlignment="1" applyFont="1">
      <alignment shrinkToFit="0" wrapText="0"/>
    </xf>
    <xf borderId="0" fillId="0" fontId="12" numFmtId="0" xfId="0" applyAlignment="1" applyFont="1">
      <alignment readingOrder="0" shrinkToFit="0" wrapText="1"/>
    </xf>
    <xf borderId="0" fillId="0" fontId="1" numFmtId="0" xfId="0" applyAlignment="1" applyFont="1">
      <alignment shrinkToFit="0" vertical="center" wrapText="0"/>
    </xf>
    <xf borderId="0" fillId="0" fontId="81"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shrinkToFit="0" vertical="center" wrapText="1"/>
    </xf>
    <xf borderId="0" fillId="10" fontId="82" numFmtId="0" xfId="0" applyAlignment="1" applyFont="1">
      <alignment readingOrder="0" shrinkToFit="0" vertical="bottom" wrapText="0"/>
    </xf>
    <xf borderId="0" fillId="9" fontId="83" numFmtId="0" xfId="0" applyAlignment="1" applyFont="1">
      <alignment shrinkToFit="0" vertical="center" wrapText="0"/>
    </xf>
    <xf borderId="0" fillId="0" fontId="3" numFmtId="0" xfId="0" applyAlignment="1" applyFont="1">
      <alignment horizontal="center" shrinkToFit="0" vertical="center" wrapText="1"/>
    </xf>
    <xf borderId="1" fillId="9" fontId="1" numFmtId="0" xfId="0" applyAlignment="1" applyBorder="1" applyFont="1">
      <alignment shrinkToFit="0" vertical="bottom" wrapText="0"/>
    </xf>
    <xf borderId="2" fillId="9" fontId="84" numFmtId="0" xfId="0" applyAlignment="1" applyBorder="1" applyFont="1">
      <alignment shrinkToFit="0" vertical="bottom" wrapText="0"/>
    </xf>
    <xf borderId="0" fillId="0" fontId="85" numFmtId="0" xfId="0" applyAlignment="1" applyFont="1">
      <alignment readingOrder="0" shrinkToFit="0" vertical="center" wrapText="0"/>
    </xf>
    <xf borderId="0" fillId="0" fontId="86" numFmtId="0" xfId="0" applyAlignment="1" applyFont="1">
      <alignment horizontal="left" shrinkToFit="0" vertical="top" wrapText="0"/>
    </xf>
    <xf borderId="3" fillId="9" fontId="87" numFmtId="0" xfId="0" applyAlignment="1" applyBorder="1" applyFont="1">
      <alignment shrinkToFit="0" vertical="bottom" wrapText="0"/>
    </xf>
    <xf borderId="4" fillId="9" fontId="1" numFmtId="0" xfId="0" applyAlignment="1" applyBorder="1" applyFont="1">
      <alignment shrinkToFit="0" vertical="bottom" wrapText="0"/>
    </xf>
    <xf borderId="0" fillId="0" fontId="88" numFmtId="0" xfId="0" applyAlignment="1" applyFont="1">
      <alignment horizontal="left" shrinkToFit="0" vertical="bottom" wrapText="0"/>
    </xf>
    <xf borderId="0" fillId="0" fontId="1" numFmtId="0" xfId="0" applyAlignment="1" applyFont="1">
      <alignment readingOrder="0" shrinkToFit="0" vertical="bottom" wrapText="0"/>
    </xf>
    <xf borderId="0" fillId="10" fontId="89" numFmtId="0" xfId="0" applyAlignment="1" applyFont="1">
      <alignment shrinkToFit="0" vertical="bottom" wrapText="0"/>
    </xf>
    <xf borderId="0" fillId="0" fontId="90" numFmtId="0" xfId="0" applyAlignment="1" applyFont="1">
      <alignment horizontal="left" shrinkToFit="0" wrapText="1"/>
    </xf>
    <xf borderId="0" fillId="12" fontId="91" numFmtId="0" xfId="0" applyAlignment="1" applyFill="1" applyFont="1">
      <alignment readingOrder="0" shrinkToFit="0" vertical="bottom" wrapText="0"/>
    </xf>
    <xf borderId="0" fillId="0" fontId="92" numFmtId="0" xfId="0" applyAlignment="1" applyFont="1">
      <alignment shrinkToFit="0" wrapText="0"/>
    </xf>
    <xf borderId="0" fillId="0" fontId="1" numFmtId="0" xfId="0" applyAlignment="1" applyFont="1">
      <alignment horizontal="left" readingOrder="0" shrinkToFit="0" wrapText="0"/>
    </xf>
    <xf borderId="0" fillId="0" fontId="93" numFmtId="0" xfId="0" applyAlignment="1" applyFont="1">
      <alignment shrinkToFit="0" vertical="center" wrapText="1"/>
    </xf>
    <xf borderId="0" fillId="9" fontId="1" numFmtId="0" xfId="0" applyAlignment="1" applyFont="1">
      <alignment shrinkToFit="0" wrapText="0"/>
    </xf>
    <xf borderId="0" fillId="9" fontId="94" numFmtId="0" xfId="0" applyAlignment="1" applyFont="1">
      <alignment shrinkToFit="0" vertical="center" wrapText="1"/>
    </xf>
    <xf borderId="0" fillId="0" fontId="95" numFmtId="0" xfId="0" applyAlignment="1" applyFont="1">
      <alignment readingOrder="0" shrinkToFit="0" vertical="bottom" wrapText="0"/>
    </xf>
    <xf borderId="0" fillId="13" fontId="1" numFmtId="0" xfId="0" applyAlignment="1" applyFill="1" applyFont="1">
      <alignment horizontal="left" shrinkToFit="0" vertical="center" wrapText="1"/>
    </xf>
    <xf borderId="0" fillId="14" fontId="1" numFmtId="0" xfId="0" applyAlignment="1" applyFill="1" applyFont="1">
      <alignment shrinkToFit="0" vertical="center" wrapText="0"/>
    </xf>
    <xf borderId="0" fillId="14" fontId="1" numFmtId="0" xfId="0" applyAlignment="1" applyFont="1">
      <alignment shrinkToFit="0" vertical="center" wrapText="1"/>
    </xf>
    <xf borderId="0" fillId="14" fontId="1" numFmtId="0" xfId="0" applyAlignment="1" applyFont="1">
      <alignment horizontal="center" shrinkToFit="0" vertical="center" wrapText="1"/>
    </xf>
    <xf borderId="0" fillId="14" fontId="1" numFmtId="0" xfId="0" applyAlignment="1" applyFont="1">
      <alignment horizontal="center" shrinkToFit="0" vertical="center" wrapText="1"/>
    </xf>
    <xf borderId="0" fillId="14" fontId="1" numFmtId="0" xfId="0" applyAlignment="1" applyFont="1">
      <alignment horizontal="center" shrinkToFit="0" vertical="center" wrapText="1"/>
    </xf>
    <xf borderId="0" fillId="0" fontId="1" numFmtId="0" xfId="0" applyAlignment="1" applyFont="1">
      <alignment horizontal="left" shrinkToFit="0" vertical="bottom" wrapText="0"/>
    </xf>
    <xf borderId="0" fillId="2" fontId="1" numFmtId="0" xfId="0" applyAlignment="1" applyFont="1">
      <alignment horizontal="center" shrinkToFit="0" vertical="center" wrapText="1"/>
    </xf>
    <xf borderId="0" fillId="0" fontId="1" numFmtId="0" xfId="0" applyAlignment="1" applyFont="1">
      <alignment horizontal="right" shrinkToFit="0" vertical="bottom" wrapText="1"/>
    </xf>
    <xf borderId="0" fillId="0" fontId="96" numFmtId="0" xfId="0" applyAlignment="1" applyFont="1">
      <alignment shrinkToFit="0" vertical="center" wrapText="1"/>
    </xf>
    <xf borderId="0" fillId="0" fontId="97" numFmtId="0" xfId="0" applyAlignment="1" applyFont="1">
      <alignment shrinkToFit="0" vertical="bottom" wrapText="0"/>
    </xf>
    <xf borderId="0" fillId="0" fontId="98" numFmtId="0" xfId="0" applyAlignment="1" applyFont="1">
      <alignment horizontal="left" shrinkToFit="0" vertical="bottom" wrapText="0"/>
    </xf>
    <xf borderId="0" fillId="10" fontId="99" numFmtId="0" xfId="0" applyAlignment="1" applyFont="1">
      <alignment shrinkToFit="0" vertical="bottom" wrapText="0"/>
    </xf>
    <xf borderId="0" fillId="9" fontId="100" numFmtId="0" xfId="0" applyAlignment="1" applyFont="1">
      <alignment readingOrder="0" shrinkToFit="0" vertical="bottom" wrapText="0"/>
    </xf>
    <xf borderId="0" fillId="13" fontId="1" numFmtId="0" xfId="0" applyAlignment="1" applyFont="1">
      <alignment horizontal="left" shrinkToFit="0" vertical="bottom" wrapText="1"/>
    </xf>
    <xf borderId="0" fillId="14" fontId="1" numFmtId="0" xfId="0" applyAlignment="1" applyFont="1">
      <alignment shrinkToFit="0" vertical="bottom" wrapText="0"/>
    </xf>
    <xf borderId="0" fillId="14" fontId="1" numFmtId="0" xfId="0" applyAlignment="1" applyFont="1">
      <alignment horizontal="center" shrinkToFit="0" vertical="bottom" wrapText="1"/>
    </xf>
    <xf borderId="0" fillId="14" fontId="1" numFmtId="0" xfId="0" applyAlignment="1" applyFont="1">
      <alignment horizontal="center" shrinkToFit="0" vertical="bottom" wrapText="1"/>
    </xf>
    <xf borderId="0" fillId="0" fontId="101" numFmtId="0" xfId="0" applyAlignment="1" applyFont="1">
      <alignment readingOrder="0" shrinkToFit="0" wrapText="0"/>
    </xf>
    <xf borderId="0" fillId="2" fontId="1" numFmtId="0" xfId="0" applyAlignment="1" applyFont="1">
      <alignment horizontal="center" shrinkToFit="0" vertical="bottom" wrapText="1"/>
    </xf>
    <xf borderId="0" fillId="0" fontId="102"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5" fontId="103" numFmtId="0" xfId="0" applyAlignment="1" applyFont="1">
      <alignment readingOrder="0" shrinkToFit="0" wrapText="1"/>
    </xf>
    <xf borderId="0" fillId="9" fontId="104"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center" wrapText="0"/>
    </xf>
    <xf borderId="0" fillId="0" fontId="3" numFmtId="0" xfId="0" applyAlignment="1" applyFont="1">
      <alignment horizontal="left" readingOrder="0" shrinkToFit="0" wrapText="1"/>
    </xf>
    <xf borderId="0" fillId="0" fontId="105" numFmtId="0" xfId="0" applyAlignment="1" applyFont="1">
      <alignment horizontal="left" shrinkToFit="0" vertical="center" wrapText="1"/>
    </xf>
    <xf borderId="0" fillId="9" fontId="3" numFmtId="0" xfId="0" applyAlignment="1" applyFont="1">
      <alignment readingOrder="0" shrinkToFit="0" wrapText="0"/>
    </xf>
    <xf borderId="0" fillId="9" fontId="106" numFmtId="0" xfId="0" applyAlignment="1" applyFont="1">
      <alignment horizontal="left" shrinkToFit="0" vertical="bottom" wrapText="0"/>
    </xf>
    <xf borderId="1" fillId="9" fontId="1" numFmtId="0" xfId="0" applyAlignment="1" applyBorder="1" applyFont="1">
      <alignment shrinkToFit="0" vertical="bottom" wrapText="0"/>
    </xf>
    <xf borderId="0" fillId="9" fontId="1" numFmtId="0" xfId="0" applyAlignment="1" applyFont="1">
      <alignment shrinkToFit="0" vertical="bottom" wrapText="1"/>
    </xf>
    <xf borderId="3" fillId="9" fontId="1" numFmtId="0" xfId="0" applyAlignment="1" applyBorder="1" applyFont="1">
      <alignment shrinkToFit="0" vertical="bottom" wrapText="0"/>
    </xf>
    <xf borderId="0" fillId="0" fontId="107" numFmtId="0" xfId="0" applyAlignment="1" applyFont="1">
      <alignment horizontal="left" shrinkToFit="0" vertical="bottom" wrapText="1"/>
    </xf>
    <xf borderId="0" fillId="11" fontId="108" numFmtId="0" xfId="0" applyAlignment="1" applyFont="1">
      <alignment shrinkToFit="0" vertical="bottom" wrapText="1"/>
    </xf>
    <xf borderId="0" fillId="0" fontId="109" numFmtId="0" xfId="0" applyAlignment="1" applyFont="1">
      <alignment horizontal="left" shrinkToFit="0" vertical="bottom" wrapText="1"/>
    </xf>
    <xf borderId="0" fillId="10" fontId="3" numFmtId="0" xfId="0" applyAlignment="1" applyFont="1">
      <alignment readingOrder="0" shrinkToFit="0" wrapText="0"/>
    </xf>
    <xf borderId="0" fillId="10" fontId="110" numFmtId="0" xfId="0" applyAlignment="1" applyFont="1">
      <alignment readingOrder="0" shrinkToFit="0" wrapText="0"/>
    </xf>
    <xf borderId="0" fillId="10" fontId="1" numFmtId="0" xfId="0" applyAlignment="1" applyFont="1">
      <alignment shrinkToFit="0" vertical="bottom" wrapText="0"/>
    </xf>
    <xf borderId="0" fillId="10" fontId="111" numFmtId="0" xfId="0" applyAlignment="1" applyFont="1">
      <alignment shrinkToFit="0" vertical="bottom" wrapText="0"/>
    </xf>
    <xf borderId="1" fillId="10" fontId="1" numFmtId="0" xfId="0" applyAlignment="1" applyBorder="1" applyFont="1">
      <alignment shrinkToFit="0" vertical="bottom" wrapText="0"/>
    </xf>
    <xf borderId="0" fillId="10" fontId="1" numFmtId="0" xfId="0" applyAlignment="1" applyFont="1">
      <alignment shrinkToFit="0" vertical="bottom" wrapText="0"/>
    </xf>
    <xf borderId="1" fillId="10" fontId="112" numFmtId="0" xfId="0" applyAlignment="1" applyBorder="1" applyFont="1">
      <alignment shrinkToFit="0" vertical="bottom" wrapText="0"/>
    </xf>
    <xf borderId="2" fillId="10" fontId="113" numFmtId="0" xfId="0" applyAlignment="1" applyBorder="1" applyFont="1">
      <alignment shrinkToFit="0" vertical="bottom" wrapText="0"/>
    </xf>
    <xf borderId="0" fillId="10" fontId="114" numFmtId="0" xfId="0" applyAlignment="1" applyFont="1">
      <alignment shrinkToFit="0" vertical="bottom" wrapText="0"/>
    </xf>
    <xf borderId="0" fillId="0" fontId="1" numFmtId="0" xfId="0" applyAlignment="1" applyFont="1">
      <alignment shrinkToFit="0" vertical="bottom" wrapText="1"/>
    </xf>
    <xf borderId="0" fillId="10" fontId="1" numFmtId="0" xfId="0" applyAlignment="1" applyFont="1">
      <alignment readingOrder="0" shrinkToFit="0" vertical="bottom" wrapText="1"/>
    </xf>
    <xf borderId="0" fillId="9" fontId="1" numFmtId="0" xfId="0" applyAlignment="1" applyFont="1">
      <alignment horizontal="left" shrinkToFit="0" vertical="bottom" wrapText="0"/>
    </xf>
    <xf borderId="0" fillId="9" fontId="115" numFmtId="0" xfId="0" applyAlignment="1" applyFont="1">
      <alignment horizontal="left" shrinkToFit="0" vertical="bottom" wrapText="0"/>
    </xf>
    <xf borderId="3" fillId="9" fontId="1" numFmtId="0" xfId="0" applyAlignment="1" applyBorder="1" applyFont="1">
      <alignment horizontal="left" shrinkToFit="0" vertical="bottom" wrapText="0"/>
    </xf>
    <xf borderId="3" fillId="9" fontId="116" numFmtId="0" xfId="0" applyAlignment="1" applyBorder="1" applyFont="1">
      <alignment horizontal="left" shrinkToFit="0" vertical="bottom" wrapText="0"/>
    </xf>
    <xf borderId="1" fillId="9" fontId="1" numFmtId="0" xfId="0" applyAlignment="1" applyBorder="1" applyFont="1">
      <alignment horizontal="left" shrinkToFit="0" vertical="bottom" wrapText="0"/>
    </xf>
    <xf borderId="0" fillId="0" fontId="117" numFmtId="0" xfId="0" applyAlignment="1" applyFont="1">
      <alignment readingOrder="0" shrinkToFit="0" vertical="bottom" wrapText="0"/>
    </xf>
    <xf borderId="0" fillId="9" fontId="1" numFmtId="0" xfId="0" applyAlignment="1" applyFont="1">
      <alignment shrinkToFit="0" vertical="bottom" wrapText="0"/>
    </xf>
    <xf borderId="3" fillId="9" fontId="1" numFmtId="0" xfId="0" applyAlignment="1" applyBorder="1" applyFont="1">
      <alignment horizontal="left" readingOrder="0" shrinkToFit="0" vertical="bottom" wrapText="0"/>
    </xf>
    <xf borderId="3" fillId="9" fontId="118" numFmtId="0" xfId="0" applyAlignment="1" applyBorder="1" applyFont="1">
      <alignment horizontal="left" readingOrder="0" shrinkToFit="0" vertical="bottom" wrapText="0"/>
    </xf>
    <xf borderId="1" fillId="9" fontId="119" numFmtId="0" xfId="0" applyAlignment="1" applyBorder="1" applyFont="1">
      <alignment horizontal="left" shrinkToFit="0" vertical="bottom" wrapText="1"/>
    </xf>
    <xf borderId="0" fillId="9" fontId="1" numFmtId="0" xfId="0" applyAlignment="1" applyFont="1">
      <alignment horizontal="left" shrinkToFit="0" vertical="bottom" wrapText="1"/>
    </xf>
    <xf borderId="3" fillId="9" fontId="120" numFmtId="0" xfId="0" applyAlignment="1" applyBorder="1" applyFont="1">
      <alignment horizontal="left" shrinkToFit="0" vertical="bottom" wrapText="1"/>
    </xf>
    <xf borderId="4" fillId="9" fontId="1" numFmtId="0" xfId="0" applyAlignment="1" applyBorder="1" applyFont="1">
      <alignment horizontal="left" shrinkToFit="0" vertical="bottom" wrapText="1"/>
    </xf>
    <xf borderId="0" fillId="9" fontId="1" numFmtId="0" xfId="0" applyAlignment="1" applyFont="1">
      <alignment horizontal="left" readingOrder="0" shrinkToFit="0" vertical="bottom" wrapText="0"/>
    </xf>
    <xf borderId="3" fillId="9" fontId="1" numFmtId="0" xfId="0" applyAlignment="1" applyBorder="1" applyFont="1">
      <alignment shrinkToFit="0" vertical="bottom" wrapText="0"/>
    </xf>
    <xf borderId="4" fillId="9" fontId="121" numFmtId="0" xfId="0" applyAlignment="1" applyBorder="1" applyFont="1">
      <alignment shrinkToFit="0" vertical="bottom" wrapText="1"/>
    </xf>
    <xf borderId="0" fillId="10" fontId="122" numFmtId="0" xfId="0" applyAlignment="1" applyFont="1">
      <alignment shrinkToFit="0" vertical="bottom" wrapText="1"/>
    </xf>
    <xf borderId="0" fillId="9" fontId="123" numFmtId="0" xfId="0" applyAlignment="1" applyFont="1">
      <alignment horizontal="left" readingOrder="0" shrinkToFit="0" vertical="bottom" wrapText="0"/>
    </xf>
    <xf borderId="0" fillId="10" fontId="124" numFmtId="0" xfId="0" applyAlignment="1" applyFont="1">
      <alignment shrinkToFit="0" vertical="bottom" wrapText="0"/>
    </xf>
    <xf borderId="1" fillId="10" fontId="1" numFmtId="0" xfId="0" applyAlignment="1" applyBorder="1" applyFont="1">
      <alignment readingOrder="0" shrinkToFit="0" vertical="bottom" wrapText="0"/>
    </xf>
    <xf borderId="2" fillId="9" fontId="125" numFmtId="0" xfId="0" applyAlignment="1" applyBorder="1" applyFont="1">
      <alignment shrinkToFit="0" vertical="bottom" wrapText="0"/>
    </xf>
    <xf borderId="2" fillId="10" fontId="126" numFmtId="0" xfId="0" applyAlignment="1" applyBorder="1" applyFont="1">
      <alignment shrinkToFit="0" vertical="bottom" wrapText="0"/>
    </xf>
    <xf borderId="0" fillId="0" fontId="127" numFmtId="0" xfId="0" applyAlignment="1" applyFont="1">
      <alignment shrinkToFit="0" wrapText="1"/>
    </xf>
    <xf borderId="0" fillId="10" fontId="1" numFmtId="0" xfId="0" applyAlignment="1" applyFont="1">
      <alignment readingOrder="0" shrinkToFit="0" vertical="bottom" wrapText="0"/>
    </xf>
    <xf borderId="3" fillId="10" fontId="128" numFmtId="0" xfId="0" applyAlignment="1" applyBorder="1" applyFont="1">
      <alignment shrinkToFit="0" vertical="bottom" wrapText="0"/>
    </xf>
    <xf borderId="1" fillId="10" fontId="129" numFmtId="0" xfId="0" applyAlignment="1" applyBorder="1" applyFont="1">
      <alignment readingOrder="0" shrinkToFit="0" vertical="bottom" wrapText="0"/>
    </xf>
    <xf borderId="3" fillId="10" fontId="1" numFmtId="0" xfId="0" applyAlignment="1" applyBorder="1" applyFont="1">
      <alignment shrinkToFit="0" vertical="bottom" wrapText="0"/>
    </xf>
    <xf borderId="0" fillId="0" fontId="130" numFmtId="0" xfId="0" applyAlignment="1" applyFont="1">
      <alignment readingOrder="0" shrinkToFit="0" vertical="bottom" wrapText="0"/>
    </xf>
    <xf borderId="2" fillId="10" fontId="1" numFmtId="0" xfId="0" applyAlignment="1" applyBorder="1" applyFont="1">
      <alignment shrinkToFit="0" vertical="bottom" wrapText="0"/>
    </xf>
    <xf borderId="0" fillId="0" fontId="131" numFmtId="0" xfId="0" applyAlignment="1" applyFont="1">
      <alignment shrinkToFit="0" vertical="bottom" wrapText="1"/>
    </xf>
    <xf borderId="2" fillId="10" fontId="132" numFmtId="0" xfId="0" applyAlignment="1" applyBorder="1" applyFont="1">
      <alignment readingOrder="0" shrinkToFit="0" vertical="bottom" wrapText="0"/>
    </xf>
    <xf borderId="0" fillId="10" fontId="133" numFmtId="0" xfId="0" applyAlignment="1" applyFont="1">
      <alignment readingOrder="0" shrinkToFit="0" vertical="bottom" wrapText="0"/>
    </xf>
    <xf borderId="0" fillId="0" fontId="134" numFmtId="0" xfId="0" applyAlignment="1" applyFont="1">
      <alignment shrinkToFit="0" vertical="bottom" wrapText="1"/>
    </xf>
    <xf borderId="0" fillId="0" fontId="135" numFmtId="0" xfId="0" applyAlignment="1" applyFont="1">
      <alignment shrinkToFit="0" vertical="bottom" wrapText="1"/>
    </xf>
    <xf borderId="0" fillId="0" fontId="136" numFmtId="0" xfId="0" applyAlignment="1" applyFont="1">
      <alignment shrinkToFit="0" vertical="bottom" wrapText="0"/>
    </xf>
    <xf borderId="2" fillId="10" fontId="1" numFmtId="0" xfId="0" applyAlignment="1" applyBorder="1" applyFont="1">
      <alignment readingOrder="0" shrinkToFit="0" vertical="bottom" wrapText="0"/>
    </xf>
    <xf borderId="0" fillId="0" fontId="137" numFmtId="0" xfId="0" applyAlignment="1" applyFont="1">
      <alignment horizontal="left" shrinkToFit="0" vertical="bottom" wrapText="1"/>
    </xf>
    <xf borderId="0" fillId="0" fontId="138" numFmtId="0" xfId="0" applyAlignment="1" applyFont="1">
      <alignment readingOrder="0" shrinkToFit="0" wrapText="1"/>
    </xf>
    <xf borderId="0" fillId="0" fontId="139" numFmtId="0" xfId="0" applyAlignment="1" applyFont="1">
      <alignment readingOrder="0" shrinkToFit="0" vertical="center" wrapText="0"/>
    </xf>
    <xf borderId="0" fillId="0" fontId="140" numFmtId="0" xfId="0" applyAlignment="1" applyFont="1">
      <alignment readingOrder="0" shrinkToFit="0" vertical="bottom" wrapText="0"/>
    </xf>
    <xf borderId="0" fillId="9" fontId="141" numFmtId="0" xfId="0" applyAlignment="1" applyFont="1">
      <alignment shrinkToFit="0" vertical="bottom" wrapText="0"/>
    </xf>
    <xf borderId="0" fillId="9" fontId="142" numFmtId="0" xfId="0" applyAlignment="1" applyFont="1">
      <alignment shrinkToFit="0" vertical="bottom" wrapText="0"/>
    </xf>
    <xf borderId="0" fillId="10" fontId="1" numFmtId="0" xfId="0" applyAlignment="1" applyFont="1">
      <alignment shrinkToFit="0" vertical="bottom" wrapText="0"/>
    </xf>
    <xf borderId="0" fillId="14" fontId="1" numFmtId="0" xfId="0" applyAlignment="1" applyFont="1">
      <alignment shrinkToFit="0" vertical="bottom" wrapText="1"/>
    </xf>
    <xf borderId="0" fillId="0" fontId="143" numFmtId="0" xfId="0" applyAlignment="1" applyFont="1">
      <alignment horizontal="left" shrinkToFit="0" wrapText="1"/>
    </xf>
    <xf borderId="0" fillId="0" fontId="144" numFmtId="0" xfId="0" applyAlignment="1" applyFont="1">
      <alignment horizontal="left" shrinkToFit="0" wrapText="1"/>
    </xf>
    <xf borderId="0" fillId="9" fontId="145" numFmtId="0" xfId="0" applyAlignment="1" applyFont="1">
      <alignment horizontal="left" shrinkToFit="0" vertical="bottom" wrapText="1"/>
    </xf>
    <xf borderId="0" fillId="9" fontId="1" numFmtId="0" xfId="0" applyAlignment="1" applyFont="1">
      <alignment horizontal="left" readingOrder="0" shrinkToFit="0" vertical="bottom" wrapText="0"/>
    </xf>
    <xf borderId="3" fillId="10" fontId="1" numFmtId="0" xfId="0" applyAlignment="1" applyBorder="1" applyFont="1">
      <alignment shrinkToFit="0" vertical="bottom" wrapText="0"/>
    </xf>
    <xf borderId="2" fillId="10" fontId="1" numFmtId="0" xfId="0" applyAlignment="1" applyBorder="1" applyFont="1">
      <alignment shrinkToFit="0" vertical="bottom" wrapText="0"/>
    </xf>
    <xf borderId="0" fillId="0" fontId="1" numFmtId="0" xfId="0" applyAlignment="1" applyFont="1">
      <alignment shrinkToFit="0" vertical="top" wrapText="1"/>
    </xf>
    <xf borderId="0" fillId="11" fontId="146" numFmtId="0" xfId="0" applyAlignment="1" applyFont="1">
      <alignment shrinkToFit="0" vertical="bottom" wrapText="1"/>
    </xf>
    <xf borderId="0" fillId="0" fontId="147" numFmtId="0" xfId="0" applyAlignment="1" applyFont="1">
      <alignment horizontal="left" shrinkToFit="0" vertical="center" wrapText="1"/>
    </xf>
    <xf borderId="0" fillId="0" fontId="148" numFmtId="0" xfId="0" applyAlignment="1" applyFont="1">
      <alignment shrinkToFit="0" vertical="bottom" wrapText="1"/>
    </xf>
    <xf borderId="0" fillId="9" fontId="1" numFmtId="0" xfId="0" applyAlignment="1" applyFont="1">
      <alignment shrinkToFit="0" vertical="bottom" wrapText="0"/>
    </xf>
    <xf borderId="0" fillId="9" fontId="149" numFmtId="0" xfId="0" applyAlignment="1" applyFont="1">
      <alignment shrinkToFit="0" vertical="bottom" wrapText="1"/>
    </xf>
    <xf borderId="5" fillId="0" fontId="1" numFmtId="0" xfId="0" applyAlignment="1" applyBorder="1" applyFont="1">
      <alignment shrinkToFit="0" vertical="bottom" wrapText="1"/>
    </xf>
    <xf borderId="0" fillId="9" fontId="150" numFmtId="0" xfId="0" applyAlignment="1" applyFont="1">
      <alignment shrinkToFit="0" vertical="bottom" wrapText="0"/>
    </xf>
    <xf borderId="6" fillId="9" fontId="151" numFmtId="0" xfId="0" applyAlignment="1" applyBorder="1" applyFont="1">
      <alignment shrinkToFit="0" vertical="bottom" wrapText="0"/>
    </xf>
    <xf borderId="0" fillId="9" fontId="152" numFmtId="0" xfId="0" applyAlignment="1" applyFont="1">
      <alignment shrinkToFit="0" vertical="bottom" wrapText="0"/>
    </xf>
    <xf borderId="4" fillId="9" fontId="1" numFmtId="0" xfId="0" applyAlignment="1" applyBorder="1" applyFont="1">
      <alignment shrinkToFit="0" vertical="bottom" wrapText="0"/>
    </xf>
    <xf borderId="4" fillId="9" fontId="153" numFmtId="0" xfId="0" applyAlignment="1" applyBorder="1" applyFont="1">
      <alignment shrinkToFit="0" vertical="bottom" wrapText="0"/>
    </xf>
    <xf borderId="0" fillId="0" fontId="154" numFmtId="0" xfId="0" applyAlignment="1" applyFont="1">
      <alignment horizontal="left" readingOrder="0" shrinkToFit="0" vertical="bottom" wrapText="1"/>
    </xf>
    <xf borderId="4" fillId="9" fontId="155" numFmtId="0" xfId="0" applyAlignment="1" applyBorder="1" applyFont="1">
      <alignment shrinkToFit="0" vertical="bottom" wrapText="0"/>
    </xf>
    <xf borderId="4" fillId="10" fontId="156" numFmtId="0" xfId="0" applyAlignment="1" applyBorder="1" applyFont="1">
      <alignment shrinkToFit="0" vertical="bottom" wrapText="0"/>
    </xf>
    <xf borderId="0" fillId="0" fontId="157" numFmtId="0" xfId="0" applyAlignment="1" applyFont="1">
      <alignment shrinkToFit="0" wrapText="1"/>
    </xf>
    <xf borderId="0" fillId="9" fontId="1" numFmtId="0" xfId="0" applyAlignment="1" applyFont="1">
      <alignment shrinkToFit="0" vertical="bottom" wrapText="0"/>
    </xf>
    <xf borderId="0" fillId="9" fontId="158" numFmtId="0" xfId="0" applyAlignment="1" applyFont="1">
      <alignment shrinkToFit="0" vertical="bottom" wrapText="0"/>
    </xf>
    <xf borderId="0" fillId="2" fontId="1" numFmtId="164" xfId="0" applyAlignment="1" applyFont="1" applyNumberFormat="1">
      <alignment horizontal="center" shrinkToFit="0" vertical="center" wrapText="1"/>
    </xf>
    <xf borderId="5" fillId="10" fontId="1" numFmtId="0" xfId="0" applyAlignment="1" applyBorder="1" applyFont="1">
      <alignment shrinkToFit="0" vertical="bottom" wrapText="0"/>
    </xf>
    <xf borderId="5" fillId="10" fontId="159" numFmtId="0" xfId="0" applyAlignment="1" applyBorder="1" applyFont="1">
      <alignment shrinkToFit="0" vertical="bottom" wrapText="0"/>
    </xf>
    <xf borderId="3" fillId="10" fontId="1" numFmtId="0" xfId="0" applyAlignment="1" applyBorder="1" applyFont="1">
      <alignment shrinkToFit="0" vertical="bottom" wrapText="0"/>
    </xf>
    <xf borderId="0" fillId="3" fontId="1" numFmtId="0" xfId="0" applyAlignment="1" applyFont="1">
      <alignment horizontal="left" shrinkToFit="0" vertical="bottom" wrapText="1"/>
    </xf>
    <xf borderId="3" fillId="10" fontId="160" numFmtId="0" xfId="0" applyAlignment="1" applyBorder="1" applyFont="1">
      <alignment shrinkToFit="0" vertical="bottom" wrapText="0"/>
    </xf>
    <xf borderId="3" fillId="9" fontId="161" numFmtId="0" xfId="0" applyAlignment="1" applyBorder="1" applyFont="1">
      <alignment shrinkToFit="0" vertical="bottom" wrapText="0"/>
    </xf>
    <xf borderId="0" fillId="0" fontId="1" numFmtId="0" xfId="0" applyAlignment="1" applyFont="1">
      <alignment shrinkToFit="0" vertical="bottom" wrapText="1"/>
    </xf>
    <xf borderId="0" fillId="5" fontId="162" numFmtId="0" xfId="0" applyAlignment="1" applyFont="1">
      <alignment shrinkToFit="0" vertical="bottom" wrapText="1"/>
    </xf>
    <xf borderId="3" fillId="0" fontId="3" numFmtId="0" xfId="0" applyAlignment="1" applyBorder="1" applyFont="1">
      <alignment shrinkToFit="0" wrapText="0"/>
    </xf>
    <xf borderId="3" fillId="0" fontId="3" numFmtId="0" xfId="0" applyAlignment="1" applyBorder="1" applyFont="1">
      <alignment shrinkToFit="0" wrapText="1"/>
    </xf>
    <xf borderId="3" fillId="9" fontId="163" numFmtId="0" xfId="0" applyAlignment="1" applyBorder="1" applyFont="1">
      <alignment shrinkToFit="0" vertical="bottom" wrapText="1"/>
    </xf>
    <xf borderId="3" fillId="10" fontId="164" numFmtId="0" xfId="0" applyAlignment="1" applyBorder="1" applyFont="1">
      <alignment shrinkToFit="0" vertical="bottom" wrapText="0"/>
    </xf>
    <xf borderId="4" fillId="10" fontId="165" numFmtId="0" xfId="0" applyAlignment="1" applyBorder="1" applyFont="1">
      <alignment horizontal="left" shrinkToFit="0" vertical="bottom" wrapText="0"/>
    </xf>
    <xf borderId="0" fillId="0" fontId="166" numFmtId="0" xfId="0" applyAlignment="1" applyFont="1">
      <alignment horizontal="left" shrinkToFit="0" vertical="bottom" wrapText="1"/>
    </xf>
    <xf borderId="0" fillId="10" fontId="1" numFmtId="0" xfId="0" applyAlignment="1" applyFont="1">
      <alignment shrinkToFit="0" vertical="bottom" wrapText="0"/>
    </xf>
    <xf borderId="0" fillId="10" fontId="167" numFmtId="0" xfId="0" applyAlignment="1" applyFont="1">
      <alignment shrinkToFit="0" vertical="bottom" wrapText="0"/>
    </xf>
    <xf borderId="0" fillId="10" fontId="168" numFmtId="0" xfId="0" applyAlignment="1" applyFont="1">
      <alignment shrinkToFit="0" vertical="bottom" wrapText="0"/>
    </xf>
    <xf borderId="5" fillId="9" fontId="1" numFmtId="0" xfId="0" applyAlignment="1" applyBorder="1" applyFont="1">
      <alignment shrinkToFit="0" vertical="bottom" wrapText="0"/>
    </xf>
    <xf borderId="1" fillId="9" fontId="1" numFmtId="0" xfId="0" applyAlignment="1" applyBorder="1" applyFont="1">
      <alignment shrinkToFit="0" vertical="bottom" wrapText="0"/>
    </xf>
    <xf borderId="0" fillId="9" fontId="1" numFmtId="0" xfId="0" applyAlignment="1" applyFont="1">
      <alignment shrinkToFit="0" vertical="bottom" wrapText="0"/>
    </xf>
    <xf borderId="1" fillId="9" fontId="1" numFmtId="0" xfId="0" applyAlignment="1" applyBorder="1" applyFont="1">
      <alignment shrinkToFit="0" vertical="bottom" wrapText="0"/>
    </xf>
    <xf borderId="3" fillId="9" fontId="1" numFmtId="0" xfId="0" applyAlignment="1" applyBorder="1" applyFont="1">
      <alignment shrinkToFit="0" vertical="bottom" wrapText="0"/>
    </xf>
    <xf borderId="0" fillId="10" fontId="169" numFmtId="0" xfId="0" applyAlignment="1" applyFont="1">
      <alignment horizontal="left" readingOrder="0" shrinkToFit="0" vertical="bottom" wrapText="0"/>
    </xf>
    <xf borderId="0" fillId="10" fontId="170" numFmtId="0" xfId="0" applyAlignment="1" applyFont="1">
      <alignment horizontal="left" shrinkToFit="0" vertical="bottom" wrapText="0"/>
    </xf>
    <xf borderId="0" fillId="0" fontId="171" numFmtId="0" xfId="0" applyAlignment="1" applyFont="1">
      <alignment shrinkToFit="0" vertical="bottom" wrapText="1"/>
    </xf>
    <xf borderId="4" fillId="10" fontId="172" numFmtId="0" xfId="0" applyAlignment="1" applyBorder="1" applyFont="1">
      <alignment readingOrder="0" shrinkToFit="0" wrapText="0"/>
    </xf>
    <xf borderId="5" fillId="0" fontId="1" numFmtId="0" xfId="0" applyAlignment="1" applyBorder="1" applyFont="1">
      <alignment shrinkToFit="0" vertical="bottom" wrapText="1"/>
    </xf>
    <xf borderId="3" fillId="9" fontId="1" numFmtId="0" xfId="0" applyAlignment="1" applyBorder="1" applyFont="1">
      <alignment shrinkToFit="0" vertical="bottom" wrapText="0"/>
    </xf>
    <xf borderId="0" fillId="0" fontId="173" numFmtId="0" xfId="0" applyAlignment="1" applyFont="1">
      <alignment readingOrder="0" shrinkToFit="0" wrapText="1"/>
    </xf>
    <xf borderId="0" fillId="11" fontId="3" numFmtId="0" xfId="0" applyAlignment="1" applyFont="1">
      <alignment readingOrder="0" shrinkToFit="0" wrapText="1"/>
    </xf>
    <xf borderId="1" fillId="10" fontId="174" numFmtId="0" xfId="0" applyAlignment="1" applyBorder="1" applyFont="1">
      <alignment horizontal="left" shrinkToFit="0" vertical="bottom" wrapText="0"/>
    </xf>
    <xf borderId="4" fillId="10" fontId="1" numFmtId="0" xfId="0" applyAlignment="1" applyBorder="1" applyFont="1">
      <alignment shrinkToFit="0" vertical="bottom" wrapText="0"/>
    </xf>
    <xf borderId="3" fillId="10" fontId="1" numFmtId="0" xfId="0" applyAlignment="1" applyBorder="1" applyFont="1">
      <alignment readingOrder="0" shrinkToFit="0" vertical="bottom" wrapText="0"/>
    </xf>
    <xf borderId="4" fillId="10" fontId="175" numFmtId="0" xfId="0" applyAlignment="1" applyBorder="1" applyFont="1">
      <alignment shrinkToFit="0" vertical="bottom" wrapText="0"/>
    </xf>
    <xf borderId="3" fillId="10" fontId="176" numFmtId="0" xfId="0" applyAlignment="1" applyBorder="1" applyFont="1">
      <alignment readingOrder="0" shrinkToFit="0" vertical="bottom" wrapText="0"/>
    </xf>
    <xf borderId="3" fillId="10" fontId="177" numFmtId="0" xfId="0" applyAlignment="1" applyBorder="1" applyFont="1">
      <alignment horizontal="left" shrinkToFit="0" vertical="bottom" wrapText="0"/>
    </xf>
    <xf borderId="0" fillId="11" fontId="1" numFmtId="0" xfId="0" applyAlignment="1" applyFont="1">
      <alignment shrinkToFit="0" vertical="bottom" wrapText="1"/>
    </xf>
    <xf borderId="0" fillId="11" fontId="1" numFmtId="0" xfId="0" applyAlignment="1" applyFont="1">
      <alignment shrinkToFit="0" vertical="bottom" wrapText="0"/>
    </xf>
    <xf borderId="0" fillId="10" fontId="178" numFmtId="0" xfId="0" applyAlignment="1" applyFont="1">
      <alignment shrinkToFit="0" vertical="bottom" wrapText="0"/>
    </xf>
    <xf borderId="6" fillId="10" fontId="1" numFmtId="0" xfId="0" applyAlignment="1" applyBorder="1" applyFont="1">
      <alignment shrinkToFit="0" vertical="bottom" wrapText="0"/>
    </xf>
    <xf borderId="0" fillId="10" fontId="1" numFmtId="0" xfId="0" applyAlignment="1" applyFont="1">
      <alignment horizontal="left" shrinkToFit="0" vertical="bottom" wrapText="0"/>
    </xf>
    <xf borderId="1" fillId="10" fontId="1" numFmtId="0" xfId="0" applyAlignment="1" applyBorder="1" applyFont="1">
      <alignment horizontal="left" shrinkToFit="0" vertical="bottom" wrapText="0"/>
    </xf>
    <xf borderId="3" fillId="10" fontId="1"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3" fillId="10" fontId="179" numFmtId="0" xfId="0" applyAlignment="1" applyBorder="1" applyFont="1">
      <alignment horizontal="left" shrinkToFit="0" vertical="bottom" wrapText="0"/>
    </xf>
    <xf borderId="0" fillId="11" fontId="180" numFmtId="0" xfId="0" applyAlignment="1" applyFont="1">
      <alignment shrinkToFit="0" vertical="bottom" wrapText="0"/>
    </xf>
    <xf borderId="3" fillId="10" fontId="181" numFmtId="0" xfId="0" applyAlignment="1" applyBorder="1" applyFont="1">
      <alignment readingOrder="0" shrinkToFit="0" vertical="bottom" wrapText="0"/>
    </xf>
    <xf borderId="4" fillId="10" fontId="182" numFmtId="0" xfId="0" applyAlignment="1" applyBorder="1" applyFont="1">
      <alignment shrinkToFit="0" vertical="bottom" wrapText="0"/>
    </xf>
    <xf borderId="0" fillId="0" fontId="183" numFmtId="0" xfId="0" applyAlignment="1" applyFont="1">
      <alignment horizontal="left" readingOrder="0" shrinkToFit="0" vertical="bottom"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2" t="s">
        <v>2</v>
      </c>
      <c r="B1" s="4" t="s">
        <v>4</v>
      </c>
    </row>
    <row r="2">
      <c r="B2" s="7" t="s">
        <v>6</v>
      </c>
      <c r="D2" s="12" t="str">
        <f>HYPERLINK("https://ask.fm/mostafasaad87","Ask.fm")</f>
        <v>Ask.fm</v>
      </c>
      <c r="E2" s="12" t="str">
        <f>HYPERLINK("https://sites.google.com/site/mostafasibrahim/","Site / More Contacts")</f>
        <v>Site / More Contacts</v>
      </c>
      <c r="F2" s="7"/>
      <c r="G2" s="7"/>
      <c r="H2" s="7"/>
    </row>
    <row r="3">
      <c r="B3" s="17" t="str">
        <f>HYPERLINK("https://www.youtube.com/watch?v=DZ6YTtILCE8","Video explaining this sheet (Arabic), though a bit outdated")</f>
        <v>Video explaining this sheet (Arabic), though a bit outdated</v>
      </c>
    </row>
    <row r="4">
      <c r="B4" s="4" t="s">
        <v>38</v>
      </c>
      <c r="D4" s="19"/>
      <c r="E4" s="20" t="str">
        <f>HYPERLINK("https://goo.gl/unDETI","Latest Version")</f>
        <v>Latest Version</v>
      </c>
      <c r="F4" s="7"/>
      <c r="G4" s="7"/>
      <c r="H4" s="7"/>
    </row>
    <row r="5">
      <c r="A5" s="22"/>
      <c r="B5" s="23"/>
      <c r="C5" s="23"/>
      <c r="D5" s="23"/>
      <c r="E5" s="23"/>
      <c r="F5" s="23"/>
      <c r="G5" s="23"/>
      <c r="H5" s="23"/>
    </row>
    <row r="6">
      <c r="A6" s="22" t="s">
        <v>62</v>
      </c>
      <c r="B6" s="23" t="s">
        <v>63</v>
      </c>
    </row>
    <row r="7">
      <c r="A7" s="22"/>
      <c r="B7" s="23"/>
      <c r="C7" s="23"/>
      <c r="D7" s="23"/>
      <c r="E7" s="23"/>
      <c r="F7" s="23"/>
      <c r="G7" s="23"/>
      <c r="H7" s="23"/>
    </row>
    <row r="8">
      <c r="A8" s="24" t="s">
        <v>64</v>
      </c>
      <c r="B8" s="25" t="s">
        <v>71</v>
      </c>
    </row>
    <row r="9">
      <c r="A9" s="22"/>
      <c r="B9" s="23"/>
      <c r="C9" s="23"/>
      <c r="D9" s="23"/>
      <c r="E9" s="23"/>
      <c r="F9" s="23"/>
      <c r="G9" s="23"/>
      <c r="H9" s="23"/>
    </row>
    <row r="10">
      <c r="A10" s="2" t="s">
        <v>72</v>
      </c>
      <c r="B10" s="26" t="s">
        <v>75</v>
      </c>
    </row>
    <row r="11">
      <c r="A11" s="27" t="s">
        <v>76</v>
      </c>
      <c r="B11" s="23" t="s">
        <v>77</v>
      </c>
    </row>
    <row r="12">
      <c r="A12" s="2" t="s">
        <v>78</v>
      </c>
      <c r="B12" s="28" t="s">
        <v>79</v>
      </c>
      <c r="D12" s="17" t="str">
        <f>HYPERLINK("https://www.youtube.com/playlist?list=PLPt2dINI2MIZPFq6HyUB1Uhxdh1UDnZMS","C++ Programming")</f>
        <v>C++ Programming</v>
      </c>
      <c r="E12" s="26" t="s">
        <v>80</v>
      </c>
      <c r="H12" s="29" t="str">
        <f>HYPERLINK("https://www.quora.com/Why-do-competitive-programmers-prefer-to-use-C++-instead-of-Java-in-the-programming-contests","C++ is highly recommended")</f>
        <v>C++ is highly recommended</v>
      </c>
    </row>
    <row r="13">
      <c r="B13" s="26" t="s">
        <v>81</v>
      </c>
      <c r="G13" s="31" t="str">
        <f>HYPERLINK("https://docs.google.com/spreadsheets/d/12XlGl2Nae1NXRDNet_bGQ2HM2O3kq-9FS0Jm2pDwFyg/edit#gid=1683044666","Novice RoadMap")</f>
        <v>Novice RoadMap</v>
      </c>
      <c r="H13" s="31" t="str">
        <f>HYPERLINK("https://www.youtube.com/watch?v=VDKDU5A2AIM&amp;index=4&amp;t=857s&amp;list=PLPt2dINI2MIaNcU070HIAO8JWYBcafuyG","Online Judge")</f>
        <v>Online Judge</v>
      </c>
    </row>
    <row r="14">
      <c r="B14" s="34" t="s">
        <v>83</v>
      </c>
      <c r="F14" s="37" t="str">
        <f>HYPERLINK("https://www.youtube.com/playlist?list=PLPt2dINI2MIaNcU070HIAO8JWYBcafuyG","Watch these videos for more details")</f>
        <v>Watch these videos for more details</v>
      </c>
      <c r="H14" s="38"/>
    </row>
    <row r="15">
      <c r="B15" s="15" t="s">
        <v>86</v>
      </c>
      <c r="E15" s="41" t="str">
        <f>HYPERLINK("https://www.youtube.com/channel/UC2xOPGjIhLKsgUZEiunlzWQ/playlists","Solver to be Channel")</f>
        <v>Solver to be Channel</v>
      </c>
      <c r="G15" s="41" t="str">
        <f>HYPERLINK("https://www.youtube.com/user/codemasrytube/playlists","Code El Masry Channel")</f>
        <v>Code El Masry Channel</v>
      </c>
    </row>
    <row r="16">
      <c r="A16" s="27"/>
      <c r="B16" s="43"/>
      <c r="C16" s="43"/>
      <c r="D16" s="43"/>
      <c r="E16" s="43"/>
      <c r="F16" s="43"/>
      <c r="G16" s="43"/>
      <c r="H16" s="43"/>
    </row>
    <row r="17">
      <c r="A17" s="27" t="s">
        <v>98</v>
      </c>
      <c r="B17" s="44" t="s">
        <v>99</v>
      </c>
    </row>
    <row r="18">
      <c r="A18" s="46"/>
      <c r="B18" s="16"/>
      <c r="C18" s="16"/>
      <c r="D18" s="16"/>
      <c r="E18" s="16"/>
      <c r="F18" s="16"/>
      <c r="G18" s="16"/>
      <c r="H18" s="16"/>
    </row>
    <row r="19">
      <c r="A19" s="48" t="s">
        <v>108</v>
      </c>
      <c r="B19" s="26" t="s">
        <v>110</v>
      </c>
    </row>
    <row r="20">
      <c r="A20" s="27" t="s">
        <v>111</v>
      </c>
      <c r="B20" s="50" t="s">
        <v>112</v>
      </c>
    </row>
    <row r="21">
      <c r="A21" s="46"/>
      <c r="B21" s="16"/>
      <c r="C21" s="16"/>
      <c r="D21" s="16"/>
      <c r="E21" s="16"/>
      <c r="F21" s="16"/>
      <c r="G21" s="16"/>
      <c r="H21" s="16"/>
    </row>
    <row r="22">
      <c r="A22" s="48" t="s">
        <v>113</v>
      </c>
      <c r="B22" s="26" t="s">
        <v>114</v>
      </c>
    </row>
    <row r="23">
      <c r="B23" s="23" t="s">
        <v>115</v>
      </c>
    </row>
    <row r="24">
      <c r="B24" s="28" t="s">
        <v>116</v>
      </c>
    </row>
    <row r="25">
      <c r="B25" s="23" t="s">
        <v>117</v>
      </c>
    </row>
    <row r="26">
      <c r="B26" s="28" t="s">
        <v>118</v>
      </c>
    </row>
    <row r="27">
      <c r="B27" s="23" t="s">
        <v>119</v>
      </c>
    </row>
    <row r="28">
      <c r="B28" s="26" t="s">
        <v>120</v>
      </c>
    </row>
    <row r="29">
      <c r="B29" s="55" t="str">
        <f>HYPERLINK("https://uva.onlinejudge.org/index.php?option=com_content&amp;task=view&amp;id=16&amp;Itemid=31","Put problem Status")</f>
        <v>Put problem Status</v>
      </c>
      <c r="C29" s="56" t="s">
        <v>121</v>
      </c>
      <c r="D29" s="58" t="s">
        <v>122</v>
      </c>
      <c r="E29" s="60" t="s">
        <v>124</v>
      </c>
    </row>
    <row r="30">
      <c r="B30" s="26" t="s">
        <v>125</v>
      </c>
    </row>
    <row r="31">
      <c r="B31" s="23" t="s">
        <v>126</v>
      </c>
    </row>
    <row r="32">
      <c r="B32" s="26" t="s">
        <v>127</v>
      </c>
    </row>
    <row r="33">
      <c r="A33" s="46"/>
      <c r="B33" s="16"/>
      <c r="C33" s="16"/>
      <c r="D33" s="16"/>
      <c r="E33" s="16"/>
      <c r="F33" s="16"/>
      <c r="G33" s="16"/>
      <c r="H33" s="16"/>
    </row>
    <row r="34">
      <c r="A34" s="62" t="s">
        <v>128</v>
      </c>
      <c r="B34" s="64" t="s">
        <v>129</v>
      </c>
    </row>
    <row r="35">
      <c r="A35" s="46"/>
      <c r="B35" s="16"/>
      <c r="C35" s="16"/>
      <c r="D35" s="16"/>
      <c r="E35" s="16"/>
      <c r="F35" s="16"/>
      <c r="G35" s="16"/>
      <c r="H35" s="16"/>
    </row>
    <row r="36">
      <c r="A36" s="48" t="s">
        <v>131</v>
      </c>
      <c r="B36" s="66" t="str">
        <f>HYPERLINK("http://codeforces.com/contest/136/problem/A","CF136-D2-A")</f>
        <v>CF136-D2-A</v>
      </c>
      <c r="C36" s="23" t="s">
        <v>132</v>
      </c>
    </row>
    <row r="37">
      <c r="B37" s="23" t="s">
        <v>133</v>
      </c>
      <c r="C37" s="23" t="s">
        <v>134</v>
      </c>
    </row>
    <row r="38">
      <c r="A38" s="46"/>
      <c r="B38" s="16"/>
      <c r="C38" s="16"/>
      <c r="D38" s="16"/>
      <c r="E38" s="16"/>
      <c r="F38" s="16"/>
      <c r="G38" s="16"/>
      <c r="H38" s="16"/>
    </row>
    <row r="39">
      <c r="A39" s="2" t="s">
        <v>136</v>
      </c>
      <c r="B39" s="70" t="str">
        <f>HYPERLINK("http://codeforces.com/contest/483/problem/A","CF483-D2-A")</f>
        <v>CF483-D2-A</v>
      </c>
      <c r="C39" s="64" t="s">
        <v>138</v>
      </c>
    </row>
    <row r="40">
      <c r="B40" s="73" t="str">
        <f>HYPERLINK("https://uva.onlinejudge.org/index.php?option=onlinejudge&amp;page=show_problem&amp;problem=1183","UVA 10242")</f>
        <v>UVA 10242</v>
      </c>
      <c r="C40" s="16" t="s">
        <v>139</v>
      </c>
    </row>
    <row r="41">
      <c r="B41" s="76" t="str">
        <f>HYPERLINK("http://www.spoj.com/problems/CDOWN/","SPOJ CDOWN")</f>
        <v>SPOJ CDOWN</v>
      </c>
      <c r="C41" s="16" t="s">
        <v>141</v>
      </c>
    </row>
    <row r="42" ht="17.25" customHeight="1">
      <c r="B42" s="78" t="str">
        <f>HYPERLINK("http://codeforces.com/contest/518/problem/B","CF518-D2-B")</f>
        <v>CF518-D2-B</v>
      </c>
      <c r="C42" s="64" t="s">
        <v>143</v>
      </c>
    </row>
    <row r="43">
      <c r="A43" s="46"/>
      <c r="B43" s="16"/>
      <c r="C43" s="16"/>
      <c r="D43" s="16"/>
      <c r="E43" s="16"/>
      <c r="F43" s="16"/>
      <c r="G43" s="16"/>
      <c r="H43" s="16"/>
    </row>
    <row r="44">
      <c r="A44" s="48" t="s">
        <v>144</v>
      </c>
      <c r="B44" s="23" t="s">
        <v>145</v>
      </c>
    </row>
    <row r="45">
      <c r="A45" s="46"/>
      <c r="B45" s="80"/>
      <c r="C45" s="80"/>
      <c r="D45" s="80"/>
      <c r="E45" s="80"/>
      <c r="F45" s="80"/>
      <c r="G45" s="80"/>
      <c r="H45" s="80"/>
    </row>
    <row r="46">
      <c r="A46" s="2" t="s">
        <v>147</v>
      </c>
      <c r="B46" s="23" t="s">
        <v>148</v>
      </c>
    </row>
    <row r="47">
      <c r="A47" s="46"/>
      <c r="B47" s="80"/>
      <c r="C47" s="80"/>
      <c r="D47" s="80"/>
      <c r="E47" s="80"/>
      <c r="F47" s="80"/>
      <c r="G47" s="80"/>
      <c r="H47" s="80"/>
    </row>
    <row r="48">
      <c r="A48" s="2" t="s">
        <v>149</v>
      </c>
      <c r="B48" s="83" t="str">
        <f>HYPERLINK("https://github.com/lnishan/awesome-competitive-programming","Awesome Competitive Programming")</f>
        <v>Awesome Competitive Programming</v>
      </c>
      <c r="D48" s="64" t="s">
        <v>150</v>
      </c>
    </row>
    <row r="49">
      <c r="B49" s="83" t="str">
        <f>HYPERLINK("https://github.com/AhmadElsagheer/Competitive-programming-library/tree/master/curriculum","Ahmed Elsaghir Trainnig")</f>
        <v>Ahmed Elsaghir Trainnig</v>
      </c>
      <c r="D49" s="64" t="s">
        <v>152</v>
      </c>
    </row>
    <row r="50">
      <c r="B50" s="83" t="str">
        <f>HYPERLINK("https://a2oj.com/ladders","A2oj Ladders")</f>
        <v>A2oj Ladders</v>
      </c>
      <c r="D50" s="64" t="s">
        <v>153</v>
      </c>
    </row>
    <row r="51">
      <c r="B51" s="85" t="str">
        <f>HYPERLINK("https://www.youtube.com/watch?v=mUSajNUEWxg&amp;list=PLb7yniFBnvZIdfxYIKqNlGsTf5oZy4dKk","Prgramming Ahmed M sayd")</f>
        <v>Prgramming Ahmed M sayd</v>
      </c>
      <c r="D51" s="64" t="s">
        <v>155</v>
      </c>
    </row>
    <row r="52">
      <c r="B52" s="85" t="str">
        <f>HYPERLINK("https://www.youtube.com/watch?v=Oc2j4cathVo&amp;list=PLqoqkiGo-sn0rs53nSUaLZI2kPvG_XM7G","Programming Mohamed desouky")</f>
        <v>Programming Mohamed desouky</v>
      </c>
      <c r="D52" s="64" t="s">
        <v>155</v>
      </c>
    </row>
    <row r="53">
      <c r="B53" s="85" t="str">
        <f>HYPERLINK("https://www.youtube.com/playlist?list=PLPt2dINI2MIZi6jW3pFvP9AHDsNi5XlD1","More Resources")</f>
        <v>More Resources</v>
      </c>
      <c r="C53" s="87"/>
      <c r="D53" s="64" t="s">
        <v>157</v>
      </c>
    </row>
    <row r="54">
      <c r="A54" s="46"/>
      <c r="B54" s="80"/>
      <c r="C54" s="80"/>
      <c r="D54" s="80"/>
      <c r="E54" s="80"/>
      <c r="F54" s="80"/>
      <c r="G54" s="80"/>
      <c r="H54" s="80"/>
    </row>
    <row r="55">
      <c r="A55" s="89" t="s">
        <v>158</v>
      </c>
      <c r="B55" s="91" t="str">
        <f>HYPERLINK("https://docs.google.com/spreadsheets/d/1-A0sitOUOmHr_E7zoj5KQjrFGlZfWKU_mQ7AN4ztyOc/edit?usp=sharing","V1: initial release")</f>
        <v>V1: initial release</v>
      </c>
    </row>
    <row r="56">
      <c r="B56" s="93"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96"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98" t="s">
        <v>160</v>
      </c>
    </row>
    <row r="59">
      <c r="B59" s="31" t="str">
        <f>HYPERLINK("https://docs.google.com/spreadsheets/d/1-zN2FwB01rOSUnNgsDGy0EnLpDqDtpECX-Cfs5Ijw-g/edit#gid=593476609","V5")</f>
        <v>V5</v>
      </c>
      <c r="C59" s="26"/>
      <c r="D59" s="26"/>
      <c r="E59" s="26"/>
      <c r="F59" s="26"/>
      <c r="G59" s="26"/>
      <c r="H59" s="26"/>
    </row>
    <row r="60">
      <c r="B60" s="26" t="s">
        <v>164</v>
      </c>
    </row>
    <row r="61">
      <c r="B61" s="98" t="s">
        <v>165</v>
      </c>
    </row>
    <row r="62">
      <c r="A62" s="46"/>
      <c r="B62" s="16"/>
      <c r="C62" s="16"/>
      <c r="D62" s="16"/>
      <c r="E62" s="16"/>
      <c r="F62" s="16"/>
      <c r="G62" s="16"/>
      <c r="H62" s="16"/>
    </row>
    <row r="63">
      <c r="A63" s="103" t="s">
        <v>166</v>
      </c>
      <c r="B63" s="23" t="s">
        <v>168</v>
      </c>
    </row>
    <row r="64">
      <c r="A64" s="46"/>
      <c r="B64" s="16"/>
      <c r="C64" s="16"/>
      <c r="D64" s="16"/>
      <c r="E64" s="16"/>
      <c r="F64" s="16"/>
      <c r="G64" s="16"/>
      <c r="H64" s="16"/>
    </row>
    <row r="65">
      <c r="A65" s="104" t="s">
        <v>169</v>
      </c>
    </row>
    <row r="66">
      <c r="A66" s="104" t="s">
        <v>172</v>
      </c>
    </row>
    <row r="67">
      <c r="A67" s="104" t="s">
        <v>173</v>
      </c>
    </row>
  </sheetData>
  <mergeCells count="67">
    <mergeCell ref="B51:C51"/>
    <mergeCell ref="B52:C52"/>
    <mergeCell ref="B48:C48"/>
    <mergeCell ref="D48:H48"/>
    <mergeCell ref="D49:H49"/>
    <mergeCell ref="B49:C49"/>
    <mergeCell ref="D51:H51"/>
    <mergeCell ref="D53:H53"/>
    <mergeCell ref="D52:H52"/>
    <mergeCell ref="B46:H46"/>
    <mergeCell ref="B44:H44"/>
    <mergeCell ref="B50:C50"/>
    <mergeCell ref="A48:A53"/>
    <mergeCell ref="D50:H50"/>
    <mergeCell ref="A66:H66"/>
    <mergeCell ref="A67:H67"/>
    <mergeCell ref="A65:H65"/>
    <mergeCell ref="B56:H56"/>
    <mergeCell ref="B55:H55"/>
    <mergeCell ref="B58:H58"/>
    <mergeCell ref="B57:H57"/>
    <mergeCell ref="B61:H61"/>
    <mergeCell ref="B63:H63"/>
    <mergeCell ref="A55:A61"/>
    <mergeCell ref="B60:H60"/>
    <mergeCell ref="B2:C2"/>
    <mergeCell ref="B4:C4"/>
    <mergeCell ref="E12:G12"/>
    <mergeCell ref="B10:H10"/>
    <mergeCell ref="B11:H11"/>
    <mergeCell ref="B1:H1"/>
    <mergeCell ref="B8:H8"/>
    <mergeCell ref="B6:H6"/>
    <mergeCell ref="B3:H3"/>
    <mergeCell ref="B20:H20"/>
    <mergeCell ref="B19:H19"/>
    <mergeCell ref="B23:H23"/>
    <mergeCell ref="B24:H24"/>
    <mergeCell ref="B30:H30"/>
    <mergeCell ref="B31:H31"/>
    <mergeCell ref="B32:H32"/>
    <mergeCell ref="E29:H29"/>
    <mergeCell ref="B27:H27"/>
    <mergeCell ref="B28:H28"/>
    <mergeCell ref="B22:H22"/>
    <mergeCell ref="B17:H17"/>
    <mergeCell ref="B26:H26"/>
    <mergeCell ref="B25:H25"/>
    <mergeCell ref="E15:F15"/>
    <mergeCell ref="G15:H15"/>
    <mergeCell ref="F14:G14"/>
    <mergeCell ref="B14:E14"/>
    <mergeCell ref="B15:D15"/>
    <mergeCell ref="B12:C12"/>
    <mergeCell ref="A12:A15"/>
    <mergeCell ref="B13:F13"/>
    <mergeCell ref="A39:A42"/>
    <mergeCell ref="A36:A37"/>
    <mergeCell ref="A22:A32"/>
    <mergeCell ref="A1:A4"/>
    <mergeCell ref="C36:H36"/>
    <mergeCell ref="C37:H37"/>
    <mergeCell ref="B34:H34"/>
    <mergeCell ref="C39:H39"/>
    <mergeCell ref="C40:H40"/>
    <mergeCell ref="C41:H41"/>
    <mergeCell ref="C42:H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69" t="s">
        <v>0</v>
      </c>
      <c r="B1" s="6" t="s">
        <v>3</v>
      </c>
      <c r="C1" s="8" t="s">
        <v>9</v>
      </c>
      <c r="D1" s="9" t="s">
        <v>10</v>
      </c>
      <c r="E1" s="9" t="s">
        <v>11</v>
      </c>
      <c r="F1" s="8" t="s">
        <v>12</v>
      </c>
      <c r="G1" s="9" t="s">
        <v>13</v>
      </c>
      <c r="H1" s="9" t="s">
        <v>14</v>
      </c>
      <c r="I1" s="9" t="s">
        <v>15</v>
      </c>
      <c r="J1" s="8" t="s">
        <v>16</v>
      </c>
      <c r="K1" s="8" t="s">
        <v>17</v>
      </c>
      <c r="L1" s="8" t="s">
        <v>18</v>
      </c>
      <c r="M1" s="11" t="s">
        <v>19</v>
      </c>
    </row>
    <row r="2">
      <c r="A2" s="74"/>
      <c r="B2" s="50" t="s">
        <v>30</v>
      </c>
      <c r="C2" s="18">
        <f>countif(C3:C10558, "AC")</f>
        <v>0</v>
      </c>
      <c r="D2" s="21">
        <f>ROUND(SUMPRODUCT(D3:D10558,INT(EQ(C3:C10558, "AC")))/MAX(1, C2),1)</f>
        <v>0</v>
      </c>
      <c r="E2" s="21">
        <f>ROUND(SUMPRODUCT(E3:E10580,INT(EQ(C3:C10580, "AC")))/MAX(1, C2))</f>
        <v>0</v>
      </c>
      <c r="F2" s="21">
        <f>ROUND(SUMPRODUCT(F3:F10583,INT(EQ(C3:C10583, "AC")))/MAX(1, C2))</f>
        <v>0</v>
      </c>
      <c r="G2" s="21">
        <f>ROUND(SUMPRODUCT(G3:G10583,INT(EQ(C3:C10583, "AC")))/MAX(1, C2))</f>
        <v>0</v>
      </c>
      <c r="H2" s="21">
        <f>ROUND(SUMPRODUCT(H3:H10583,INT(EQ(C3:C10583, "AC")))/MAX(1, C2))</f>
        <v>0</v>
      </c>
      <c r="I2" s="21">
        <f>ROUND(SUMPRODUCT(I3:I10555,INT(EQ(C3:C10555, "AC")))/MAX(1, C2))</f>
        <v>0</v>
      </c>
      <c r="J2" s="21">
        <f>ROUND(SUMPRODUCT(J3:J10553,INT(EQ(C3:C10553, "AC")))/MAX(1, C2),1)</f>
        <v>0</v>
      </c>
      <c r="K2" s="21">
        <f>SUMPRODUCT(EQ(K3:K10558, "YES"),INT(EQ(C3:C10583, "AC")))</f>
        <v>0</v>
      </c>
      <c r="L2" s="30">
        <f>IFERROR(__xludf.DUMMYFUNCTION("COUNTA(FILTER(C3:C10050, NOT(REGEXMATCH(C3:C10050, ""AC""))))"),0.0)</f>
        <v>0</v>
      </c>
      <c r="M2" s="32">
        <f>IFERROR(__xludf.DUMMYFUNCTION("COUNTA(FILTER(C3:C10044, NOT(REGEXMATCH(C3:C10044, ""AC""))))"),0.0)</f>
        <v>0</v>
      </c>
    </row>
    <row r="3">
      <c r="C3" s="95"/>
      <c r="D3" s="95"/>
      <c r="E3" s="95"/>
      <c r="F3" s="95"/>
      <c r="G3" s="95"/>
      <c r="H3" s="97"/>
      <c r="I3" s="39">
        <f t="shared" ref="I3:I170" si="1">SUM(E3:H3)</f>
        <v>0</v>
      </c>
      <c r="J3" s="49"/>
      <c r="K3" s="36"/>
      <c r="L3" s="95"/>
      <c r="M3" s="227" t="str">
        <f>HYPERLINK("https://www.youtube.com/watch?v=xVMe4JSEQo0&amp;index=14&amp;list=PLPt2dINI2MIb4OXlJ_EEwIDV9WVUpRQ5K","Graph Theory - SCC (2 vid)")</f>
        <v>Graph Theory - SCC (2 vid)</v>
      </c>
    </row>
    <row r="4">
      <c r="A4" s="230" t="s">
        <v>1064</v>
      </c>
      <c r="B4" s="229" t="str">
        <f>HYPERLINK("http://www.spoj.com/problems/BOTTOM/","SPOJ BOTTOM")</f>
        <v>SPOJ BOTTOM</v>
      </c>
      <c r="C4" s="95"/>
      <c r="D4" s="95"/>
      <c r="E4" s="95"/>
      <c r="F4" s="95"/>
      <c r="G4" s="95"/>
      <c r="H4" s="97"/>
      <c r="I4" s="39">
        <f t="shared" si="1"/>
        <v>0</v>
      </c>
      <c r="J4" s="49"/>
      <c r="K4" s="36"/>
      <c r="L4" s="80"/>
      <c r="M4" s="269" t="str">
        <f>HYPERLINK("https://github.com/BRAINOOOO/CompetitiveProgramming/blob/master/Spoj/SPOJ%20BOTTOM.Cpp","Sol")</f>
        <v>Sol</v>
      </c>
    </row>
    <row r="5">
      <c r="A5" s="232" t="s">
        <v>1065</v>
      </c>
      <c r="B5" s="321" t="str">
        <f>HYPERLINK("https://uva.onlinejudge.org/index.php?option=onlinejudge&amp;page=show_problem&amp;problem=1672","UVA 10731")</f>
        <v>UVA 10731</v>
      </c>
      <c r="C5" s="95"/>
      <c r="D5" s="95"/>
      <c r="E5" s="95"/>
      <c r="F5" s="95"/>
      <c r="G5" s="95"/>
      <c r="H5" s="97"/>
      <c r="I5" s="39">
        <f t="shared" si="1"/>
        <v>0</v>
      </c>
      <c r="J5" s="111"/>
      <c r="K5" s="112"/>
      <c r="L5" s="80"/>
      <c r="M5" s="269" t="str">
        <f>HYPERLINK("https://github.com/goar5670/CompetitiveProgramming/blob/master/UVA%2010731.cpp","Sol")</f>
        <v>Sol</v>
      </c>
    </row>
    <row r="6">
      <c r="A6" s="232"/>
      <c r="B6" s="232" t="s">
        <v>1069</v>
      </c>
      <c r="C6" s="95"/>
      <c r="D6" s="95"/>
      <c r="E6" s="95"/>
      <c r="F6" s="95"/>
      <c r="G6" s="95"/>
      <c r="H6" s="97"/>
      <c r="I6" s="39">
        <f t="shared" si="1"/>
        <v>0</v>
      </c>
      <c r="J6" s="16"/>
      <c r="K6" s="80"/>
      <c r="L6" s="80"/>
    </row>
    <row r="7">
      <c r="A7" s="232"/>
      <c r="B7" s="326" t="str">
        <f>HYPERLINK("http://codeforces.com/contest/467/problem/D","CF467-D2-D")</f>
        <v>CF467-D2-D</v>
      </c>
      <c r="C7" s="95"/>
      <c r="D7" s="95"/>
      <c r="E7" s="95"/>
      <c r="F7" s="95"/>
      <c r="G7" s="95"/>
      <c r="H7" s="97"/>
      <c r="I7" s="39">
        <f t="shared" si="1"/>
        <v>0</v>
      </c>
      <c r="J7" s="16"/>
      <c r="K7" s="80"/>
      <c r="L7" s="80"/>
    </row>
    <row r="8">
      <c r="A8" s="232"/>
      <c r="B8" s="232" t="s">
        <v>1073</v>
      </c>
      <c r="C8" s="95"/>
      <c r="D8" s="95"/>
      <c r="E8" s="95"/>
      <c r="F8" s="95"/>
      <c r="G8" s="95"/>
      <c r="H8" s="97"/>
      <c r="I8" s="39">
        <f t="shared" si="1"/>
        <v>0</v>
      </c>
      <c r="J8" s="16"/>
      <c r="K8" s="80"/>
      <c r="L8" s="80"/>
    </row>
    <row r="9">
      <c r="A9" s="273" t="s">
        <v>1074</v>
      </c>
      <c r="B9" s="327" t="str">
        <f>HYPERLINK("http://codeforces.com/contest/676/problem/D","CF676-D2-D")</f>
        <v>CF676-D2-D</v>
      </c>
      <c r="C9" s="95"/>
      <c r="D9" s="95"/>
      <c r="E9" s="95"/>
      <c r="F9" s="95"/>
      <c r="G9" s="95"/>
      <c r="H9" s="97"/>
      <c r="I9" s="39">
        <f t="shared" si="1"/>
        <v>0</v>
      </c>
      <c r="J9" s="111"/>
      <c r="K9" s="112"/>
      <c r="L9" s="80"/>
    </row>
    <row r="10">
      <c r="A10" s="273" t="s">
        <v>1077</v>
      </c>
      <c r="B10" s="328" t="str">
        <f>HYPERLINK("http://codeforces.com/contest/418/problem/B","CF418-D1-B")</f>
        <v>CF418-D1-B</v>
      </c>
      <c r="C10" s="95"/>
      <c r="D10" s="95"/>
      <c r="E10" s="95"/>
      <c r="F10" s="95"/>
      <c r="G10" s="95"/>
      <c r="H10" s="97"/>
      <c r="I10" s="39">
        <f t="shared" si="1"/>
        <v>0</v>
      </c>
      <c r="J10" s="49"/>
      <c r="K10" s="36"/>
      <c r="L10" s="80"/>
    </row>
    <row r="11">
      <c r="A11" s="273" t="s">
        <v>1080</v>
      </c>
      <c r="B11" s="328" t="str">
        <f>HYPERLINK("https://uva.onlinejudge.org/index.php?option=onlinejudge&amp;page=show_problem&amp;problem=1421","UVA 10480")</f>
        <v>UVA 10480</v>
      </c>
      <c r="C11" s="95"/>
      <c r="D11" s="95"/>
      <c r="E11" s="95"/>
      <c r="F11" s="95"/>
      <c r="G11" s="95"/>
      <c r="H11" s="97"/>
      <c r="I11" s="39">
        <f t="shared" si="1"/>
        <v>0</v>
      </c>
      <c r="J11" s="49"/>
      <c r="K11" s="36"/>
      <c r="L11" s="80"/>
      <c r="M11" s="269" t="str">
        <f>HYPERLINK("https://github.com/abdullaAshraf/Problem-Solving/blob/master/UVA/10480.cpp","Sol")</f>
        <v>Sol</v>
      </c>
    </row>
    <row r="12">
      <c r="A12" s="238"/>
      <c r="B12" s="273" t="s">
        <v>1083</v>
      </c>
      <c r="C12" s="95"/>
      <c r="D12" s="95"/>
      <c r="E12" s="95"/>
      <c r="F12" s="95"/>
      <c r="G12" s="95"/>
      <c r="H12" s="97"/>
      <c r="I12" s="39">
        <f t="shared" si="1"/>
        <v>0</v>
      </c>
      <c r="J12" s="49"/>
      <c r="K12" s="36"/>
      <c r="L12" s="80"/>
    </row>
    <row r="13">
      <c r="A13" s="330" t="s">
        <v>982</v>
      </c>
      <c r="B13" s="331" t="str">
        <f>HYPERLINK("https://uva.onlinejudge.org/index.php?option=onlinejudge&amp;page=show_problem&amp;problem=4330","UVA 1555")</f>
        <v>UVA 1555</v>
      </c>
      <c r="C13" s="95"/>
      <c r="D13" s="95"/>
      <c r="E13" s="95"/>
      <c r="F13" s="95"/>
      <c r="G13" s="95"/>
      <c r="H13" s="97"/>
      <c r="I13" s="39">
        <f t="shared" si="1"/>
        <v>0</v>
      </c>
      <c r="J13" s="111"/>
      <c r="K13" s="112"/>
      <c r="L13" s="80"/>
      <c r="M13" s="269" t="str">
        <f>HYPERLINK("https://github.com/achrafmam2/CompetitiveProgramming/blob/master/UVA/1555.cc","Sol")</f>
        <v>Sol</v>
      </c>
    </row>
    <row r="14">
      <c r="A14" s="330"/>
      <c r="B14" s="332" t="str">
        <f>HYPERLINK("http://codeforces.com/gym/101589/problem/F","CF101589-GYM-F")</f>
        <v>CF101589-GYM-F</v>
      </c>
      <c r="C14" s="95"/>
      <c r="D14" s="95"/>
      <c r="E14" s="95"/>
      <c r="F14" s="95"/>
      <c r="G14" s="95"/>
      <c r="H14" s="97"/>
      <c r="I14" s="39">
        <f t="shared" si="1"/>
        <v>0</v>
      </c>
      <c r="J14" s="111"/>
      <c r="K14" s="112"/>
      <c r="L14" s="80"/>
      <c r="M14" s="269" t="str">
        <f>HYPERLINK("https://github.com/SpeedOfMagic/CompetitiveProgramming/blob/master/CodeforcesGym/CF101589-GYM-F.cpp","Sol")</f>
        <v>Sol</v>
      </c>
    </row>
    <row r="15">
      <c r="A15" s="330"/>
      <c r="B15" s="332" t="str">
        <f>HYPERLINK("http://codeforces.com/problemset/problem/1016/D","CF1016-D12-D")</f>
        <v>CF1016-D12-D</v>
      </c>
      <c r="C15" s="95"/>
      <c r="D15" s="95"/>
      <c r="E15" s="95"/>
      <c r="F15" s="95"/>
      <c r="G15" s="95"/>
      <c r="H15" s="97"/>
      <c r="I15" s="39">
        <f t="shared" si="1"/>
        <v>0</v>
      </c>
      <c r="J15" s="111"/>
      <c r="K15" s="112"/>
      <c r="L15" s="80"/>
    </row>
    <row r="16">
      <c r="A16" s="330"/>
      <c r="B16" s="332" t="str">
        <f>HYPERLINK("http://codeforces.com/contest/26/problem/D","CF26-D12-D")</f>
        <v>CF26-D12-D</v>
      </c>
      <c r="C16" s="95"/>
      <c r="D16" s="95"/>
      <c r="E16" s="95"/>
      <c r="F16" s="95"/>
      <c r="G16" s="95"/>
      <c r="H16" s="97"/>
      <c r="I16" s="39">
        <f t="shared" si="1"/>
        <v>0</v>
      </c>
      <c r="J16" s="111"/>
      <c r="K16" s="112"/>
      <c r="L16" s="80"/>
      <c r="M16" s="269" t="str">
        <f>HYPERLINK("https://github.com/mostafa-saad/MyCompetitiveProgramming/blob/master/Codeforces/CF26-D12-D.txt","Sol - must read")</f>
        <v>Sol - must read</v>
      </c>
    </row>
    <row r="17">
      <c r="A17" s="330"/>
      <c r="B17" s="332" t="str">
        <f>HYPERLINK("http://codeforces.com/contest/1012/problem/B","CF1012-D1-B")</f>
        <v>CF1012-D1-B</v>
      </c>
      <c r="C17" s="95"/>
      <c r="D17" s="95"/>
      <c r="E17" s="95"/>
      <c r="F17" s="95"/>
      <c r="G17" s="95"/>
      <c r="H17" s="97"/>
      <c r="I17" s="39">
        <f t="shared" si="1"/>
        <v>0</v>
      </c>
      <c r="J17" s="111"/>
      <c r="K17" s="112"/>
      <c r="L17" s="80"/>
    </row>
    <row r="18">
      <c r="A18" s="330"/>
      <c r="B18" s="332" t="str">
        <f>HYPERLINK("http://codeforces.com/contest/1010/problem/C","CF1010-D1-C")</f>
        <v>CF1010-D1-C</v>
      </c>
      <c r="C18" s="95"/>
      <c r="D18" s="95"/>
      <c r="E18" s="95"/>
      <c r="F18" s="95"/>
      <c r="G18" s="95"/>
      <c r="H18" s="97"/>
      <c r="I18" s="39">
        <f t="shared" si="1"/>
        <v>0</v>
      </c>
      <c r="J18" s="111"/>
      <c r="K18" s="112"/>
      <c r="L18" s="80"/>
    </row>
    <row r="19">
      <c r="A19" s="330"/>
      <c r="B19" s="332" t="str">
        <f>HYPERLINK("http://codeforces.com/contest/633/problem/D","CF633-D12-D")</f>
        <v>CF633-D12-D</v>
      </c>
      <c r="C19" s="95"/>
      <c r="D19" s="95"/>
      <c r="E19" s="95"/>
      <c r="F19" s="95"/>
      <c r="G19" s="95"/>
      <c r="H19" s="97"/>
      <c r="I19" s="39">
        <f t="shared" si="1"/>
        <v>0</v>
      </c>
      <c r="J19" s="111"/>
      <c r="K19" s="112"/>
      <c r="L19" s="80"/>
    </row>
    <row r="20">
      <c r="A20" s="330"/>
      <c r="B20" s="332" t="str">
        <f>HYPERLINK("https://www.hackerrank.com/challenges/house-location","HACKR house-location")</f>
        <v>HACKR house-location</v>
      </c>
      <c r="C20" s="95"/>
      <c r="D20" s="95"/>
      <c r="E20" s="95"/>
      <c r="F20" s="95"/>
      <c r="G20" s="95"/>
      <c r="H20" s="97"/>
      <c r="I20" s="39">
        <f t="shared" si="1"/>
        <v>0</v>
      </c>
      <c r="J20" s="111"/>
      <c r="K20" s="112"/>
      <c r="L20" s="80"/>
      <c r="M20" s="269" t="str">
        <f>HYPERLINK("https://github.com/arvindr9/CompetitiveProgramming/blob/master/Hackerrank/HACKR%20house-location.cpp","Sol")</f>
        <v>Sol</v>
      </c>
    </row>
    <row r="21">
      <c r="A21" s="330"/>
      <c r="B21" s="332" t="str">
        <f>HYPERLINK("http://codeforces.com/contest/621/problem/D","CF621-D2-D")</f>
        <v>CF621-D2-D</v>
      </c>
      <c r="C21" s="95"/>
      <c r="D21" s="95"/>
      <c r="E21" s="95"/>
      <c r="F21" s="95"/>
      <c r="G21" s="95"/>
      <c r="H21" s="97"/>
      <c r="I21" s="39">
        <f t="shared" si="1"/>
        <v>0</v>
      </c>
      <c r="J21" s="111"/>
      <c r="K21" s="112"/>
      <c r="L21" s="80"/>
      <c r="M21" s="269" t="str">
        <f>HYPERLINK("https://github.com/MedoN11/CompetitiveProgramming/blob/master/CodeForces/CF621-D2-D-Complex.cpp","Sol")</f>
        <v>Sol</v>
      </c>
    </row>
    <row r="22">
      <c r="A22" s="92"/>
      <c r="C22" s="95"/>
      <c r="D22" s="95"/>
      <c r="E22" s="95"/>
      <c r="F22" s="95"/>
      <c r="G22" s="95"/>
      <c r="H22" s="97"/>
      <c r="I22" s="39">
        <f t="shared" si="1"/>
        <v>0</v>
      </c>
      <c r="J22" s="49"/>
      <c r="K22" s="36"/>
      <c r="L22" s="80"/>
    </row>
    <row r="23">
      <c r="A23" s="92" t="s">
        <v>1087</v>
      </c>
      <c r="B23" s="329" t="str">
        <f>HYPERLINK("http://codeforces.com/contest/681/problem/D","CF681-D2-D")</f>
        <v>CF681-D2-D</v>
      </c>
      <c r="C23" s="95"/>
      <c r="D23" s="95"/>
      <c r="E23" s="95"/>
      <c r="F23" s="95"/>
      <c r="G23" s="95"/>
      <c r="H23" s="97"/>
      <c r="I23" s="39">
        <f t="shared" si="1"/>
        <v>0</v>
      </c>
      <c r="J23" s="49"/>
      <c r="K23" s="36"/>
      <c r="L23" s="80"/>
    </row>
    <row r="24">
      <c r="A24" s="92" t="s">
        <v>1089</v>
      </c>
      <c r="B24" s="329" t="str">
        <f>HYPERLINK("http://codeforces.com/contest/447/problem/D","CF447-D2-D")</f>
        <v>CF447-D2-D</v>
      </c>
      <c r="C24" s="95"/>
      <c r="D24" s="95"/>
      <c r="E24" s="95"/>
      <c r="F24" s="95"/>
      <c r="G24" s="95"/>
      <c r="H24" s="97"/>
      <c r="I24" s="39">
        <f t="shared" si="1"/>
        <v>0</v>
      </c>
      <c r="J24" s="49"/>
      <c r="K24" s="36"/>
      <c r="M24" s="5" t="s">
        <v>1090</v>
      </c>
    </row>
    <row r="25">
      <c r="A25" s="92" t="s">
        <v>1091</v>
      </c>
      <c r="B25" s="329" t="str">
        <f>HYPERLINK("http://codeforces.com/contest/548/problem/D","CF548-D2-D")</f>
        <v>CF548-D2-D</v>
      </c>
      <c r="C25" s="95"/>
      <c r="D25" s="95"/>
      <c r="E25" s="95"/>
      <c r="F25" s="95"/>
      <c r="G25" s="95"/>
      <c r="H25" s="97"/>
      <c r="I25" s="39">
        <f t="shared" si="1"/>
        <v>0</v>
      </c>
      <c r="J25" s="49"/>
      <c r="K25" s="36"/>
    </row>
    <row r="26">
      <c r="A26" s="92" t="s">
        <v>1092</v>
      </c>
      <c r="B26" s="329" t="str">
        <f>HYPERLINK("http://codeforces.com/contest/285/problem/D","CF285-D2-D")</f>
        <v>CF285-D2-D</v>
      </c>
      <c r="C26" s="95"/>
      <c r="D26" s="95"/>
      <c r="E26" s="95"/>
      <c r="F26" s="95"/>
      <c r="G26" s="95"/>
      <c r="H26" s="97"/>
      <c r="I26" s="39">
        <f t="shared" si="1"/>
        <v>0</v>
      </c>
      <c r="J26" s="49"/>
      <c r="K26" s="36"/>
    </row>
    <row r="27">
      <c r="A27" s="92" t="s">
        <v>1094</v>
      </c>
      <c r="B27" s="329" t="str">
        <f>HYPERLINK("http://codeforces.com/contest/435/problem/D","CF435-D2-D")</f>
        <v>CF435-D2-D</v>
      </c>
      <c r="C27" s="95"/>
      <c r="D27" s="95"/>
      <c r="E27" s="95"/>
      <c r="F27" s="95"/>
      <c r="G27" s="95"/>
      <c r="H27" s="97"/>
      <c r="I27" s="39">
        <f t="shared" si="1"/>
        <v>0</v>
      </c>
      <c r="J27" s="49"/>
      <c r="K27" s="36"/>
    </row>
    <row r="28">
      <c r="A28" s="92" t="s">
        <v>1095</v>
      </c>
      <c r="B28" s="329" t="str">
        <f>HYPERLINK("http://codeforces.com/contest/401/problem/D","CF401-D2-D")</f>
        <v>CF401-D2-D</v>
      </c>
      <c r="C28" s="95"/>
      <c r="D28" s="95"/>
      <c r="E28" s="95"/>
      <c r="F28" s="95"/>
      <c r="G28" s="95"/>
      <c r="H28" s="97"/>
      <c r="I28" s="39">
        <f t="shared" si="1"/>
        <v>0</v>
      </c>
      <c r="J28" s="49"/>
      <c r="K28" s="36"/>
    </row>
    <row r="29">
      <c r="A29" s="92" t="s">
        <v>1096</v>
      </c>
      <c r="B29" s="329" t="str">
        <f>HYPERLINK("http://codeforces.com/contest/707/problem/D","CF707-D2-D")</f>
        <v>CF707-D2-D</v>
      </c>
      <c r="C29" s="95"/>
      <c r="D29" s="95"/>
      <c r="E29" s="95"/>
      <c r="F29" s="95"/>
      <c r="G29" s="95"/>
      <c r="H29" s="97"/>
      <c r="I29" s="39">
        <f t="shared" si="1"/>
        <v>0</v>
      </c>
      <c r="J29" s="49"/>
      <c r="K29" s="36"/>
      <c r="M29" s="269" t="str">
        <f>HYPERLINK("https://github.com/AbdelrahmanRamadan/competitive-programming/blob/master/Codeforces/CF707-D2-D.cpp","Sol")</f>
        <v>Sol</v>
      </c>
    </row>
    <row r="30">
      <c r="A30" s="105" t="s">
        <v>1098</v>
      </c>
      <c r="B30" s="107" t="str">
        <f>HYPERLINK("http://codeforces.com/contest/550/problem/D","CF550-D2-D")</f>
        <v>CF550-D2-D</v>
      </c>
      <c r="C30" s="95"/>
      <c r="D30" s="95"/>
      <c r="E30" s="95"/>
      <c r="F30" s="95"/>
      <c r="G30" s="95"/>
      <c r="H30" s="97"/>
      <c r="I30" s="39">
        <f t="shared" si="1"/>
        <v>0</v>
      </c>
      <c r="J30" s="111"/>
      <c r="K30" s="112"/>
      <c r="M30" s="80"/>
    </row>
    <row r="31">
      <c r="A31" s="105"/>
      <c r="B31" s="107" t="str">
        <f>HYPERLINK("https://codeforces.com/contest/1059/problem/D","CF1059-D2-D")</f>
        <v>CF1059-D2-D</v>
      </c>
      <c r="C31" s="95"/>
      <c r="D31" s="95"/>
      <c r="E31" s="95"/>
      <c r="F31" s="95"/>
      <c r="G31" s="95"/>
      <c r="H31" s="97"/>
      <c r="I31" s="39">
        <f t="shared" si="1"/>
        <v>0</v>
      </c>
      <c r="J31" s="111"/>
      <c r="K31" s="112"/>
      <c r="M31" s="80"/>
    </row>
    <row r="32">
      <c r="A32" s="137" t="s">
        <v>1100</v>
      </c>
      <c r="B32" s="298" t="str">
        <f>HYPERLINK("http://codeforces.com/contest/255/problem/C","CF255-D2-C")</f>
        <v>CF255-D2-C</v>
      </c>
      <c r="C32" s="95"/>
      <c r="D32" s="95"/>
      <c r="E32" s="95"/>
      <c r="F32" s="95"/>
      <c r="G32" s="95"/>
      <c r="H32" s="97"/>
      <c r="I32" s="39">
        <f t="shared" si="1"/>
        <v>0</v>
      </c>
      <c r="J32" s="111"/>
      <c r="K32" s="112"/>
      <c r="M32" s="80"/>
    </row>
    <row r="33">
      <c r="A33" s="137" t="s">
        <v>1102</v>
      </c>
      <c r="B33" s="298" t="str">
        <f>HYPERLINK("http://codeforces.com/contest/59/problem/C","CF59-D2-C")</f>
        <v>CF59-D2-C</v>
      </c>
      <c r="C33" s="95"/>
      <c r="D33" s="95"/>
      <c r="E33" s="95"/>
      <c r="F33" s="95"/>
      <c r="G33" s="95"/>
      <c r="H33" s="97"/>
      <c r="I33" s="39">
        <f t="shared" si="1"/>
        <v>0</v>
      </c>
      <c r="J33" s="111"/>
      <c r="K33" s="112"/>
      <c r="M33" s="80"/>
    </row>
    <row r="34">
      <c r="A34" s="137" t="s">
        <v>1103</v>
      </c>
      <c r="B34" s="298" t="str">
        <f>HYPERLINK("http://codeforces.com/contest/495/problem/C","CF495-D2-C")</f>
        <v>CF495-D2-C</v>
      </c>
      <c r="C34" s="95"/>
      <c r="D34" s="95"/>
      <c r="E34" s="95"/>
      <c r="F34" s="95"/>
      <c r="G34" s="95"/>
      <c r="H34" s="97"/>
      <c r="I34" s="39">
        <f t="shared" si="1"/>
        <v>0</v>
      </c>
      <c r="J34" s="111"/>
      <c r="K34" s="112"/>
      <c r="M34" s="80"/>
    </row>
    <row r="35">
      <c r="A35" s="92"/>
      <c r="C35" s="95"/>
      <c r="D35" s="95"/>
      <c r="E35" s="95"/>
      <c r="F35" s="95"/>
      <c r="G35" s="95"/>
      <c r="H35" s="97"/>
      <c r="I35" s="39">
        <f t="shared" si="1"/>
        <v>0</v>
      </c>
      <c r="J35" s="49"/>
      <c r="K35" s="36"/>
      <c r="M35" s="80"/>
    </row>
    <row r="36">
      <c r="A36" s="236" t="s">
        <v>1104</v>
      </c>
      <c r="B36" s="338" t="str">
        <f>HYPERLINK("http://acm.zju.edu.cn/onlinejudge/showProblem.do?problemCode=2587","ZOJ 2587")</f>
        <v>ZOJ 2587</v>
      </c>
      <c r="C36" s="95"/>
      <c r="D36" s="95"/>
      <c r="E36" s="95"/>
      <c r="F36" s="95"/>
      <c r="G36" s="95"/>
      <c r="H36" s="97"/>
      <c r="I36" s="39">
        <f t="shared" si="1"/>
        <v>0</v>
      </c>
      <c r="J36" s="49"/>
      <c r="K36" s="36"/>
      <c r="M36" s="80"/>
    </row>
    <row r="37">
      <c r="A37" s="236" t="s">
        <v>1106</v>
      </c>
      <c r="B37" s="339" t="str">
        <f>HYPERLINK("http://www.spoj.com/problems/DCEPC12E","SPOJ DCEPC12E")</f>
        <v>SPOJ DCEPC12E</v>
      </c>
      <c r="C37" s="95"/>
      <c r="D37" s="95"/>
      <c r="E37" s="95"/>
      <c r="F37" s="95"/>
      <c r="G37" s="95"/>
      <c r="H37" s="97"/>
      <c r="I37" s="39">
        <f t="shared" si="1"/>
        <v>0</v>
      </c>
      <c r="J37" s="49"/>
      <c r="K37" s="36"/>
      <c r="M37" s="80"/>
    </row>
    <row r="38">
      <c r="A38" s="236" t="s">
        <v>1107</v>
      </c>
      <c r="B38" s="328" t="str">
        <f>HYPERLINK("https://uva.onlinejudge.org/index.php?option=onlinejudge&amp;page=show_problem&amp;problem=563","UVA 622")</f>
        <v>UVA 622</v>
      </c>
      <c r="C38" s="95"/>
      <c r="D38" s="95"/>
      <c r="E38" s="95"/>
      <c r="F38" s="95"/>
      <c r="G38" s="95"/>
      <c r="H38" s="97"/>
      <c r="I38" s="39">
        <f t="shared" si="1"/>
        <v>0</v>
      </c>
      <c r="J38" s="49"/>
      <c r="K38" s="36"/>
      <c r="M38" s="269" t="str">
        <f>HYPERLINK("https://github.com/mostafa-saad/MyCompetitiveProgramming/blob/master/UVA/622.cpp","Sol")</f>
        <v>Sol</v>
      </c>
    </row>
    <row r="39">
      <c r="A39" s="236" t="s">
        <v>1109</v>
      </c>
      <c r="B39" s="328" t="str">
        <f>HYPERLINK("https://uva.onlinejudge.org/index.php?option=com_onlinejudge&amp;Itemid=8&amp;page=show_problem&amp;problem=1052","UVA 10111")</f>
        <v>UVA 10111</v>
      </c>
      <c r="C39" s="95"/>
      <c r="D39" s="95"/>
      <c r="E39" s="95"/>
      <c r="F39" s="95"/>
      <c r="G39" s="95"/>
      <c r="H39" s="97"/>
      <c r="I39" s="39">
        <f t="shared" si="1"/>
        <v>0</v>
      </c>
      <c r="J39" s="49"/>
      <c r="K39" s="36"/>
      <c r="M39" s="269" t="str">
        <f>HYPERLINK("https://github.com/mostafa-saad/MyCompetitiveProgramming/blob/master/UVA/UVA_10111.txt","Sol")</f>
        <v>Sol</v>
      </c>
    </row>
    <row r="40">
      <c r="A40" s="236" t="s">
        <v>1112</v>
      </c>
      <c r="B40" s="341" t="str">
        <f>HYPERLINK("http://poj.org/problem?id=2151","PKU 2151")</f>
        <v>PKU 2151</v>
      </c>
      <c r="C40" s="95"/>
      <c r="D40" s="95"/>
      <c r="E40" s="95"/>
      <c r="F40" s="95"/>
      <c r="G40" s="95"/>
      <c r="H40" s="97"/>
      <c r="I40" s="39">
        <f t="shared" si="1"/>
        <v>0</v>
      </c>
      <c r="J40" s="111"/>
      <c r="K40" s="112"/>
      <c r="M40" s="269" t="str">
        <f>HYPERLINK("https://github.com/mostafa-saad/MyCompetitiveProgramming/blob/master/PKU/PKU_2151.txt","Sol")</f>
        <v>Sol</v>
      </c>
    </row>
    <row r="41">
      <c r="A41" s="236" t="s">
        <v>1115</v>
      </c>
      <c r="B41" s="339" t="str">
        <f>HYPERLINK("https://uva.onlinejudge.org/index.php?option=com_onlinejudge&amp;Itemid=8&amp;page=show_problem&amp;problem=3319","UVA 12167")</f>
        <v>UVA 12167</v>
      </c>
      <c r="C41" s="95"/>
      <c r="D41" s="95"/>
      <c r="E41" s="95"/>
      <c r="F41" s="95"/>
      <c r="G41" s="95"/>
      <c r="H41" s="97"/>
      <c r="I41" s="39">
        <f t="shared" si="1"/>
        <v>0</v>
      </c>
      <c r="J41" s="49"/>
      <c r="K41" s="36"/>
      <c r="M41" s="269" t="str">
        <f>HYPERLINK("https://github.com/abdullaAshraf/Problem-Solving/blob/master/UVA/12167.cpp","Sol")</f>
        <v>Sol</v>
      </c>
    </row>
    <row r="42">
      <c r="A42" s="236" t="s">
        <v>1117</v>
      </c>
      <c r="B42" s="328" t="str">
        <f>HYPERLINK("https://uva.onlinejudge.org/index.php?option=onlinejudge&amp;page=show_problem&amp;problem=488","UVA 547")</f>
        <v>UVA 547</v>
      </c>
      <c r="C42" s="95"/>
      <c r="D42" s="95"/>
      <c r="E42" s="95"/>
      <c r="F42" s="95"/>
      <c r="G42" s="95"/>
      <c r="H42" s="97"/>
      <c r="I42" s="39">
        <f t="shared" si="1"/>
        <v>0</v>
      </c>
      <c r="J42" s="49"/>
      <c r="K42" s="36"/>
    </row>
    <row r="43">
      <c r="A43" s="236" t="s">
        <v>1120</v>
      </c>
      <c r="B43" s="341" t="str">
        <f>HYPERLINK("https://uva.onlinejudge.org/index.php?option=onlinejudge&amp;page=show_problem&amp;problem=2499","UVA 11504")</f>
        <v>UVA 11504</v>
      </c>
      <c r="C43" s="95"/>
      <c r="D43" s="95"/>
      <c r="E43" s="95"/>
      <c r="F43" s="95"/>
      <c r="G43" s="95"/>
      <c r="H43" s="97"/>
      <c r="I43" s="39">
        <f t="shared" si="1"/>
        <v>0</v>
      </c>
      <c r="J43" s="111"/>
      <c r="K43" s="112"/>
      <c r="M43" s="269" t="str">
        <f>HYPERLINK("https://github.com/mostafa-saad/MyCompetitiveProgramming/blob/master/UVA/UVA_11504.txt","Sol")</f>
        <v>Sol</v>
      </c>
    </row>
    <row r="44">
      <c r="A44" s="236"/>
      <c r="B44" s="236" t="s">
        <v>1121</v>
      </c>
      <c r="C44" s="95"/>
      <c r="D44" s="95"/>
      <c r="E44" s="95"/>
      <c r="F44" s="95"/>
      <c r="G44" s="95"/>
      <c r="H44" s="97"/>
      <c r="I44" s="39">
        <f t="shared" si="1"/>
        <v>0</v>
      </c>
      <c r="J44" s="111"/>
      <c r="K44" s="112"/>
    </row>
    <row r="45">
      <c r="A45" s="236" t="s">
        <v>1122</v>
      </c>
      <c r="B45" s="237" t="str">
        <f>HYPERLINK("https://uva.onlinejudge.org/index.php?option=com_onlinejudge&amp;Itemid=8&amp;page=show_problem&amp;problem=2117","UVA 11176")</f>
        <v>UVA 11176</v>
      </c>
      <c r="C45" s="95"/>
      <c r="D45" s="95"/>
      <c r="E45" s="95"/>
      <c r="F45" s="95"/>
      <c r="G45" s="95"/>
      <c r="H45" s="97"/>
      <c r="I45" s="39">
        <f t="shared" si="1"/>
        <v>0</v>
      </c>
      <c r="J45" s="16"/>
      <c r="K45" s="80"/>
      <c r="M45" s="269" t="str">
        <f>HYPERLINK("https://github.com/VAMPIER000001/CompetitiveProgramming/blob/master/UVA/V-111/UVA%2011176.cpp","Sol")</f>
        <v>Sol</v>
      </c>
    </row>
    <row r="46">
      <c r="A46" s="236"/>
      <c r="B46" s="236" t="s">
        <v>1123</v>
      </c>
      <c r="C46" s="95"/>
      <c r="D46" s="95"/>
      <c r="E46" s="95"/>
      <c r="F46" s="95"/>
      <c r="G46" s="95"/>
      <c r="H46" s="97"/>
      <c r="I46" s="39">
        <f t="shared" si="1"/>
        <v>0</v>
      </c>
      <c r="J46" s="16"/>
      <c r="K46" s="80"/>
    </row>
    <row r="47">
      <c r="A47" s="236"/>
      <c r="B47" s="236" t="s">
        <v>1124</v>
      </c>
      <c r="C47" s="95"/>
      <c r="D47" s="95"/>
      <c r="E47" s="95"/>
      <c r="F47" s="95"/>
      <c r="G47" s="95"/>
      <c r="H47" s="97"/>
      <c r="I47" s="39">
        <f t="shared" si="1"/>
        <v>0</v>
      </c>
      <c r="J47" s="16"/>
      <c r="K47" s="80"/>
      <c r="M47" s="269" t="str">
        <f>HYPERLINK("https://github.com/yazanKabbany/CompetitiveProgramming/blob/master/Topcoder/SRM465-D1-500.cpp","Sol")</f>
        <v>Sol</v>
      </c>
    </row>
    <row r="48">
      <c r="A48" s="236"/>
      <c r="B48" s="236" t="s">
        <v>1128</v>
      </c>
      <c r="C48" s="95"/>
      <c r="D48" s="95"/>
      <c r="E48" s="95"/>
      <c r="F48" s="95"/>
      <c r="G48" s="95"/>
      <c r="H48" s="97"/>
      <c r="I48" s="39">
        <f t="shared" si="1"/>
        <v>0</v>
      </c>
      <c r="J48" s="16"/>
      <c r="K48" s="80"/>
      <c r="M48" s="269" t="str">
        <f>HYPERLINK("https://github.com/mostafa-saad/MyCompetitiveProgramming/blob/master/UVA/UVA_10740.txt","Sol")</f>
        <v>Sol</v>
      </c>
    </row>
    <row r="49">
      <c r="A49" s="236"/>
      <c r="B49" s="236" t="s">
        <v>1132</v>
      </c>
      <c r="C49" s="95"/>
      <c r="D49" s="95"/>
      <c r="E49" s="95"/>
      <c r="F49" s="95"/>
      <c r="G49" s="95"/>
      <c r="H49" s="97"/>
      <c r="I49" s="39">
        <f t="shared" si="1"/>
        <v>0</v>
      </c>
      <c r="J49" s="16"/>
      <c r="K49" s="80"/>
    </row>
    <row r="50">
      <c r="A50" s="236"/>
      <c r="B50" s="236" t="s">
        <v>1133</v>
      </c>
      <c r="C50" s="95"/>
      <c r="D50" s="95"/>
      <c r="E50" s="95"/>
      <c r="F50" s="95"/>
      <c r="G50" s="95"/>
      <c r="H50" s="97"/>
      <c r="I50" s="39">
        <f t="shared" si="1"/>
        <v>0</v>
      </c>
      <c r="J50" s="16"/>
      <c r="K50" s="80"/>
    </row>
    <row r="51">
      <c r="A51" s="236"/>
      <c r="B51" s="236" t="s">
        <v>1134</v>
      </c>
      <c r="C51" s="95"/>
      <c r="D51" s="95"/>
      <c r="E51" s="95"/>
      <c r="F51" s="95"/>
      <c r="G51" s="95"/>
      <c r="H51" s="97"/>
      <c r="I51" s="39">
        <f t="shared" si="1"/>
        <v>0</v>
      </c>
      <c r="J51" s="16"/>
      <c r="K51" s="80"/>
      <c r="M51" s="269" t="str">
        <f>HYPERLINK("https://github.com/morris821028/UVa/blob/master/volume013/1342%20-%20That%20Nice%20Euler%20Circuit.cpp","Sol")</f>
        <v>Sol</v>
      </c>
    </row>
    <row r="52">
      <c r="A52" s="236"/>
      <c r="B52" s="237" t="str">
        <f>HYPERLINK("http://codeforces.com/gym/101589/problem/H","CF101589-GYM-H")</f>
        <v>CF101589-GYM-H</v>
      </c>
      <c r="C52" s="95"/>
      <c r="D52" s="95"/>
      <c r="E52" s="95"/>
      <c r="F52" s="95"/>
      <c r="G52" s="95"/>
      <c r="H52" s="97"/>
      <c r="I52" s="39">
        <f t="shared" si="1"/>
        <v>0</v>
      </c>
      <c r="J52" s="16"/>
      <c r="K52" s="80"/>
      <c r="M52" s="269" t="str">
        <f>HYPERLINK("https://github.com/SpeedOfMagic/CompetitiveProgramming/blob/master/CodeforcesGym/CF101589-GYM-H.cpp","Sol")</f>
        <v>Sol</v>
      </c>
    </row>
    <row r="53">
      <c r="A53" s="236"/>
      <c r="B53" s="237" t="str">
        <f>HYPERLINK("http://codeforces.com/contest/811/problem/D","CF811-D2-D")</f>
        <v>CF811-D2-D</v>
      </c>
      <c r="C53" s="95"/>
      <c r="D53" s="95"/>
      <c r="E53" s="95"/>
      <c r="F53" s="95"/>
      <c r="G53" s="95"/>
      <c r="H53" s="97"/>
      <c r="I53" s="39">
        <f t="shared" si="1"/>
        <v>0</v>
      </c>
      <c r="J53" s="16"/>
      <c r="K53" s="80"/>
    </row>
    <row r="54">
      <c r="A54" s="236"/>
      <c r="B54" s="237" t="str">
        <f>HYPERLINK("https://beta.atcoder.jp/contests/agc026/tasks/agc026_b","AtCoder026-AGC-B")</f>
        <v>AtCoder026-AGC-B</v>
      </c>
      <c r="C54" s="95"/>
      <c r="D54" s="95"/>
      <c r="E54" s="95"/>
      <c r="F54" s="95"/>
      <c r="G54" s="95"/>
      <c r="H54" s="97"/>
      <c r="I54" s="39">
        <f t="shared" si="1"/>
        <v>0</v>
      </c>
      <c r="J54" s="16"/>
      <c r="K54" s="80"/>
      <c r="M54" s="269" t="str">
        <f>HYPERLINK("https://github.com/dasannagariraja/CompetitiveProgramming/blob/master/AtCoder/AtCoder026-AGC-B.cpp","Sol")</f>
        <v>Sol</v>
      </c>
    </row>
    <row r="55">
      <c r="A55" s="92"/>
      <c r="B55" s="233"/>
      <c r="C55" s="95"/>
      <c r="D55" s="95"/>
      <c r="E55" s="95"/>
      <c r="F55" s="95"/>
      <c r="G55" s="95"/>
      <c r="H55" s="97"/>
      <c r="I55" s="39">
        <f t="shared" si="1"/>
        <v>0</v>
      </c>
      <c r="J55" s="49"/>
      <c r="K55" s="36"/>
      <c r="M55" s="80"/>
    </row>
    <row r="56">
      <c r="A56" s="92" t="s">
        <v>1184</v>
      </c>
      <c r="B56" s="329" t="str">
        <f>HYPERLINK("http://codeforces.com/contest/478/problem/D","CF478-D2-D")</f>
        <v>CF478-D2-D</v>
      </c>
      <c r="C56" s="95"/>
      <c r="D56" s="95"/>
      <c r="E56" s="95"/>
      <c r="F56" s="95"/>
      <c r="G56" s="95"/>
      <c r="H56" s="97"/>
      <c r="I56" s="39">
        <f t="shared" si="1"/>
        <v>0</v>
      </c>
      <c r="J56" s="49"/>
      <c r="K56" s="36"/>
      <c r="M56" s="80"/>
    </row>
    <row r="57">
      <c r="A57" s="92" t="s">
        <v>1186</v>
      </c>
      <c r="B57" s="329" t="str">
        <f>HYPERLINK("http://codeforces.com/contest/363/problem/D","CF363-D2-D")</f>
        <v>CF363-D2-D</v>
      </c>
      <c r="C57" s="95"/>
      <c r="D57" s="95"/>
      <c r="E57" s="95"/>
      <c r="F57" s="95"/>
      <c r="G57" s="95"/>
      <c r="H57" s="97"/>
      <c r="I57" s="39">
        <f t="shared" si="1"/>
        <v>0</v>
      </c>
      <c r="J57" s="49"/>
      <c r="K57" s="36"/>
      <c r="M57" s="80"/>
    </row>
    <row r="58">
      <c r="A58" s="105" t="s">
        <v>1187</v>
      </c>
      <c r="B58" s="107" t="str">
        <f>HYPERLINK("http://codeforces.com/contest/146/problem/D","CF146-D2-D")</f>
        <v>CF146-D2-D</v>
      </c>
      <c r="C58" s="95"/>
      <c r="D58" s="95"/>
      <c r="E58" s="95"/>
      <c r="F58" s="95"/>
      <c r="G58" s="95"/>
      <c r="H58" s="97"/>
      <c r="I58" s="39">
        <f t="shared" si="1"/>
        <v>0</v>
      </c>
      <c r="J58" s="111"/>
      <c r="K58" s="112"/>
      <c r="M58" s="80"/>
    </row>
    <row r="59">
      <c r="A59" s="92" t="s">
        <v>1189</v>
      </c>
      <c r="B59" s="329" t="str">
        <f>HYPERLINK("http://codeforces.com/contest/139/problem/D","CF139-D2-D")</f>
        <v>CF139-D2-D</v>
      </c>
      <c r="C59" s="95"/>
      <c r="D59" s="95"/>
      <c r="E59" s="95"/>
      <c r="F59" s="95"/>
      <c r="G59" s="95"/>
      <c r="H59" s="97"/>
      <c r="I59" s="39">
        <f t="shared" si="1"/>
        <v>0</v>
      </c>
      <c r="J59" s="49"/>
      <c r="K59" s="36"/>
      <c r="M59" s="80"/>
    </row>
    <row r="60">
      <c r="A60" s="105" t="s">
        <v>1190</v>
      </c>
      <c r="B60" s="107" t="str">
        <f>HYPERLINK("http://codeforces.com/contest/496/problem/D","CF496-D2-D")</f>
        <v>CF496-D2-D</v>
      </c>
      <c r="C60" s="95"/>
      <c r="D60" s="95"/>
      <c r="E60" s="95"/>
      <c r="F60" s="95"/>
      <c r="G60" s="95"/>
      <c r="H60" s="97"/>
      <c r="I60" s="39">
        <f t="shared" si="1"/>
        <v>0</v>
      </c>
      <c r="J60" s="111"/>
      <c r="K60" s="112"/>
      <c r="M60" s="80"/>
    </row>
    <row r="61">
      <c r="A61" s="105" t="s">
        <v>1192</v>
      </c>
      <c r="B61" s="107" t="str">
        <f>HYPERLINK("http://codeforces.com/contest/340/problem/D","CF340-D2-D")</f>
        <v>CF340-D2-D</v>
      </c>
      <c r="C61" s="95"/>
      <c r="D61" s="95"/>
      <c r="E61" s="95"/>
      <c r="F61" s="95"/>
      <c r="G61" s="95"/>
      <c r="H61" s="97"/>
      <c r="I61" s="39">
        <f t="shared" si="1"/>
        <v>0</v>
      </c>
      <c r="J61" s="111"/>
      <c r="K61" s="112"/>
      <c r="M61" s="80"/>
    </row>
    <row r="62">
      <c r="A62" s="92" t="s">
        <v>1193</v>
      </c>
      <c r="B62" s="329" t="str">
        <f>HYPERLINK("http://codeforces.com/contest/402/problem/D","CF402-D2-D")</f>
        <v>CF402-D2-D</v>
      </c>
      <c r="C62" s="95"/>
      <c r="D62" s="95"/>
      <c r="E62" s="95"/>
      <c r="F62" s="95"/>
      <c r="G62" s="95"/>
      <c r="H62" s="97"/>
      <c r="I62" s="39">
        <f t="shared" si="1"/>
        <v>0</v>
      </c>
      <c r="J62" s="49"/>
      <c r="K62" s="36"/>
      <c r="M62" s="80"/>
    </row>
    <row r="63">
      <c r="A63" s="92"/>
      <c r="B63" s="329" t="s">
        <v>1194</v>
      </c>
      <c r="C63" s="95"/>
      <c r="D63" s="95"/>
      <c r="E63" s="95"/>
      <c r="F63" s="95"/>
      <c r="G63" s="95"/>
      <c r="H63" s="97"/>
      <c r="I63" s="39">
        <f t="shared" si="1"/>
        <v>0</v>
      </c>
      <c r="J63" s="49"/>
      <c r="K63" s="36"/>
      <c r="M63" s="279" t="str">
        <f>HYPERLINK("https://github.com/magdy-hasan/competitive-programming/blob/master/Other/ZOJ%20Get%20Sauce.cpp","Sol")</f>
        <v>Sol</v>
      </c>
    </row>
    <row r="64">
      <c r="A64" s="92"/>
      <c r="B64" s="329" t="str">
        <f>HYPERLINK("http://codeforces.com/problemset/problem/1017/D","CF1017-D12-D")</f>
        <v>CF1017-D12-D</v>
      </c>
      <c r="C64" s="95"/>
      <c r="D64" s="95"/>
      <c r="E64" s="95"/>
      <c r="F64" s="95"/>
      <c r="G64" s="95"/>
      <c r="H64" s="97"/>
      <c r="I64" s="39">
        <f t="shared" si="1"/>
        <v>0</v>
      </c>
      <c r="J64" s="49"/>
      <c r="K64" s="36"/>
      <c r="M64" s="80"/>
    </row>
    <row r="65">
      <c r="A65" s="137" t="s">
        <v>1196</v>
      </c>
      <c r="B65" s="298" t="str">
        <f>HYPERLINK("http://codeforces.com/contest/69/problem/C","CF69-D2-C")</f>
        <v>CF69-D2-C</v>
      </c>
      <c r="C65" s="95"/>
      <c r="D65" s="95"/>
      <c r="E65" s="95"/>
      <c r="F65" s="95"/>
      <c r="G65" s="95"/>
      <c r="H65" s="97"/>
      <c r="I65" s="39">
        <f t="shared" si="1"/>
        <v>0</v>
      </c>
      <c r="J65" s="49"/>
      <c r="K65" s="36"/>
      <c r="M65" s="80"/>
    </row>
    <row r="66">
      <c r="A66" s="137" t="s">
        <v>1198</v>
      </c>
      <c r="B66" s="298" t="str">
        <f>HYPERLINK("http://codeforces.com/contest/322/problem/C","CF322-D2-C")</f>
        <v>CF322-D2-C</v>
      </c>
      <c r="C66" s="95"/>
      <c r="D66" s="95"/>
      <c r="E66" s="95"/>
      <c r="F66" s="95"/>
      <c r="G66" s="95"/>
      <c r="H66" s="97"/>
      <c r="I66" s="39">
        <f t="shared" si="1"/>
        <v>0</v>
      </c>
      <c r="J66" s="49"/>
      <c r="K66" s="36"/>
      <c r="M66" s="80"/>
    </row>
    <row r="67">
      <c r="A67" s="137" t="s">
        <v>1199</v>
      </c>
      <c r="B67" s="298" t="str">
        <f>HYPERLINK("http://codeforces.com/contest/716/problem/C","CF716-D2-C")</f>
        <v>CF716-D2-C</v>
      </c>
      <c r="C67" s="95"/>
      <c r="D67" s="95"/>
      <c r="E67" s="95"/>
      <c r="F67" s="95"/>
      <c r="G67" s="95"/>
      <c r="H67" s="97"/>
      <c r="I67" s="39">
        <f t="shared" si="1"/>
        <v>0</v>
      </c>
      <c r="J67" s="49"/>
      <c r="K67" s="36"/>
      <c r="M67" s="80"/>
    </row>
    <row r="68">
      <c r="A68" s="92"/>
      <c r="B68" s="233"/>
      <c r="C68" s="95"/>
      <c r="D68" s="95"/>
      <c r="E68" s="95"/>
      <c r="F68" s="95"/>
      <c r="G68" s="95"/>
      <c r="H68" s="97"/>
      <c r="I68" s="39">
        <f t="shared" si="1"/>
        <v>0</v>
      </c>
      <c r="J68" s="49"/>
      <c r="K68" s="36"/>
      <c r="M68" s="80"/>
    </row>
    <row r="69">
      <c r="A69" s="241" t="s">
        <v>1201</v>
      </c>
      <c r="B69" s="132" t="str">
        <f>HYPERLINK("https://uva.onlinejudge.org/index.php?option=com_onlinejudge&amp;Itemid=8&amp;page=show_problem&amp;problem=4395","UVA 12657")</f>
        <v>UVA 12657</v>
      </c>
      <c r="C69" s="95"/>
      <c r="D69" s="95"/>
      <c r="E69" s="95"/>
      <c r="F69" s="95"/>
      <c r="G69" s="95"/>
      <c r="H69" s="97"/>
      <c r="I69" s="39">
        <f t="shared" si="1"/>
        <v>0</v>
      </c>
      <c r="J69" s="111"/>
      <c r="K69" s="112"/>
      <c r="M69" s="269" t="str">
        <f>HYPERLINK("http://qkxue.net/info/113260/UVA-Boxes-Line-12657","Sol")</f>
        <v>Sol</v>
      </c>
    </row>
    <row r="70">
      <c r="A70" s="238"/>
      <c r="B70" s="238" t="s">
        <v>1203</v>
      </c>
      <c r="C70" s="95"/>
      <c r="D70" s="95"/>
      <c r="E70" s="95"/>
      <c r="F70" s="95"/>
      <c r="G70" s="95"/>
      <c r="H70" s="97"/>
      <c r="I70" s="39">
        <f t="shared" si="1"/>
        <v>0</v>
      </c>
      <c r="J70" s="49"/>
      <c r="K70" s="36"/>
      <c r="M70" s="269" t="str">
        <f>HYPERLINK("https://github.com/BRAINOOOO/CompetitiveProgramming/blob/master/Spoj/SPOJ%20QUEST4.Cpp","Sol")</f>
        <v>Sol</v>
      </c>
    </row>
    <row r="71">
      <c r="A71" s="238" t="s">
        <v>1204</v>
      </c>
      <c r="B71" s="339" t="str">
        <f>HYPERLINK("https://uva.onlinejudge.org/index.php?option=onlinejudge&amp;page=show_problem&amp;problem=2322","UVA 11347")</f>
        <v>UVA 11347</v>
      </c>
      <c r="C71" s="95"/>
      <c r="D71" s="95"/>
      <c r="E71" s="95"/>
      <c r="F71" s="95"/>
      <c r="G71" s="95"/>
      <c r="H71" s="97"/>
      <c r="I71" s="39">
        <f t="shared" si="1"/>
        <v>0</v>
      </c>
      <c r="J71" s="49"/>
      <c r="K71" s="36"/>
    </row>
    <row r="72">
      <c r="A72" s="240" t="s">
        <v>1206</v>
      </c>
      <c r="B72" s="346" t="str">
        <f>HYPERLINK("https://uva.onlinejudge.org/index.php?option=com_onlinejudge&amp;Itemid=8&amp;page=show_problem&amp;problem=504","UVA 563")</f>
        <v>UVA 563</v>
      </c>
      <c r="C72" s="95"/>
      <c r="D72" s="95"/>
      <c r="E72" s="95"/>
      <c r="F72" s="95"/>
      <c r="G72" s="95"/>
      <c r="H72" s="97"/>
      <c r="I72" s="39">
        <f t="shared" si="1"/>
        <v>0</v>
      </c>
      <c r="J72" s="49"/>
      <c r="K72" s="36"/>
      <c r="M72" s="269" t="str">
        <f>HYPERLINK("https://github.com/BRAINOOOO/CompetitiveProgramming/blob/d60a5d1364a8f6aba3cd785c1e5d7825bf3818bc/UVA/UVA%20563.Cpp","Sol")</f>
        <v>Sol</v>
      </c>
    </row>
    <row r="73">
      <c r="A73" s="273"/>
      <c r="B73" s="347" t="s">
        <v>1207</v>
      </c>
      <c r="C73" s="95"/>
      <c r="D73" s="95"/>
      <c r="E73" s="95"/>
      <c r="F73" s="95"/>
      <c r="G73" s="95"/>
      <c r="H73" s="97"/>
      <c r="I73" s="39">
        <f t="shared" si="1"/>
        <v>0</v>
      </c>
      <c r="J73" s="49"/>
      <c r="K73" s="36"/>
    </row>
    <row r="74">
      <c r="A74" s="273"/>
      <c r="B74" s="347" t="s">
        <v>1208</v>
      </c>
      <c r="C74" s="95"/>
      <c r="D74" s="95"/>
      <c r="E74" s="95"/>
      <c r="F74" s="95"/>
      <c r="G74" s="95"/>
      <c r="H74" s="97"/>
      <c r="I74" s="39">
        <f t="shared" si="1"/>
        <v>0</v>
      </c>
      <c r="J74" s="49"/>
      <c r="K74" s="36"/>
    </row>
    <row r="75">
      <c r="A75" s="273" t="s">
        <v>1209</v>
      </c>
      <c r="B75" s="328" t="str">
        <f>HYPERLINK("http://www.spoj.com/problems/PROOT/","SPOJ PROOT")</f>
        <v>SPOJ PROOT</v>
      </c>
      <c r="C75" s="95"/>
      <c r="D75" s="95"/>
      <c r="E75" s="95"/>
      <c r="F75" s="95"/>
      <c r="G75" s="95"/>
      <c r="H75" s="97"/>
      <c r="I75" s="39">
        <f t="shared" si="1"/>
        <v>0</v>
      </c>
      <c r="J75" s="49"/>
      <c r="K75" s="36"/>
      <c r="M75" s="269" t="str">
        <f>HYPERLINK("http://zobayer.blogspot.com/2010/02/primitive-root.html","Sol")</f>
        <v>Sol</v>
      </c>
    </row>
    <row r="76">
      <c r="A76" s="348" t="s">
        <v>1211</v>
      </c>
      <c r="B76" s="349" t="str">
        <f>HYPERLINK("http://codeforces.com/problemset/gymProblem/101149/G","CF101149-GYM-G")</f>
        <v>CF101149-GYM-G</v>
      </c>
      <c r="C76" s="95"/>
      <c r="D76" s="95"/>
      <c r="E76" s="95"/>
      <c r="F76" s="95"/>
      <c r="G76" s="95"/>
      <c r="H76" s="97"/>
      <c r="I76" s="39">
        <f t="shared" si="1"/>
        <v>0</v>
      </c>
      <c r="J76" s="49"/>
      <c r="K76" s="36"/>
      <c r="M76" s="269" t="str">
        <f>HYPERLINK("https://github.com/BRAINOOOO/CompetitiveProgramming/blob/3057480d3a311cc86a6d64546655a9bb4017cbd6/CF/CF101149-GYM-G.Cpp","Sol")</f>
        <v>Sol</v>
      </c>
    </row>
    <row r="77">
      <c r="A77" s="270" t="s">
        <v>1213</v>
      </c>
      <c r="B77" s="350" t="str">
        <f>HYPERLINK("http://codeforces.com/contest/292/problem/D","CF292-D12-D")</f>
        <v>CF292-D12-D</v>
      </c>
      <c r="C77" s="95"/>
      <c r="D77" s="95"/>
      <c r="E77" s="95"/>
      <c r="F77" s="95"/>
      <c r="G77" s="95"/>
      <c r="H77" s="97"/>
      <c r="I77" s="39">
        <f t="shared" si="1"/>
        <v>0</v>
      </c>
      <c r="J77" s="49"/>
      <c r="K77" s="36"/>
    </row>
    <row r="78">
      <c r="A78" s="238" t="s">
        <v>1214</v>
      </c>
      <c r="B78" s="351" t="str">
        <f>HYPERLINK("http://www.spoj.com/problems/ANDROUND","SPOJ ANDROUND")</f>
        <v>SPOJ ANDROUND</v>
      </c>
      <c r="C78" s="95"/>
      <c r="D78" s="95"/>
      <c r="E78" s="95"/>
      <c r="F78" s="95"/>
      <c r="G78" s="95"/>
      <c r="H78" s="97"/>
      <c r="I78" s="39">
        <f t="shared" si="1"/>
        <v>0</v>
      </c>
      <c r="J78" s="49"/>
      <c r="K78" s="36"/>
      <c r="M78" s="269" t="str">
        <f>HYPERLINK("https://github.com/AliOsm/CompetitiveProgramming/blob/master/SPOJ/ANDROUND%20-%20AND%20Rounds.cpp","Sol")</f>
        <v>Sol</v>
      </c>
    </row>
    <row r="79">
      <c r="A79" s="270" t="s">
        <v>1215</v>
      </c>
      <c r="B79" s="327" t="str">
        <f>HYPERLINK("https://uva.onlinejudge.org/index.php?option=onlinejudge&amp;page=show_problem&amp;problem=2468","UVA 11473")</f>
        <v>UVA 11473</v>
      </c>
      <c r="C79" s="95"/>
      <c r="D79" s="95"/>
      <c r="E79" s="95"/>
      <c r="F79" s="95"/>
      <c r="G79" s="95"/>
      <c r="H79" s="97"/>
      <c r="I79" s="39">
        <f t="shared" si="1"/>
        <v>0</v>
      </c>
      <c r="J79" s="49"/>
      <c r="K79" s="36"/>
      <c r="M79" s="269" t="str">
        <f>HYPERLINK("https://github.com/osamahatem/CompetitiveProgramming/blob/master/UVA/11473%20-%20Campus%20Roads.cpp","Sol")</f>
        <v>Sol</v>
      </c>
    </row>
    <row r="80">
      <c r="A80" s="270" t="s">
        <v>1216</v>
      </c>
      <c r="B80" s="350" t="str">
        <f>HYPERLINK("http://codeforces.com/contest/437/problem/D","CF437-D2-D")</f>
        <v>CF437-D2-D</v>
      </c>
      <c r="C80" s="95"/>
      <c r="D80" s="95"/>
      <c r="E80" s="95"/>
      <c r="F80" s="95"/>
      <c r="G80" s="95"/>
      <c r="H80" s="97"/>
      <c r="I80" s="39">
        <f t="shared" si="1"/>
        <v>0</v>
      </c>
      <c r="J80" s="49"/>
      <c r="K80" s="36"/>
    </row>
    <row r="81">
      <c r="A81" s="270"/>
      <c r="B81" s="278" t="str">
        <f>HYPERLINK("http://codeforces.com/contest/403/problem/C","CF403-D1-C")</f>
        <v>CF403-D1-C</v>
      </c>
      <c r="C81" s="95"/>
      <c r="D81" s="95"/>
      <c r="E81" s="95"/>
      <c r="F81" s="95"/>
      <c r="G81" s="95"/>
      <c r="H81" s="97"/>
      <c r="I81" s="39">
        <f t="shared" si="1"/>
        <v>0</v>
      </c>
      <c r="J81" s="49"/>
      <c r="K81" s="36"/>
    </row>
    <row r="82">
      <c r="A82" s="270"/>
      <c r="B82" s="278" t="str">
        <f>HYPERLINK("http://codeforces.com/contest/787/problem/C","CF787-D2-C")</f>
        <v>CF787-D2-C</v>
      </c>
      <c r="C82" s="95"/>
      <c r="D82" s="95"/>
      <c r="E82" s="95"/>
      <c r="F82" s="95"/>
      <c r="G82" s="95"/>
      <c r="H82" s="97"/>
      <c r="I82" s="39">
        <f t="shared" si="1"/>
        <v>0</v>
      </c>
      <c r="J82" s="49"/>
      <c r="K82" s="36"/>
    </row>
    <row r="83">
      <c r="A83" s="270"/>
      <c r="B83" s="278" t="str">
        <f>HYPERLINK("http://codeforces.com/contest/309/problem/B","CF309-D12-B")</f>
        <v>CF309-D12-B</v>
      </c>
      <c r="C83" s="95"/>
      <c r="D83" s="95"/>
      <c r="E83" s="95"/>
      <c r="F83" s="95"/>
      <c r="G83" s="95"/>
      <c r="H83" s="97"/>
      <c r="I83" s="39">
        <f t="shared" si="1"/>
        <v>0</v>
      </c>
      <c r="J83" s="49"/>
      <c r="K83" s="36"/>
    </row>
    <row r="84">
      <c r="A84" s="270"/>
      <c r="B84" s="270" t="s">
        <v>1219</v>
      </c>
      <c r="C84" s="95"/>
      <c r="D84" s="95"/>
      <c r="E84" s="95"/>
      <c r="F84" s="95"/>
      <c r="G84" s="95"/>
      <c r="H84" s="97"/>
      <c r="I84" s="39">
        <f t="shared" si="1"/>
        <v>0</v>
      </c>
      <c r="J84" s="49"/>
      <c r="K84" s="36"/>
    </row>
    <row r="85">
      <c r="A85" s="270"/>
      <c r="B85" s="270" t="s">
        <v>1220</v>
      </c>
      <c r="C85" s="95"/>
      <c r="D85" s="95"/>
      <c r="E85" s="95"/>
      <c r="F85" s="95"/>
      <c r="G85" s="95"/>
      <c r="H85" s="97"/>
      <c r="I85" s="39">
        <f t="shared" si="1"/>
        <v>0</v>
      </c>
      <c r="J85" s="49"/>
      <c r="K85" s="36"/>
    </row>
    <row r="86">
      <c r="A86" s="270"/>
      <c r="B86" s="270" t="s">
        <v>1221</v>
      </c>
      <c r="C86" s="95"/>
      <c r="D86" s="95"/>
      <c r="E86" s="95"/>
      <c r="F86" s="95"/>
      <c r="G86" s="95"/>
      <c r="H86" s="97"/>
      <c r="I86" s="39">
        <f t="shared" si="1"/>
        <v>0</v>
      </c>
      <c r="J86" s="49"/>
      <c r="K86" s="36"/>
      <c r="M86" s="269" t="str">
        <f>HYPERLINK("https://github.com/MeGaCrazy/CompetitiveProgramming/blob/2a3c686ba85081a14c9df160224fc1659f7f93ab/Timus/TIMUS_1362.cpp","Sol")</f>
        <v>Sol</v>
      </c>
    </row>
    <row r="87">
      <c r="A87" s="270"/>
      <c r="B87" s="278" t="str">
        <f>HYPERLINK("http://codeforces.com/contest/1012/problem/C","CF1012-D1-C")</f>
        <v>CF1012-D1-C</v>
      </c>
      <c r="C87" s="95"/>
      <c r="D87" s="95"/>
      <c r="E87" s="95"/>
      <c r="F87" s="95"/>
      <c r="G87" s="95"/>
      <c r="H87" s="97"/>
      <c r="I87" s="39">
        <f t="shared" si="1"/>
        <v>0</v>
      </c>
      <c r="J87" s="49"/>
      <c r="K87" s="36"/>
    </row>
    <row r="88">
      <c r="A88" s="270"/>
      <c r="B88" s="270" t="s">
        <v>1223</v>
      </c>
      <c r="C88" s="95"/>
      <c r="D88" s="95"/>
      <c r="E88" s="95"/>
      <c r="F88" s="95"/>
      <c r="G88" s="95"/>
      <c r="H88" s="97"/>
      <c r="I88" s="39">
        <f t="shared" si="1"/>
        <v>0</v>
      </c>
      <c r="J88" s="49"/>
      <c r="K88" s="36"/>
      <c r="M88" s="269" t="str">
        <f>HYPERLINK("https://github.com/Huvok/CompetitiveProgramming/blob/master/SPOJ/COCONUTS.cpp","Sol")</f>
        <v>Sol</v>
      </c>
    </row>
    <row r="89">
      <c r="A89" s="92"/>
      <c r="B89" s="233"/>
      <c r="C89" s="95"/>
      <c r="D89" s="95"/>
      <c r="E89" s="95"/>
      <c r="F89" s="95"/>
      <c r="G89" s="95"/>
      <c r="H89" s="97"/>
      <c r="I89" s="39">
        <f t="shared" si="1"/>
        <v>0</v>
      </c>
      <c r="J89" s="49"/>
      <c r="K89" s="36"/>
      <c r="M89" s="80"/>
    </row>
    <row r="90">
      <c r="A90" s="105" t="s">
        <v>1224</v>
      </c>
      <c r="B90" s="107" t="str">
        <f>HYPERLINK("http://codeforces.com/contest/651/problem/D","CF651-D2-D")</f>
        <v>CF651-D2-D</v>
      </c>
      <c r="C90" s="95"/>
      <c r="D90" s="95"/>
      <c r="E90" s="95"/>
      <c r="F90" s="95"/>
      <c r="G90" s="95"/>
      <c r="H90" s="97"/>
      <c r="I90" s="39">
        <f t="shared" si="1"/>
        <v>0</v>
      </c>
      <c r="J90" s="16"/>
      <c r="K90" s="80"/>
      <c r="M90" s="80"/>
    </row>
    <row r="91">
      <c r="A91" s="105" t="s">
        <v>1225</v>
      </c>
      <c r="B91" s="107" t="str">
        <f>HYPERLINK("http://codeforces.com/contest/281/problem/D","CF281-D2-D")</f>
        <v>CF281-D2-D</v>
      </c>
      <c r="C91" s="95"/>
      <c r="D91" s="95"/>
      <c r="E91" s="95"/>
      <c r="F91" s="95"/>
      <c r="G91" s="95"/>
      <c r="H91" s="97"/>
      <c r="I91" s="39">
        <f t="shared" si="1"/>
        <v>0</v>
      </c>
      <c r="J91" s="16"/>
      <c r="K91" s="80"/>
      <c r="M91" s="80"/>
    </row>
    <row r="92">
      <c r="A92" s="105" t="s">
        <v>1226</v>
      </c>
      <c r="B92" s="107" t="str">
        <f>HYPERLINK("http://codeforces.com/contest/320/problem/D","CF320-D2-D")</f>
        <v>CF320-D2-D</v>
      </c>
      <c r="C92" s="95"/>
      <c r="D92" s="95"/>
      <c r="E92" s="95"/>
      <c r="F92" s="95"/>
      <c r="G92" s="95"/>
      <c r="H92" s="97"/>
      <c r="I92" s="39">
        <f t="shared" si="1"/>
        <v>0</v>
      </c>
      <c r="J92" s="16"/>
      <c r="K92" s="80"/>
      <c r="M92" s="80"/>
    </row>
    <row r="93">
      <c r="A93" s="105" t="s">
        <v>1227</v>
      </c>
      <c r="B93" s="107" t="str">
        <f>HYPERLINK("http://codeforces.com/contest/313/problem/D","CF313-D2-D")</f>
        <v>CF313-D2-D</v>
      </c>
      <c r="C93" s="95"/>
      <c r="D93" s="95"/>
      <c r="E93" s="95"/>
      <c r="F93" s="95"/>
      <c r="G93" s="95"/>
      <c r="H93" s="97"/>
      <c r="I93" s="39">
        <f t="shared" si="1"/>
        <v>0</v>
      </c>
      <c r="J93" s="16"/>
      <c r="K93" s="80"/>
      <c r="M93" s="80"/>
    </row>
    <row r="94">
      <c r="A94" s="105" t="s">
        <v>1228</v>
      </c>
      <c r="B94" s="107" t="str">
        <f>HYPERLINK("http://codeforces.com/contest/255/problem/D","CF255-D2-D")</f>
        <v>CF255-D2-D</v>
      </c>
      <c r="C94" s="95"/>
      <c r="D94" s="95"/>
      <c r="E94" s="95"/>
      <c r="F94" s="95"/>
      <c r="G94" s="95"/>
      <c r="H94" s="97"/>
      <c r="I94" s="39">
        <f t="shared" si="1"/>
        <v>0</v>
      </c>
      <c r="J94" s="111"/>
      <c r="K94" s="112"/>
      <c r="M94" s="80"/>
    </row>
    <row r="95">
      <c r="A95" s="92" t="s">
        <v>1229</v>
      </c>
      <c r="B95" s="329" t="str">
        <f>HYPERLINK("http://codeforces.com/contest/298/problem/D","CF298-D2-D")</f>
        <v>CF298-D2-D</v>
      </c>
      <c r="C95" s="95"/>
      <c r="D95" s="95"/>
      <c r="E95" s="95"/>
      <c r="F95" s="95"/>
      <c r="G95" s="95"/>
      <c r="H95" s="97"/>
      <c r="I95" s="39">
        <f t="shared" si="1"/>
        <v>0</v>
      </c>
      <c r="J95" s="49"/>
      <c r="K95" s="36"/>
      <c r="M95" s="80"/>
    </row>
    <row r="96">
      <c r="A96" s="92" t="s">
        <v>1230</v>
      </c>
      <c r="B96" s="329" t="str">
        <f>HYPERLINK("http://codeforces.com/contest/202/problem/D","CF202-D2-D")</f>
        <v>CF202-D2-D</v>
      </c>
      <c r="C96" s="95"/>
      <c r="D96" s="95"/>
      <c r="E96" s="95"/>
      <c r="F96" s="95"/>
      <c r="G96" s="95"/>
      <c r="H96" s="97"/>
      <c r="I96" s="39">
        <f t="shared" si="1"/>
        <v>0</v>
      </c>
      <c r="J96" s="49"/>
      <c r="K96" s="36"/>
      <c r="M96" s="80"/>
    </row>
    <row r="97">
      <c r="A97" s="92" t="s">
        <v>1231</v>
      </c>
      <c r="B97" s="329" t="str">
        <f>HYPERLINK("http://codeforces.com/contest/237/problem/D","CF237-D2-D")</f>
        <v>CF237-D2-D</v>
      </c>
      <c r="C97" s="95"/>
      <c r="D97" s="95"/>
      <c r="E97" s="95"/>
      <c r="F97" s="95"/>
      <c r="G97" s="95"/>
      <c r="H97" s="97"/>
      <c r="I97" s="39">
        <f t="shared" si="1"/>
        <v>0</v>
      </c>
      <c r="J97" s="49"/>
      <c r="K97" s="36"/>
      <c r="M97" s="80"/>
    </row>
    <row r="98">
      <c r="A98" s="92" t="s">
        <v>1232</v>
      </c>
      <c r="B98" s="329" t="str">
        <f>HYPERLINK("http://codeforces.com/contest/168/problem/D","CF168-D2-D")</f>
        <v>CF168-D2-D</v>
      </c>
      <c r="C98" s="95"/>
      <c r="D98" s="95"/>
      <c r="E98" s="95"/>
      <c r="F98" s="95"/>
      <c r="G98" s="95"/>
      <c r="H98" s="97"/>
      <c r="I98" s="39">
        <f t="shared" si="1"/>
        <v>0</v>
      </c>
      <c r="J98" s="49"/>
      <c r="K98" s="36"/>
      <c r="M98" s="80"/>
    </row>
    <row r="99">
      <c r="A99" s="92"/>
      <c r="B99" s="329" t="str">
        <f>HYPERLINK("https://www.codechef.com/LTIME64B/problems/BJUDGE","CODECHEF BJUDGE")</f>
        <v>CODECHEF BJUDGE</v>
      </c>
      <c r="C99" s="95"/>
      <c r="D99" s="95"/>
      <c r="E99" s="95"/>
      <c r="F99" s="95"/>
      <c r="G99" s="95"/>
      <c r="H99" s="97"/>
      <c r="I99" s="39">
        <f t="shared" si="1"/>
        <v>0</v>
      </c>
      <c r="J99" s="49"/>
      <c r="K99" s="36"/>
      <c r="M99" s="80"/>
    </row>
    <row r="100">
      <c r="A100" s="137" t="s">
        <v>1233</v>
      </c>
      <c r="B100" s="298" t="str">
        <f>HYPERLINK("http://codeforces.com/contest/366/problem/C","CF366-D2-C")</f>
        <v>CF366-D2-C</v>
      </c>
      <c r="C100" s="95"/>
      <c r="D100" s="95"/>
      <c r="E100" s="95"/>
      <c r="F100" s="95"/>
      <c r="G100" s="95"/>
      <c r="H100" s="97"/>
      <c r="I100" s="39">
        <f t="shared" si="1"/>
        <v>0</v>
      </c>
      <c r="J100" s="49"/>
      <c r="K100" s="36"/>
      <c r="M100" s="80"/>
    </row>
    <row r="101">
      <c r="A101" s="137" t="s">
        <v>1234</v>
      </c>
      <c r="B101" s="298" t="str">
        <f>HYPERLINK("http://codeforces.com/contest/586/problem/C","CF586-D2-C")</f>
        <v>CF586-D2-C</v>
      </c>
      <c r="C101" s="95"/>
      <c r="D101" s="95"/>
      <c r="E101" s="95"/>
      <c r="F101" s="95"/>
      <c r="G101" s="95"/>
      <c r="H101" s="97"/>
      <c r="I101" s="39">
        <f t="shared" si="1"/>
        <v>0</v>
      </c>
      <c r="J101" s="49"/>
      <c r="K101" s="36"/>
      <c r="M101" s="80"/>
    </row>
    <row r="102">
      <c r="A102" s="137" t="s">
        <v>1235</v>
      </c>
      <c r="B102" s="298" t="str">
        <f>HYPERLINK("http://codeforces.com/contest/670/problem/C","CF670-D2-C")</f>
        <v>CF670-D2-C</v>
      </c>
      <c r="C102" s="95"/>
      <c r="D102" s="95"/>
      <c r="E102" s="95"/>
      <c r="F102" s="95"/>
      <c r="G102" s="95"/>
      <c r="H102" s="97"/>
      <c r="I102" s="39">
        <f t="shared" si="1"/>
        <v>0</v>
      </c>
      <c r="J102" s="49"/>
      <c r="K102" s="36"/>
      <c r="M102" s="80"/>
    </row>
    <row r="103">
      <c r="A103" s="92"/>
      <c r="C103" s="95"/>
      <c r="D103" s="95"/>
      <c r="E103" s="95"/>
      <c r="F103" s="95"/>
      <c r="G103" s="95"/>
      <c r="H103" s="97"/>
      <c r="I103" s="39">
        <f t="shared" si="1"/>
        <v>0</v>
      </c>
      <c r="J103" s="49"/>
      <c r="K103" s="36"/>
      <c r="M103" s="80"/>
    </row>
    <row r="104">
      <c r="A104" s="241" t="s">
        <v>1236</v>
      </c>
      <c r="B104" s="354" t="str">
        <f>HYPERLINK("https://uva.onlinejudge.org/index.php?option=com_onlinejudge&amp;Itemid=8&amp;page=show_problem&amp;problem=40","UVA 104")</f>
        <v>UVA 104</v>
      </c>
      <c r="C104" s="95"/>
      <c r="D104" s="95"/>
      <c r="E104" s="95"/>
      <c r="F104" s="95"/>
      <c r="G104" s="95"/>
      <c r="H104" s="97"/>
      <c r="I104" s="39">
        <f t="shared" si="1"/>
        <v>0</v>
      </c>
      <c r="J104" s="111"/>
      <c r="K104" s="112"/>
      <c r="M104" s="269" t="str">
        <f>HYPERLINK("https://github.com/abdullaAshraf/Problem-Solving/blob/master/UVA/104.cpp","Sol")</f>
        <v>Sol</v>
      </c>
    </row>
    <row r="105">
      <c r="A105" s="241" t="s">
        <v>864</v>
      </c>
      <c r="B105" s="244" t="str">
        <f>HYPERLINK("http://codeforces.com/contest/431/problem/D","CF431-D2-D")</f>
        <v>CF431-D2-D</v>
      </c>
      <c r="C105" s="95"/>
      <c r="D105" s="95"/>
      <c r="E105" s="95"/>
      <c r="F105" s="95"/>
      <c r="G105" s="95"/>
      <c r="H105" s="97"/>
      <c r="I105" s="39">
        <f t="shared" si="1"/>
        <v>0</v>
      </c>
      <c r="J105" s="16"/>
      <c r="K105" s="80"/>
    </row>
    <row r="106">
      <c r="A106" s="241" t="s">
        <v>1237</v>
      </c>
      <c r="B106" s="132" t="str">
        <f>HYPERLINK("https://uva.onlinejudge.org/index.php?option=onlinejudge&amp;page=show_problem&amp;problem=442","UVA 501")</f>
        <v>UVA 501</v>
      </c>
      <c r="C106" s="95"/>
      <c r="D106" s="95"/>
      <c r="E106" s="95"/>
      <c r="F106" s="95"/>
      <c r="G106" s="95"/>
      <c r="H106" s="97"/>
      <c r="I106" s="39">
        <f t="shared" si="1"/>
        <v>0</v>
      </c>
      <c r="J106" s="16"/>
      <c r="K106" s="80"/>
      <c r="M106" s="269" t="str">
        <f>HYPERLINK("https://github.com/mostafa-saad/MyCompetitiveProgramming/blob/master/UVA/UVA_501.txt","Sol - Must Read")</f>
        <v>Sol - Must Read</v>
      </c>
    </row>
    <row r="107">
      <c r="A107" s="241" t="s">
        <v>1238</v>
      </c>
      <c r="B107" s="132" t="str">
        <f>HYPERLINK("https://uva.onlinejudge.org/index.php?option=com_onlinejudge&amp;Itemid=8&amp;page=show_problem&amp;problem=2175","UVA 11234")</f>
        <v>UVA 11234</v>
      </c>
      <c r="C107" s="95"/>
      <c r="D107" s="95"/>
      <c r="E107" s="95"/>
      <c r="F107" s="95"/>
      <c r="G107" s="95"/>
      <c r="H107" s="97"/>
      <c r="I107" s="39">
        <f t="shared" si="1"/>
        <v>0</v>
      </c>
      <c r="J107" s="16"/>
      <c r="K107" s="80"/>
      <c r="M107" s="269" t="str">
        <f>HYPERLINK("https://github.com/AbdelrahmanRamadan/competitive-programming/blob/master/UVA/11234%20-%20Expressions.cpp","Sol")</f>
        <v>Sol</v>
      </c>
    </row>
    <row r="108">
      <c r="A108" s="241" t="s">
        <v>1239</v>
      </c>
      <c r="B108" s="132" t="str">
        <f>HYPERLINK("http://www.spoj.com/problems/MSE07E/","SPOJ MSE07E")</f>
        <v>SPOJ MSE07E</v>
      </c>
      <c r="C108" s="95"/>
      <c r="D108" s="95"/>
      <c r="E108" s="95"/>
      <c r="F108" s="95"/>
      <c r="G108" s="95"/>
      <c r="H108" s="97"/>
      <c r="I108" s="39">
        <f t="shared" si="1"/>
        <v>0</v>
      </c>
      <c r="J108" s="16"/>
      <c r="K108" s="80"/>
      <c r="M108" s="269" t="str">
        <f>HYPERLINK("https://github.com/mostafa-saad/MyCompetitiveProgramming/blob/master/SPOJ/SPOJ_MSE07E.txt","Read SPOJ users' comments about IO. See here sol")</f>
        <v>Read SPOJ users' comments about IO. See here sol</v>
      </c>
    </row>
    <row r="109">
      <c r="A109" s="355" t="s">
        <v>1240</v>
      </c>
      <c r="B109" s="132" t="str">
        <f>HYPERLINK("http://www.spoj.com/problems/ANARC08A/","SPOJ ANARC08A")</f>
        <v>SPOJ ANARC08A</v>
      </c>
      <c r="C109" s="95"/>
      <c r="D109" s="95"/>
      <c r="E109" s="95"/>
      <c r="F109" s="95"/>
      <c r="G109" s="95"/>
      <c r="H109" s="97"/>
      <c r="I109" s="39">
        <f t="shared" si="1"/>
        <v>0</v>
      </c>
      <c r="J109" s="111"/>
      <c r="K109" s="112"/>
      <c r="M109" s="269" t="str">
        <f>HYPERLINK("https://github.com/mostafa-saad/MyCompetitiveProgramming/blob/master/SPOJ/SPOJ_ANARC08A.txt","Sol")</f>
        <v>Sol</v>
      </c>
    </row>
    <row r="110">
      <c r="A110" s="356" t="s">
        <v>1241</v>
      </c>
      <c r="B110" s="339" t="str">
        <f>HYPERLINK("https://uva.onlinejudge.org/index.php?option=com_onlinejudge&amp;Itemid=8&amp;page=show_problem&amp;problem=1360","UVA 10419")</f>
        <v>UVA 10419</v>
      </c>
      <c r="C110" s="95"/>
      <c r="D110" s="95"/>
      <c r="E110" s="95"/>
      <c r="F110" s="95"/>
      <c r="G110" s="95"/>
      <c r="H110" s="97"/>
      <c r="I110" s="39">
        <f t="shared" si="1"/>
        <v>0</v>
      </c>
      <c r="J110" s="49"/>
      <c r="K110" s="36"/>
      <c r="M110" s="269" t="str">
        <f>HYPERLINK("https://github.com/BRAINOOOO/CompetitiveProgramming/blob/master/UVA/V-104/UVA%2010419.Cpp","Sol")</f>
        <v>Sol</v>
      </c>
    </row>
    <row r="111">
      <c r="A111" s="357" t="s">
        <v>1242</v>
      </c>
      <c r="B111" s="328" t="str">
        <f>HYPERLINK("http://www.spoj.com/problems/HISTOGRA/","SPOJ HISTOGRA")</f>
        <v>SPOJ HISTOGRA</v>
      </c>
      <c r="C111" s="95"/>
      <c r="D111" s="95"/>
      <c r="E111" s="95"/>
      <c r="F111" s="95"/>
      <c r="G111" s="95"/>
      <c r="H111" s="97"/>
      <c r="I111" s="39">
        <f t="shared" si="1"/>
        <v>0</v>
      </c>
      <c r="J111" s="49"/>
      <c r="K111" s="36"/>
      <c r="M111" s="269" t="str">
        <f>HYPERLINK("https://github.com/mostafa-saad/MyCompetitiveProgramming/blob/master/SPOJ/SPOJ_HISTOGRA.txt","Sol. Don't implement as adhock/greedy/Pure STL. Use a data structure.")</f>
        <v>Sol. Don't implement as adhock/greedy/Pure STL. Use a data structure.</v>
      </c>
    </row>
    <row r="112">
      <c r="A112" s="358"/>
      <c r="B112" s="359" t="s">
        <v>1243</v>
      </c>
      <c r="C112" s="95"/>
      <c r="D112" s="95"/>
      <c r="E112" s="95"/>
      <c r="F112" s="95"/>
      <c r="G112" s="95"/>
      <c r="H112" s="97"/>
      <c r="I112" s="39">
        <f t="shared" si="1"/>
        <v>0</v>
      </c>
      <c r="J112" s="49"/>
      <c r="K112" s="36"/>
      <c r="M112" s="269" t="str">
        <f>HYPERLINK("https://github.com/BRAINOOOO/CompetitiveProgramming/blob/master/UVA/V-6/UVA%20663.Cpp","Sol")</f>
        <v>Sol</v>
      </c>
    </row>
    <row r="113">
      <c r="A113" s="360" t="str">
        <f>HYPERLINK("https://community.topcoder.com/stat?c=problem_statement&amp;pm=11282&amp;rd=14724","KingdomReorganization")</f>
        <v>KingdomReorganization</v>
      </c>
      <c r="B113" s="357" t="s">
        <v>1244</v>
      </c>
      <c r="C113" s="95"/>
      <c r="D113" s="95"/>
      <c r="E113" s="95"/>
      <c r="F113" s="95"/>
      <c r="G113" s="95"/>
      <c r="H113" s="97"/>
      <c r="I113" s="39">
        <f t="shared" si="1"/>
        <v>0</v>
      </c>
      <c r="J113" s="49"/>
      <c r="K113" s="36"/>
    </row>
    <row r="114">
      <c r="A114" s="358" t="s">
        <v>1245</v>
      </c>
      <c r="B114" s="328" t="str">
        <f>HYPERLINK("https://uva.onlinejudge.org/index.php?option=com_onlinejudge&amp;Itemid=8&amp;page=show_problem&amp;problem=1033","UVA 10092")</f>
        <v>UVA 10092</v>
      </c>
      <c r="C114" s="95"/>
      <c r="D114" s="95"/>
      <c r="E114" s="95"/>
      <c r="F114" s="95"/>
      <c r="G114" s="95"/>
      <c r="H114" s="97"/>
      <c r="I114" s="39">
        <f t="shared" si="1"/>
        <v>0</v>
      </c>
      <c r="J114" s="49"/>
      <c r="K114" s="36"/>
    </row>
    <row r="115">
      <c r="A115" s="358" t="s">
        <v>1246</v>
      </c>
      <c r="B115" s="328" t="str">
        <f>HYPERLINK("http://www.spoj.com/problems/PSYCHON/","SPOJ PSYCHON")</f>
        <v>SPOJ PSYCHON</v>
      </c>
      <c r="C115" s="95"/>
      <c r="D115" s="95"/>
      <c r="E115" s="95"/>
      <c r="F115" s="95"/>
      <c r="G115" s="95"/>
      <c r="H115" s="97"/>
      <c r="I115" s="39">
        <f t="shared" si="1"/>
        <v>0</v>
      </c>
      <c r="J115" s="49"/>
      <c r="K115" s="36"/>
    </row>
    <row r="116">
      <c r="A116" s="358" t="s">
        <v>1247</v>
      </c>
      <c r="B116" s="328" t="str">
        <f>HYPERLINK("https://icpcarchive.ecs.baylor.edu/index.php?option=onlinejudge&amp;page=show_problem&amp;problem=2327","LIVEARCHIVE 4326")</f>
        <v>LIVEARCHIVE 4326</v>
      </c>
      <c r="C116" s="95"/>
      <c r="D116" s="95"/>
      <c r="E116" s="95"/>
      <c r="F116" s="95"/>
      <c r="G116" s="95"/>
      <c r="H116" s="97"/>
      <c r="I116" s="39">
        <f t="shared" si="1"/>
        <v>0</v>
      </c>
      <c r="J116" s="49"/>
      <c r="K116" s="36"/>
    </row>
    <row r="117">
      <c r="A117" s="358" t="s">
        <v>1248</v>
      </c>
      <c r="B117" s="328" t="str">
        <f>HYPERLINK("https://uva.onlinejudge.org/index.php?option=com_onlinejudge&amp;Itemid=8&amp;page=show_problem&amp;problem=3675","UVA 1234")</f>
        <v>UVA 1234</v>
      </c>
      <c r="C117" s="95"/>
      <c r="D117" s="95"/>
      <c r="E117" s="95"/>
      <c r="F117" s="95"/>
      <c r="G117" s="95"/>
      <c r="H117" s="97"/>
      <c r="I117" s="39">
        <f t="shared" si="1"/>
        <v>0</v>
      </c>
      <c r="J117" s="49"/>
      <c r="K117" s="36"/>
      <c r="M117" s="269" t="str">
        <f>HYPERLINK("https://github.com/MohamedNabil97/CompetitiveProgramming/tree/master/UVA/1234.cpp","Sol")</f>
        <v>Sol</v>
      </c>
    </row>
    <row r="118">
      <c r="A118" s="360" t="str">
        <f>HYPERLINK("https://community.topcoder.com/stat?c=problem_statement&amp;pm=10750&amp;rd=14153","ActivateGame")</f>
        <v>ActivateGame</v>
      </c>
      <c r="B118" s="359" t="s">
        <v>1249</v>
      </c>
      <c r="C118" s="95"/>
      <c r="D118" s="95"/>
      <c r="E118" s="95"/>
      <c r="F118" s="95"/>
      <c r="G118" s="95"/>
      <c r="H118" s="97"/>
      <c r="I118" s="39">
        <f t="shared" si="1"/>
        <v>0</v>
      </c>
      <c r="J118" s="49"/>
      <c r="K118" s="36"/>
    </row>
    <row r="119">
      <c r="A119" s="240" t="s">
        <v>1250</v>
      </c>
      <c r="B119" s="243" t="str">
        <f>HYPERLINK("http://codeforces.com/contest/359/problem/D","CF359-D2-D")</f>
        <v>CF359-D2-D</v>
      </c>
      <c r="C119" s="95"/>
      <c r="D119" s="95"/>
      <c r="E119" s="95"/>
      <c r="F119" s="95"/>
      <c r="G119" s="95"/>
      <c r="H119" s="97"/>
      <c r="I119" s="39">
        <f t="shared" si="1"/>
        <v>0</v>
      </c>
      <c r="J119" s="16"/>
      <c r="K119" s="80"/>
      <c r="M119" s="269" t="str">
        <f>HYPERLINK("https://github.com/osamahatem/CompetitiveProgramming/blob/master/Codeforces/359D.%20Pair%20of%20Numbers.cpp","Sol")</f>
        <v>Sol</v>
      </c>
    </row>
    <row r="120">
      <c r="A120" s="270" t="s">
        <v>1251</v>
      </c>
      <c r="B120" s="270" t="s">
        <v>1252</v>
      </c>
      <c r="C120" s="95"/>
      <c r="D120" s="95"/>
      <c r="E120" s="95"/>
      <c r="F120" s="95"/>
      <c r="G120" s="95"/>
      <c r="H120" s="97"/>
      <c r="I120" s="39">
        <f t="shared" si="1"/>
        <v>0</v>
      </c>
      <c r="J120" s="16"/>
      <c r="K120" s="80"/>
    </row>
    <row r="121">
      <c r="A121" s="270" t="s">
        <v>1253</v>
      </c>
      <c r="B121" s="270" t="s">
        <v>1254</v>
      </c>
      <c r="C121" s="95"/>
      <c r="D121" s="95"/>
      <c r="E121" s="95"/>
      <c r="F121" s="95"/>
      <c r="G121" s="95"/>
      <c r="H121" s="97"/>
      <c r="I121" s="39">
        <f t="shared" si="1"/>
        <v>0</v>
      </c>
      <c r="J121" s="16"/>
      <c r="K121" s="80"/>
      <c r="M121" s="269" t="str">
        <f>HYPERLINK("https://github.com/ahmedcpbl/CompetitiveProgramming/blob/master/UVA/11088.cpp","Sol")</f>
        <v>Sol</v>
      </c>
    </row>
    <row r="122">
      <c r="A122" s="270" t="s">
        <v>1255</v>
      </c>
      <c r="B122" s="278" t="str">
        <f>HYPERLINK("https://uva.onlinejudge.org/index.php?option=onlinejudge&amp;page=show_problem&amp;problem=2321","UVa 11346")</f>
        <v>UVa 11346</v>
      </c>
      <c r="C122" s="95"/>
      <c r="D122" s="95"/>
      <c r="E122" s="95"/>
      <c r="F122" s="95"/>
      <c r="G122" s="95"/>
      <c r="H122" s="97"/>
      <c r="I122" s="39">
        <f t="shared" si="1"/>
        <v>0</v>
      </c>
      <c r="J122" s="16"/>
      <c r="K122" s="80"/>
      <c r="L122" s="80"/>
      <c r="M122" s="269" t="str">
        <f>HYPERLINK("https://github.com/VAMPIER000001/CompetitiveProgramming/blob/master/UVA/V-113/UVA%2011346.cpp","Sol")</f>
        <v>Sol</v>
      </c>
    </row>
    <row r="123">
      <c r="A123" s="270"/>
      <c r="B123" s="270" t="s">
        <v>1256</v>
      </c>
      <c r="C123" s="95"/>
      <c r="D123" s="95"/>
      <c r="E123" s="95"/>
      <c r="F123" s="95"/>
      <c r="G123" s="95"/>
      <c r="H123" s="97"/>
      <c r="I123" s="39">
        <f t="shared" si="1"/>
        <v>0</v>
      </c>
      <c r="J123" s="16"/>
      <c r="K123" s="80"/>
      <c r="L123" s="80"/>
      <c r="M123" s="221"/>
    </row>
    <row r="124">
      <c r="A124" s="270"/>
      <c r="B124" s="270" t="s">
        <v>1223</v>
      </c>
      <c r="C124" s="95"/>
      <c r="D124" s="95"/>
      <c r="E124" s="95"/>
      <c r="F124" s="95"/>
      <c r="G124" s="95"/>
      <c r="H124" s="97"/>
      <c r="I124" s="39">
        <f t="shared" si="1"/>
        <v>0</v>
      </c>
      <c r="J124" s="16"/>
      <c r="K124" s="80"/>
      <c r="L124" s="80"/>
      <c r="M124" s="269" t="str">
        <f>HYPERLINK("https://ideone.com/Hkl19P","Sol")</f>
        <v>Sol</v>
      </c>
    </row>
    <row r="125">
      <c r="A125" s="270"/>
      <c r="B125" s="278" t="str">
        <f>HYPERLINK("http://codeforces.com/contest/592/problem/D","CF592-D2-D")</f>
        <v>CF592-D2-D</v>
      </c>
      <c r="C125" s="95"/>
      <c r="D125" s="95"/>
      <c r="E125" s="95"/>
      <c r="F125" s="95"/>
      <c r="G125" s="95"/>
      <c r="H125" s="97"/>
      <c r="I125" s="39">
        <f t="shared" si="1"/>
        <v>0</v>
      </c>
      <c r="J125" s="16"/>
      <c r="K125" s="80"/>
      <c r="L125" s="80"/>
    </row>
    <row r="126">
      <c r="A126" s="92"/>
      <c r="C126" s="95"/>
      <c r="D126" s="95"/>
      <c r="E126" s="95"/>
      <c r="F126" s="95"/>
      <c r="G126" s="95"/>
      <c r="H126" s="97"/>
      <c r="I126" s="39">
        <f t="shared" si="1"/>
        <v>0</v>
      </c>
      <c r="J126" s="49"/>
      <c r="K126" s="36"/>
      <c r="L126" s="80"/>
    </row>
    <row r="127">
      <c r="A127" s="105" t="s">
        <v>1257</v>
      </c>
      <c r="B127" s="66" t="str">
        <f>HYPERLINK("http://codeforces.com/contest/189/problem/D","CF189-D2-D")</f>
        <v>CF189-D2-D</v>
      </c>
      <c r="C127" s="95"/>
      <c r="D127" s="95"/>
      <c r="E127" s="95"/>
      <c r="F127" s="95"/>
      <c r="G127" s="95"/>
      <c r="H127" s="97"/>
      <c r="I127" s="39">
        <f t="shared" si="1"/>
        <v>0</v>
      </c>
      <c r="J127" s="16"/>
      <c r="K127" s="80"/>
      <c r="M127" s="269" t="str">
        <f>HYPERLINK("https://github.com/OmarMekkawy/Problems-Solved-Codes/blob/master/CodeForces/189D.cpp","Sol")</f>
        <v>Sol</v>
      </c>
    </row>
    <row r="128">
      <c r="A128" s="105" t="s">
        <v>1258</v>
      </c>
      <c r="B128" s="66" t="str">
        <f>HYPERLINK("http://codeforces.com/contest/604/problem/D","CF604-D2-D")</f>
        <v>CF604-D2-D</v>
      </c>
      <c r="C128" s="95"/>
      <c r="D128" s="95"/>
      <c r="E128" s="95"/>
      <c r="F128" s="95"/>
      <c r="G128" s="95"/>
      <c r="H128" s="97"/>
      <c r="I128" s="39">
        <f t="shared" si="1"/>
        <v>0</v>
      </c>
      <c r="J128" s="16"/>
      <c r="K128" s="80"/>
      <c r="M128" s="269" t="str">
        <f>HYPERLINK("https://github.com/MohamedNabil97/CompetitiveProgramming/blob/master/CodeForces/CF604-D2-D.cpp","Sol")</f>
        <v>Sol</v>
      </c>
    </row>
    <row r="129">
      <c r="A129" s="92" t="s">
        <v>1259</v>
      </c>
      <c r="B129" s="329" t="str">
        <f>HYPERLINK("http://codeforces.com/contest/122/problem/D","CF122-D2-D")</f>
        <v>CF122-D2-D</v>
      </c>
      <c r="C129" s="95"/>
      <c r="D129" s="95"/>
      <c r="E129" s="95"/>
      <c r="F129" s="95"/>
      <c r="G129" s="95"/>
      <c r="H129" s="97"/>
      <c r="I129" s="39">
        <f t="shared" si="1"/>
        <v>0</v>
      </c>
      <c r="J129" s="49"/>
      <c r="K129" s="36"/>
    </row>
    <row r="130">
      <c r="A130" s="92" t="s">
        <v>1260</v>
      </c>
      <c r="B130" s="329" t="str">
        <f>HYPERLINK("http://codeforces.com/contest/239/problem/D","CF239-D2-D")</f>
        <v>CF239-D2-D</v>
      </c>
      <c r="C130" s="95"/>
      <c r="D130" s="95"/>
      <c r="E130" s="95"/>
      <c r="F130" s="95"/>
      <c r="G130" s="95"/>
      <c r="H130" s="97"/>
      <c r="I130" s="39">
        <f t="shared" si="1"/>
        <v>0</v>
      </c>
      <c r="J130" s="49"/>
      <c r="K130" s="36"/>
      <c r="M130" s="269" t="str">
        <f>HYPERLINK("https://github.com/MedoN11/CompetitiveProgramming/blob/master/CodeForces/CF239-D2-D.java","Sol. Find proof (See editorial comments)")</f>
        <v>Sol. Find proof (See editorial comments)</v>
      </c>
    </row>
    <row r="131">
      <c r="A131" s="105" t="s">
        <v>1261</v>
      </c>
      <c r="B131" s="107" t="str">
        <f>HYPERLINK("http://codeforces.com/contest/599/problem/D","CF599-D2-D")</f>
        <v>CF599-D2-D</v>
      </c>
      <c r="C131" s="95"/>
      <c r="D131" s="95"/>
      <c r="E131" s="95"/>
      <c r="F131" s="95"/>
      <c r="G131" s="95"/>
      <c r="H131" s="97"/>
      <c r="I131" s="39">
        <f t="shared" si="1"/>
        <v>0</v>
      </c>
      <c r="J131" s="111"/>
      <c r="K131" s="112"/>
    </row>
    <row r="132">
      <c r="A132" s="105" t="s">
        <v>1262</v>
      </c>
      <c r="B132" s="66" t="str">
        <f>HYPERLINK("http://codeforces.com/contest/9/problem/D","CF9-D2-D")</f>
        <v>CF9-D2-D</v>
      </c>
      <c r="C132" s="95"/>
      <c r="D132" s="95"/>
      <c r="E132" s="95"/>
      <c r="F132" s="95"/>
      <c r="G132" s="95"/>
      <c r="H132" s="97"/>
      <c r="I132" s="39">
        <f t="shared" si="1"/>
        <v>0</v>
      </c>
      <c r="J132" s="111"/>
      <c r="K132" s="112"/>
    </row>
    <row r="133">
      <c r="A133" s="105"/>
      <c r="B133" s="66" t="str">
        <f>HYPERLINK("http://codeforces.com/contest/1043/problem/E","CF1043-D12-E")</f>
        <v>CF1043-D12-E</v>
      </c>
      <c r="C133" s="95"/>
      <c r="D133" s="95"/>
      <c r="E133" s="95"/>
      <c r="F133" s="95"/>
      <c r="G133" s="95"/>
      <c r="H133" s="97"/>
      <c r="I133" s="39">
        <f t="shared" si="1"/>
        <v>0</v>
      </c>
      <c r="J133" s="111"/>
      <c r="K133" s="112"/>
    </row>
    <row r="134">
      <c r="A134" s="105"/>
      <c r="B134" s="105" t="s">
        <v>1263</v>
      </c>
      <c r="C134" s="95"/>
      <c r="D134" s="95"/>
      <c r="E134" s="95"/>
      <c r="F134" s="95"/>
      <c r="G134" s="95"/>
      <c r="H134" s="97"/>
      <c r="I134" s="39">
        <f t="shared" si="1"/>
        <v>0</v>
      </c>
      <c r="J134" s="111"/>
      <c r="K134" s="112"/>
      <c r="M134" s="269" t="str">
        <f>HYPERLINK("https://github.com/jebouin/CompetitiveProgramming/blob/master/UVA/UVA%2010982.cpp","Sol")</f>
        <v>Sol</v>
      </c>
    </row>
    <row r="135">
      <c r="A135" s="105"/>
      <c r="B135" s="66" t="str">
        <f>HYPERLINK("https://codeforces.com/contest/1060/problem/D","CF1060-D12-D")</f>
        <v>CF1060-D12-D</v>
      </c>
      <c r="C135" s="95"/>
      <c r="D135" s="95"/>
      <c r="E135" s="95"/>
      <c r="F135" s="95"/>
      <c r="G135" s="95"/>
      <c r="H135" s="97"/>
      <c r="I135" s="39">
        <f t="shared" si="1"/>
        <v>0</v>
      </c>
      <c r="J135" s="111"/>
      <c r="K135" s="112"/>
    </row>
    <row r="136">
      <c r="A136" s="137" t="s">
        <v>1264</v>
      </c>
      <c r="B136" s="298" t="str">
        <f>HYPERLINK("http://codeforces.com/contest/463/problem/C","CF463-D2-C")</f>
        <v>CF463-D2-C</v>
      </c>
      <c r="C136" s="95"/>
      <c r="D136" s="95"/>
      <c r="E136" s="95"/>
      <c r="F136" s="95"/>
      <c r="G136" s="95"/>
      <c r="H136" s="97"/>
      <c r="I136" s="39">
        <f t="shared" si="1"/>
        <v>0</v>
      </c>
      <c r="J136" s="111"/>
      <c r="K136" s="112"/>
    </row>
    <row r="137">
      <c r="A137" s="137" t="s">
        <v>1265</v>
      </c>
      <c r="B137" s="298" t="str">
        <f>HYPERLINK("http://codeforces.com/contest/104/problem/C","CF104-D2-C")</f>
        <v>CF104-D2-C</v>
      </c>
      <c r="C137" s="95"/>
      <c r="D137" s="95"/>
      <c r="E137" s="95"/>
      <c r="F137" s="95"/>
      <c r="G137" s="95"/>
      <c r="H137" s="97"/>
      <c r="I137" s="39">
        <f t="shared" si="1"/>
        <v>0</v>
      </c>
      <c r="J137" s="111"/>
      <c r="K137" s="112"/>
    </row>
    <row r="138">
      <c r="A138" s="137" t="s">
        <v>1266</v>
      </c>
      <c r="B138" s="298" t="str">
        <f>HYPERLINK("http://codeforces.com/contest/508/problem/C","CF508-D2-C")</f>
        <v>CF508-D2-C</v>
      </c>
      <c r="C138" s="95"/>
      <c r="D138" s="95"/>
      <c r="E138" s="95"/>
      <c r="F138" s="95"/>
      <c r="G138" s="95"/>
      <c r="H138" s="97"/>
      <c r="I138" s="39">
        <f t="shared" si="1"/>
        <v>0</v>
      </c>
      <c r="J138" s="111"/>
      <c r="K138" s="112"/>
    </row>
    <row r="139">
      <c r="A139" s="137" t="s">
        <v>1267</v>
      </c>
      <c r="B139" s="361" t="str">
        <f>HYPERLINK("http://codeforces.com/contest/895/problem/C","CF448-D2-C")</f>
        <v>CF448-D2-C</v>
      </c>
      <c r="C139" s="95"/>
      <c r="D139" s="95"/>
      <c r="E139" s="95"/>
      <c r="F139" s="95"/>
      <c r="G139" s="95"/>
      <c r="H139" s="97"/>
      <c r="I139" s="39">
        <f t="shared" si="1"/>
        <v>0</v>
      </c>
      <c r="J139" s="111"/>
      <c r="K139" s="112"/>
    </row>
    <row r="140">
      <c r="A140" s="92"/>
      <c r="C140" s="95"/>
      <c r="D140" s="95"/>
      <c r="E140" s="95"/>
      <c r="F140" s="95"/>
      <c r="G140" s="95"/>
      <c r="H140" s="97"/>
      <c r="I140" s="39">
        <f t="shared" si="1"/>
        <v>0</v>
      </c>
      <c r="J140" s="49"/>
      <c r="K140" s="36"/>
    </row>
    <row r="141">
      <c r="A141" s="240" t="s">
        <v>1268</v>
      </c>
      <c r="B141" s="328" t="str">
        <f>HYPERLINK("https://uva.onlinejudge.org/index.php?option=onlinejudge&amp;page=show_problem&amp;problem=2501","UVA 11506")</f>
        <v>UVA 11506</v>
      </c>
      <c r="C141" s="95"/>
      <c r="D141" s="95"/>
      <c r="E141" s="95"/>
      <c r="F141" s="95"/>
      <c r="G141" s="95"/>
      <c r="H141" s="97"/>
      <c r="I141" s="39">
        <f t="shared" si="1"/>
        <v>0</v>
      </c>
      <c r="J141" s="49"/>
      <c r="K141" s="36"/>
      <c r="M141" s="269" t="str">
        <f>HYPERLINK("https://github.com/abdullaAshraf/Problem-Solving/blob/master/UVA/11506.cpp","Sol")</f>
        <v>Sol</v>
      </c>
    </row>
    <row r="142">
      <c r="A142" s="273" t="s">
        <v>1269</v>
      </c>
      <c r="B142" s="328" t="str">
        <f>HYPERLINK("https://uva.onlinejudge.org/index.php?option=com_onlinejudge&amp;Itemid=8&amp;page=show_problem&amp;problem=1683","UVA 10742")</f>
        <v>UVA 10742</v>
      </c>
      <c r="C142" s="95"/>
      <c r="D142" s="95"/>
      <c r="E142" s="95"/>
      <c r="F142" s="95"/>
      <c r="G142" s="95"/>
      <c r="H142" s="97"/>
      <c r="I142" s="39">
        <f t="shared" si="1"/>
        <v>0</v>
      </c>
      <c r="J142" s="49"/>
      <c r="K142" s="36"/>
      <c r="M142" s="269" t="str">
        <f>HYPERLINK("https://github.com/abdullaAshraf/Problem-Solving/blob/master/UVA/10742.cpp","Sol")</f>
        <v>Sol</v>
      </c>
    </row>
    <row r="143">
      <c r="A143" s="241" t="s">
        <v>1270</v>
      </c>
      <c r="B143" s="132" t="str">
        <f>HYPERLINK("http://www.spoj.com/problems/MULTQ3/","SPOJ MULTQ3")</f>
        <v>SPOJ MULTQ3</v>
      </c>
      <c r="C143" s="95"/>
      <c r="D143" s="95"/>
      <c r="E143" s="95"/>
      <c r="F143" s="95"/>
      <c r="G143" s="95"/>
      <c r="H143" s="97"/>
      <c r="I143" s="39">
        <f t="shared" si="1"/>
        <v>0</v>
      </c>
      <c r="J143" s="16"/>
      <c r="K143" s="80"/>
      <c r="M143" s="269" t="str">
        <f>HYPERLINK("https://github.com/BRAINOOOO/CompetitiveProgramming/blob/master/Spoj/SPOJ%20MULTQ3.Cpp","Sol")</f>
        <v>Sol</v>
      </c>
    </row>
    <row r="144">
      <c r="A144" s="360" t="str">
        <f>HYPERLINK("https://community.topcoder.com/stat?c=problem_statement&amp;pm=11049&amp;rd=14245","TimeTravellingSalesman")</f>
        <v>TimeTravellingSalesman</v>
      </c>
      <c r="B144" s="359" t="s">
        <v>1271</v>
      </c>
      <c r="C144" s="95"/>
      <c r="D144" s="95"/>
      <c r="E144" s="95"/>
      <c r="F144" s="95"/>
      <c r="G144" s="95"/>
      <c r="H144" s="97"/>
      <c r="I144" s="39">
        <f t="shared" si="1"/>
        <v>0</v>
      </c>
      <c r="J144" s="49"/>
      <c r="K144" s="36"/>
    </row>
    <row r="145">
      <c r="A145" s="273" t="s">
        <v>1272</v>
      </c>
      <c r="B145" s="328" t="str">
        <f>HYPERLINK("https://uva.onlinejudge.org/index.php?option=com_onlinejudge&amp;Itemid=8&amp;page=show_problem&amp;problem=3277","UVA 12125")</f>
        <v>UVA 12125</v>
      </c>
      <c r="C145" s="95"/>
      <c r="D145" s="95"/>
      <c r="E145" s="95"/>
      <c r="F145" s="95"/>
      <c r="G145" s="95"/>
      <c r="H145" s="97"/>
      <c r="I145" s="39">
        <f t="shared" si="1"/>
        <v>0</v>
      </c>
      <c r="J145" s="49"/>
      <c r="K145" s="36"/>
      <c r="M145" s="269" t="str">
        <f>HYPERLINK("https://github.com/mostafa-saad/MyCompetitiveProgramming/blob/master/UVA/UVA_12125.txt","Sol")</f>
        <v>Sol</v>
      </c>
    </row>
    <row r="146">
      <c r="A146" s="362" t="str">
        <f>HYPERLINK("https://community.topcoder.com/stat?c=problem_statement&amp;pm=10580","PeopleYouMayKnow")</f>
        <v>PeopleYouMayKnow</v>
      </c>
      <c r="B146" s="359" t="s">
        <v>1273</v>
      </c>
      <c r="C146" s="95"/>
      <c r="D146" s="95"/>
      <c r="E146" s="95"/>
      <c r="F146" s="95"/>
      <c r="G146" s="95"/>
      <c r="H146" s="97"/>
      <c r="I146" s="39">
        <f t="shared" si="1"/>
        <v>0</v>
      </c>
      <c r="J146" s="49"/>
      <c r="K146" s="36"/>
      <c r="M146" s="126" t="str">
        <f>HYPERLINK("https://github.com/MohamedNabil97/CompetitiveProgramming/blob/master/TopCoder/SRM447-D1-500.cpp","Don't use DP. Check it later in editorial. Sol")</f>
        <v>Don't use DP. Check it later in editorial. Sol</v>
      </c>
    </row>
    <row r="147">
      <c r="A147" s="273" t="s">
        <v>1274</v>
      </c>
      <c r="B147" s="328" t="str">
        <f>HYPERLINK("https://uva.onlinejudge.org/index.php?option=com_onlinejudge&amp;Itemid=8&amp;page=show_problem&amp;problem=1519","UVA 10578")</f>
        <v>UVA 10578</v>
      </c>
      <c r="C147" s="95"/>
      <c r="D147" s="95"/>
      <c r="E147" s="95"/>
      <c r="F147" s="95"/>
      <c r="G147" s="95"/>
      <c r="H147" s="97"/>
      <c r="I147" s="39">
        <f t="shared" si="1"/>
        <v>0</v>
      </c>
      <c r="J147" s="49"/>
      <c r="K147" s="36"/>
      <c r="M147" s="126" t="str">
        <f>HYPERLINK("https://github.com/abdullaAshraf/Problem-Solving/blob/master/UVA/10578.cpp","Sol")</f>
        <v>Sol</v>
      </c>
    </row>
    <row r="148">
      <c r="A148" s="273" t="s">
        <v>1275</v>
      </c>
      <c r="B148" s="328" t="str">
        <f>HYPERLINK("http://www.spoj.com/problems/GSS4","SPOJ GSS4")</f>
        <v>SPOJ GSS4</v>
      </c>
      <c r="C148" s="95"/>
      <c r="D148" s="95"/>
      <c r="E148" s="95"/>
      <c r="F148" s="95"/>
      <c r="G148" s="95"/>
      <c r="H148" s="97"/>
      <c r="I148" s="39">
        <f t="shared" si="1"/>
        <v>0</v>
      </c>
      <c r="J148" s="49"/>
      <c r="K148" s="36"/>
      <c r="M148" s="126" t="str">
        <f>HYPERLINK("https://github.com/abdullaAshraf/Problem-Solving/blob/master/SPOJ/GSS4.cpp","Sol")</f>
        <v>Sol</v>
      </c>
    </row>
    <row r="149">
      <c r="A149" s="273" t="s">
        <v>1276</v>
      </c>
      <c r="B149" s="328" t="str">
        <f>HYPERLINK("acm.tju.edu.cn/toj/showp1011.html","TJU 1011")</f>
        <v>TJU 1011</v>
      </c>
      <c r="C149" s="95"/>
      <c r="D149" s="95"/>
      <c r="E149" s="95"/>
      <c r="F149" s="95"/>
      <c r="G149" s="95"/>
      <c r="H149" s="97"/>
      <c r="I149" s="39">
        <f t="shared" si="1"/>
        <v>0</v>
      </c>
      <c r="J149" s="49"/>
      <c r="K149" s="36"/>
      <c r="M149" s="126" t="str">
        <f>HYPERLINK("https://github.com/MedoN11/CompetitiveProgramming/blob/master/TJU/1011.cpp","Sol")</f>
        <v>Sol</v>
      </c>
    </row>
    <row r="150">
      <c r="A150" s="273" t="s">
        <v>1277</v>
      </c>
      <c r="B150" s="328" t="str">
        <f>HYPERLINK("http://codeforces.com/contest/801/problem/D","CF801-D2-D")</f>
        <v>CF801-D2-D</v>
      </c>
      <c r="C150" s="95"/>
      <c r="D150" s="95"/>
      <c r="E150" s="95"/>
      <c r="F150" s="95"/>
      <c r="G150" s="95"/>
      <c r="H150" s="97"/>
      <c r="I150" s="39">
        <f t="shared" si="1"/>
        <v>0</v>
      </c>
      <c r="J150" s="49"/>
      <c r="K150" s="36"/>
      <c r="L150" s="145"/>
      <c r="M150" s="141" t="str">
        <f>HYPERLINK("https://github.com/MeGaCrazy/CompetitiveProgramming/blob/ff934b5231a55818d401805db5e0caa0720a1fa4/Codeforces/CF801-D2-D.cpp","Sol")</f>
        <v>Sol</v>
      </c>
    </row>
    <row r="151">
      <c r="A151" s="295" t="s">
        <v>1278</v>
      </c>
      <c r="B151" s="363" t="str">
        <f>HYPERLINK("https://uva.onlinejudge.org/index.php?option=onlinejudge&amp;page=show_problem&amp;problem=1928","UVA 10987")</f>
        <v>UVA 10987</v>
      </c>
      <c r="C151" s="95"/>
      <c r="D151" s="95"/>
      <c r="E151" s="95"/>
      <c r="F151" s="95"/>
      <c r="G151" s="95"/>
      <c r="H151" s="97"/>
      <c r="I151" s="39">
        <f t="shared" si="1"/>
        <v>0</v>
      </c>
      <c r="J151" s="111"/>
      <c r="K151" s="112"/>
      <c r="M151" s="126" t="str">
        <f>HYPERLINK("https://github.com/abdullaAshraf/Problem-Solving/blob/master/UVA/10987.cpp","Sol")</f>
        <v>Sol</v>
      </c>
    </row>
    <row r="152">
      <c r="A152" s="241" t="s">
        <v>1279</v>
      </c>
      <c r="B152" s="244" t="str">
        <f>HYPERLINK("http://codeforces.com/contest/631/problem/D","CF631-D2-D")</f>
        <v>CF631-D2-D</v>
      </c>
      <c r="C152" s="95"/>
      <c r="D152" s="95"/>
      <c r="E152" s="95"/>
      <c r="F152" s="95"/>
      <c r="G152" s="95"/>
      <c r="H152" s="97"/>
      <c r="I152" s="39">
        <f t="shared" si="1"/>
        <v>0</v>
      </c>
      <c r="J152" s="111"/>
      <c r="K152" s="112"/>
      <c r="L152" s="80"/>
      <c r="M152" s="80"/>
    </row>
    <row r="153">
      <c r="A153" s="241"/>
      <c r="B153" s="241" t="s">
        <v>1280</v>
      </c>
      <c r="C153" s="95"/>
      <c r="D153" s="95"/>
      <c r="E153" s="95"/>
      <c r="F153" s="95"/>
      <c r="G153" s="95"/>
      <c r="H153" s="97"/>
      <c r="I153" s="39">
        <f t="shared" si="1"/>
        <v>0</v>
      </c>
      <c r="J153" s="111"/>
      <c r="K153" s="112"/>
      <c r="L153" s="80"/>
      <c r="M153" s="80"/>
    </row>
    <row r="154">
      <c r="A154" s="241"/>
      <c r="B154" s="241" t="s">
        <v>1281</v>
      </c>
      <c r="C154" s="95"/>
      <c r="D154" s="95"/>
      <c r="E154" s="95"/>
      <c r="F154" s="95"/>
      <c r="G154" s="95"/>
      <c r="H154" s="97"/>
      <c r="I154" s="39">
        <f t="shared" si="1"/>
        <v>0</v>
      </c>
      <c r="J154" s="111"/>
      <c r="K154" s="112"/>
      <c r="L154" s="80"/>
      <c r="M154" s="80"/>
    </row>
    <row r="155">
      <c r="A155" s="241"/>
      <c r="B155" s="244" t="str">
        <f>HYPERLINK("http://codeforces.com/contest/280/problem/C","CF280-D1-C")</f>
        <v>CF280-D1-C</v>
      </c>
      <c r="C155" s="95"/>
      <c r="D155" s="95"/>
      <c r="E155" s="95"/>
      <c r="F155" s="95"/>
      <c r="G155" s="95"/>
      <c r="H155" s="97"/>
      <c r="I155" s="39">
        <f t="shared" si="1"/>
        <v>0</v>
      </c>
      <c r="J155" s="111"/>
      <c r="K155" s="112"/>
      <c r="L155" s="80"/>
      <c r="M155" s="80"/>
    </row>
    <row r="156">
      <c r="A156" s="241"/>
      <c r="B156" s="241" t="s">
        <v>1282</v>
      </c>
      <c r="C156" s="95"/>
      <c r="D156" s="95"/>
      <c r="E156" s="95"/>
      <c r="F156" s="95"/>
      <c r="G156" s="95"/>
      <c r="H156" s="97"/>
      <c r="I156" s="39">
        <f t="shared" si="1"/>
        <v>0</v>
      </c>
      <c r="J156" s="111"/>
      <c r="K156" s="112"/>
      <c r="L156" s="80"/>
      <c r="M156" s="80"/>
    </row>
    <row r="157">
      <c r="A157" s="241"/>
      <c r="B157" s="244" t="str">
        <f>HYPERLINK("http://codeforces.com/contest/110/problem/D","CF110-D2-D")</f>
        <v>CF110-D2-D</v>
      </c>
      <c r="C157" s="95"/>
      <c r="D157" s="95"/>
      <c r="E157" s="95"/>
      <c r="F157" s="95"/>
      <c r="G157" s="95"/>
      <c r="H157" s="97"/>
      <c r="I157" s="39">
        <f t="shared" si="1"/>
        <v>0</v>
      </c>
      <c r="J157" s="111"/>
      <c r="K157" s="112"/>
      <c r="L157" s="80"/>
      <c r="M157" s="80"/>
    </row>
    <row r="158">
      <c r="A158" s="241"/>
      <c r="B158" s="244" t="str">
        <f>HYPERLINK("http://codeforces.com/contest/163/problem/C","CF163-D12-C")</f>
        <v>CF163-D12-C</v>
      </c>
      <c r="C158" s="95"/>
      <c r="D158" s="95"/>
      <c r="E158" s="95"/>
      <c r="F158" s="95"/>
      <c r="G158" s="95"/>
      <c r="H158" s="97"/>
      <c r="I158" s="39">
        <f t="shared" si="1"/>
        <v>0</v>
      </c>
      <c r="J158" s="111"/>
      <c r="K158" s="112"/>
      <c r="L158" s="80"/>
      <c r="M158" s="80"/>
    </row>
    <row r="159">
      <c r="A159" s="92"/>
      <c r="C159" s="95"/>
      <c r="D159" s="95"/>
      <c r="E159" s="95"/>
      <c r="F159" s="95"/>
      <c r="G159" s="95"/>
      <c r="H159" s="97"/>
      <c r="I159" s="39">
        <f t="shared" si="1"/>
        <v>0</v>
      </c>
      <c r="J159" s="49"/>
      <c r="K159" s="36"/>
      <c r="L159" s="80"/>
      <c r="M159" s="105"/>
    </row>
    <row r="160">
      <c r="A160" s="92" t="s">
        <v>1283</v>
      </c>
      <c r="B160" s="329" t="str">
        <f>HYPERLINK("http://codeforces.com/contest/197/problem/D","CF197-D2-D")</f>
        <v>CF197-D2-D</v>
      </c>
      <c r="C160" s="95"/>
      <c r="D160" s="95"/>
      <c r="E160" s="95"/>
      <c r="F160" s="95"/>
      <c r="G160" s="95"/>
      <c r="H160" s="97"/>
      <c r="I160" s="39">
        <f t="shared" si="1"/>
        <v>0</v>
      </c>
      <c r="J160" s="49"/>
      <c r="K160" s="36"/>
      <c r="L160" s="80"/>
      <c r="M160" s="105"/>
    </row>
    <row r="161">
      <c r="A161" s="92" t="s">
        <v>1284</v>
      </c>
      <c r="B161" s="329" t="str">
        <f>HYPERLINK("http://codeforces.com/contest/352/problem/D","CF352-D2-D")</f>
        <v>CF352-D2-D</v>
      </c>
      <c r="C161" s="95"/>
      <c r="D161" s="95"/>
      <c r="E161" s="95"/>
      <c r="F161" s="95"/>
      <c r="G161" s="95"/>
      <c r="H161" s="97"/>
      <c r="I161" s="39">
        <f t="shared" si="1"/>
        <v>0</v>
      </c>
      <c r="J161" s="49"/>
      <c r="K161" s="36"/>
      <c r="L161" s="80"/>
      <c r="M161" s="126" t="str">
        <f>HYPERLINK("https://github.com/BRAINOOOO/CompetitiveProgramming/blob/0577cb43f4a000eca9870ccc375c95381224aed1/CF/CF352-D2-D","Sol")</f>
        <v>Sol</v>
      </c>
    </row>
    <row r="162">
      <c r="A162" s="92" t="s">
        <v>1285</v>
      </c>
      <c r="B162" s="364" t="str">
        <f>HYPERLINK("http://codeforces.com/contest/812/problem/D","CF812-D2-D")</f>
        <v>CF812-D2-D</v>
      </c>
      <c r="C162" s="95"/>
      <c r="D162" s="95"/>
      <c r="E162" s="95"/>
      <c r="F162" s="95"/>
      <c r="G162" s="95"/>
      <c r="H162" s="97"/>
      <c r="I162" s="39">
        <f t="shared" si="1"/>
        <v>0</v>
      </c>
      <c r="J162" s="49"/>
      <c r="K162" s="36"/>
      <c r="L162" s="80"/>
      <c r="M162" s="126" t="str">
        <f>HYPERLINK("https://github.com/BRAINOOOO/CompetitiveProgramming/blob/master/CF/CF812-D2-D","Sol")</f>
        <v>Sol</v>
      </c>
    </row>
    <row r="163">
      <c r="A163" s="105" t="s">
        <v>1286</v>
      </c>
      <c r="B163" s="145" t="str">
        <f>HYPERLINK("http://codeforces.com/contest/242/problem/D","CF242-D2-D")</f>
        <v>CF242-D2-D</v>
      </c>
      <c r="C163" s="95"/>
      <c r="D163" s="95"/>
      <c r="E163" s="95"/>
      <c r="F163" s="95"/>
      <c r="G163" s="95"/>
      <c r="H163" s="97"/>
      <c r="I163" s="39">
        <f t="shared" si="1"/>
        <v>0</v>
      </c>
      <c r="J163" s="111"/>
      <c r="K163" s="112"/>
      <c r="L163" s="80"/>
      <c r="M163" s="80"/>
    </row>
    <row r="164">
      <c r="A164" s="105" t="s">
        <v>1287</v>
      </c>
      <c r="B164" s="93" t="str">
        <f>HYPERLINK("http://codeforces.com/contest/688/problem/D","CF688-D2-D")</f>
        <v>CF688-D2-D</v>
      </c>
      <c r="C164" s="95"/>
      <c r="D164" s="95"/>
      <c r="E164" s="95"/>
      <c r="F164" s="95"/>
      <c r="G164" s="95"/>
      <c r="H164" s="97"/>
      <c r="I164" s="39">
        <f t="shared" si="1"/>
        <v>0</v>
      </c>
      <c r="J164" s="111"/>
      <c r="K164" s="112"/>
      <c r="L164" s="80"/>
      <c r="M164" s="80"/>
    </row>
    <row r="165">
      <c r="A165" s="50" t="s">
        <v>1288</v>
      </c>
      <c r="B165" s="93" t="str">
        <f>HYPERLINK("http://codeforces.com/contest/895/problem/D","CF448-D2-D")</f>
        <v>CF448-D2-D</v>
      </c>
      <c r="C165" s="95"/>
      <c r="D165" s="95"/>
      <c r="E165" s="95"/>
      <c r="F165" s="95"/>
      <c r="G165" s="95"/>
      <c r="H165" s="97"/>
      <c r="I165" s="39">
        <f t="shared" si="1"/>
        <v>0</v>
      </c>
      <c r="J165" s="111"/>
      <c r="K165" s="112"/>
      <c r="L165" s="80"/>
      <c r="M165" s="80"/>
    </row>
    <row r="166">
      <c r="A166" s="50"/>
      <c r="B166" s="93" t="str">
        <f>HYPERLINK("http://codeforces.com/contest/1075/problem/D","CF1075-D2-D")</f>
        <v>CF1075-D2-D</v>
      </c>
      <c r="C166" s="95"/>
      <c r="D166" s="95"/>
      <c r="E166" s="95"/>
      <c r="F166" s="95"/>
      <c r="G166" s="95"/>
      <c r="H166" s="97"/>
      <c r="I166" s="39">
        <f t="shared" si="1"/>
        <v>0</v>
      </c>
      <c r="J166" s="111"/>
      <c r="K166" s="112"/>
      <c r="L166" s="80"/>
      <c r="M166" s="80"/>
    </row>
    <row r="167">
      <c r="A167" s="50"/>
      <c r="B167" s="93" t="str">
        <f>HYPERLINK("http://codeforces.com/problemset/problem/1033/D", "CF1033-D12-D")</f>
        <v>CF1033-D12-D</v>
      </c>
      <c r="C167" s="95"/>
      <c r="D167" s="95"/>
      <c r="E167" s="95"/>
      <c r="F167" s="95"/>
      <c r="G167" s="95"/>
      <c r="H167" s="97"/>
      <c r="I167" s="39">
        <f t="shared" si="1"/>
        <v>0</v>
      </c>
      <c r="J167" s="111"/>
      <c r="K167" s="112"/>
      <c r="L167" s="80"/>
      <c r="M167" s="80"/>
    </row>
    <row r="168">
      <c r="A168" s="50"/>
      <c r="B168" s="93" t="str">
        <f>HYPERLINK("http://codeforces.com/problemset/problem/442/B","CF442-D1-B")</f>
        <v>CF442-D1-B</v>
      </c>
      <c r="C168" s="95"/>
      <c r="D168" s="95"/>
      <c r="E168" s="95"/>
      <c r="F168" s="95"/>
      <c r="G168" s="95"/>
      <c r="H168" s="97"/>
      <c r="I168" s="39">
        <f t="shared" si="1"/>
        <v>0</v>
      </c>
      <c r="J168" s="111"/>
      <c r="K168" s="112"/>
      <c r="L168" s="80"/>
      <c r="M168" s="80"/>
    </row>
    <row r="169">
      <c r="A169" s="50"/>
      <c r="B169" s="93" t="str">
        <f>HYPERLINK("http://codeforces.com/contest/1025/problem/D","CF1025-D2-D")</f>
        <v>CF1025-D2-D</v>
      </c>
      <c r="C169" s="95"/>
      <c r="D169" s="95"/>
      <c r="E169" s="95"/>
      <c r="F169" s="95"/>
      <c r="G169" s="95"/>
      <c r="H169" s="97"/>
      <c r="I169" s="39">
        <f t="shared" si="1"/>
        <v>0</v>
      </c>
      <c r="J169" s="111"/>
      <c r="K169" s="112"/>
      <c r="L169" s="80"/>
      <c r="M169" s="80"/>
    </row>
    <row r="170">
      <c r="A170" s="50"/>
      <c r="B170" s="93" t="str">
        <f>HYPERLINK("http://codeforces.com/contest/1071/problem/B","CF1072-D2-D")</f>
        <v>CF1072-D2-D</v>
      </c>
      <c r="C170" s="95"/>
      <c r="D170" s="95"/>
      <c r="E170" s="95"/>
      <c r="F170" s="95"/>
      <c r="G170" s="95"/>
      <c r="H170" s="97"/>
      <c r="I170" s="39">
        <f t="shared" si="1"/>
        <v>0</v>
      </c>
      <c r="J170" s="111"/>
      <c r="K170" s="112"/>
      <c r="L170" s="80"/>
      <c r="M170" s="80"/>
    </row>
  </sheetData>
  <conditionalFormatting sqref="K3:K170">
    <cfRule type="cellIs" dxfId="0" priority="1" operator="equal">
      <formula>"No"</formula>
    </cfRule>
  </conditionalFormatting>
  <conditionalFormatting sqref="K3:K170">
    <cfRule type="cellIs" dxfId="0" priority="2" operator="equal">
      <formula>"no"</formula>
    </cfRule>
  </conditionalFormatting>
  <conditionalFormatting sqref="K3:K170">
    <cfRule type="cellIs" dxfId="0" priority="3" operator="equal">
      <formula>"NO"</formula>
    </cfRule>
  </conditionalFormatting>
  <conditionalFormatting sqref="C3:C170">
    <cfRule type="cellIs" dxfId="1" priority="4" operator="equal">
      <formula>"AC"</formula>
    </cfRule>
  </conditionalFormatting>
  <conditionalFormatting sqref="C3:C170">
    <cfRule type="containsText" dxfId="2" priority="5" operator="containsText" text="WA">
      <formula>NOT(ISERROR(SEARCH(("WA"),(C3))))</formula>
    </cfRule>
  </conditionalFormatting>
  <conditionalFormatting sqref="C11:C170">
    <cfRule type="containsText" dxfId="2" priority="6" operator="containsText" text="WA">
      <formula>NOT(ISERROR(SEARCH(("WA"),(C11))))</formula>
    </cfRule>
  </conditionalFormatting>
  <conditionalFormatting sqref="C3:C170">
    <cfRule type="containsText" dxfId="3" priority="7" operator="containsText" text="TLE">
      <formula>NOT(ISERROR(SEARCH(("TLE"),(C3))))</formula>
    </cfRule>
  </conditionalFormatting>
  <conditionalFormatting sqref="C11:C170">
    <cfRule type="containsText" dxfId="3" priority="8" operator="containsText" text="TLE">
      <formula>NOT(ISERROR(SEARCH(("TLE"),(C11))))</formula>
    </cfRule>
  </conditionalFormatting>
  <conditionalFormatting sqref="C3:C170">
    <cfRule type="containsText" dxfId="4" priority="9" operator="containsText" text="RTE">
      <formula>NOT(ISERROR(SEARCH(("RTE"),(C3))))</formula>
    </cfRule>
  </conditionalFormatting>
  <conditionalFormatting sqref="C11:C170">
    <cfRule type="containsText" dxfId="4" priority="10" operator="containsText" text="RTE">
      <formula>NOT(ISERROR(SEARCH(("RTE"),(C11))))</formula>
    </cfRule>
  </conditionalFormatting>
  <conditionalFormatting sqref="C3:C170">
    <cfRule type="containsText" dxfId="5" priority="11" operator="containsText" text="CS">
      <formula>NOT(ISERROR(SEARCH(("CS"),(C3))))</formula>
    </cfRule>
  </conditionalFormatting>
  <conditionalFormatting sqref="C11:C170">
    <cfRule type="containsText" dxfId="5" priority="12" operator="containsText" text="CS">
      <formula>NOT(ISERROR(SEARCH(("CS"),(C11))))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15" t="s">
        <v>0</v>
      </c>
      <c r="B1" s="315" t="s">
        <v>1055</v>
      </c>
      <c r="C1" s="8" t="s">
        <v>9</v>
      </c>
      <c r="D1" s="9" t="s">
        <v>10</v>
      </c>
      <c r="E1" s="9" t="s">
        <v>11</v>
      </c>
      <c r="F1" s="8" t="s">
        <v>12</v>
      </c>
      <c r="G1" s="9" t="s">
        <v>13</v>
      </c>
      <c r="H1" s="9" t="s">
        <v>14</v>
      </c>
      <c r="I1" s="9" t="s">
        <v>15</v>
      </c>
      <c r="J1" s="8" t="s">
        <v>16</v>
      </c>
      <c r="K1" s="8" t="s">
        <v>17</v>
      </c>
      <c r="L1" s="8" t="s">
        <v>18</v>
      </c>
      <c r="M1" s="4" t="s">
        <v>1056</v>
      </c>
    </row>
    <row r="2">
      <c r="A2" s="80"/>
      <c r="B2" s="50" t="s">
        <v>30</v>
      </c>
      <c r="C2" s="18">
        <f>countif(C3:C10472, "AC")</f>
        <v>0</v>
      </c>
      <c r="D2" s="21">
        <f>ROUND(SUMPRODUCT(D3:D10472,INT(EQ(C3:C10472, "AC")))/MAX(1, C2),1)</f>
        <v>0</v>
      </c>
      <c r="E2" s="21">
        <f>ROUND(SUMPRODUCT(E3:E10494,INT(EQ(C3:C10494, "AC")))/MAX(1, C2))</f>
        <v>0</v>
      </c>
      <c r="F2" s="21">
        <f>ROUND(SUMPRODUCT(F3:F10497,INT(EQ(C3:C10497, "AC")))/MAX(1, C2))</f>
        <v>0</v>
      </c>
      <c r="G2" s="21">
        <f>ROUND(SUMPRODUCT(G3:G10497,INT(EQ(C3:C10497, "AC")))/MAX(1, C2))</f>
        <v>0</v>
      </c>
      <c r="H2" s="21">
        <f>ROUND(SUMPRODUCT(H3:H10497,INT(EQ(C3:C10497, "AC")))/MAX(1, C2))</f>
        <v>0</v>
      </c>
      <c r="I2" s="21">
        <f>ROUND(SUMPRODUCT(I3:I10469,INT(EQ(C3:C10469, "AC")))/MAX(1, C2))</f>
        <v>0</v>
      </c>
      <c r="J2" s="21">
        <f>ROUND(SUMPRODUCT(J3:J10467,INT(EQ(C3:C10467, "AC")))/MAX(1, C2),1)</f>
        <v>0</v>
      </c>
      <c r="K2" s="21">
        <f>SUMPRODUCT(EQ(K3:K10472, "YES"),INT(EQ(C3:C10497, "AC")))</f>
        <v>0</v>
      </c>
      <c r="L2" s="30">
        <f>IFERROR(__xludf.DUMMYFUNCTION("COUNTA(FILTER(C3:C9964, NOT(REGEXMATCH(C3:C9964, ""AC""))))"),0.0)</f>
        <v>0</v>
      </c>
      <c r="M2" s="319"/>
    </row>
    <row r="3">
      <c r="A3" s="16"/>
      <c r="B3" s="16"/>
      <c r="C3" s="95"/>
      <c r="D3" s="95"/>
      <c r="E3" s="95"/>
      <c r="F3" s="95"/>
      <c r="G3" s="95"/>
      <c r="H3" s="97"/>
      <c r="I3" s="39">
        <f t="shared" ref="I3:I109" si="1">SUM(E3:H3)</f>
        <v>0</v>
      </c>
      <c r="J3" s="49"/>
      <c r="K3" s="36"/>
      <c r="L3" s="95"/>
      <c r="M3" s="64" t="s">
        <v>1066</v>
      </c>
    </row>
    <row r="4">
      <c r="A4" s="16"/>
      <c r="B4" s="16"/>
      <c r="C4" s="95"/>
      <c r="D4" s="95"/>
      <c r="E4" s="95"/>
      <c r="F4" s="95"/>
      <c r="G4" s="95"/>
      <c r="H4" s="97"/>
      <c r="I4" s="39">
        <f t="shared" si="1"/>
        <v>0</v>
      </c>
      <c r="J4" s="49"/>
      <c r="K4" s="36"/>
      <c r="L4" s="95"/>
      <c r="M4" s="64" t="s">
        <v>1068</v>
      </c>
    </row>
    <row r="5">
      <c r="A5" s="322"/>
      <c r="B5" s="66"/>
      <c r="C5" s="95"/>
      <c r="D5" s="95"/>
      <c r="E5" s="95"/>
      <c r="F5" s="95"/>
      <c r="G5" s="95"/>
      <c r="H5" s="97"/>
      <c r="I5" s="39">
        <f t="shared" si="1"/>
        <v>0</v>
      </c>
      <c r="J5" s="49"/>
      <c r="K5" s="36"/>
      <c r="L5" s="95"/>
      <c r="M5" s="64" t="s">
        <v>1070</v>
      </c>
    </row>
    <row r="6">
      <c r="A6" s="322"/>
      <c r="B6" s="66"/>
      <c r="C6" s="95"/>
      <c r="D6" s="95"/>
      <c r="E6" s="95"/>
      <c r="F6" s="95"/>
      <c r="G6" s="95"/>
      <c r="H6" s="97"/>
      <c r="I6" s="39">
        <f t="shared" si="1"/>
        <v>0</v>
      </c>
      <c r="J6" s="49"/>
      <c r="K6" s="36"/>
      <c r="L6" s="95"/>
      <c r="M6" s="283"/>
    </row>
    <row r="7">
      <c r="A7" s="322"/>
      <c r="B7" s="66"/>
      <c r="C7" s="95"/>
      <c r="D7" s="95"/>
      <c r="E7" s="95"/>
      <c r="F7" s="95"/>
      <c r="G7" s="95"/>
      <c r="H7" s="97"/>
      <c r="I7" s="39">
        <f t="shared" si="1"/>
        <v>0</v>
      </c>
      <c r="J7" s="49"/>
      <c r="K7" s="36"/>
      <c r="L7" s="95"/>
      <c r="M7" s="283"/>
    </row>
    <row r="8">
      <c r="A8" s="322"/>
      <c r="B8" s="323"/>
      <c r="C8" s="95"/>
      <c r="D8" s="95"/>
      <c r="E8" s="95"/>
      <c r="F8" s="95"/>
      <c r="G8" s="95"/>
      <c r="H8" s="97"/>
      <c r="I8" s="39">
        <f t="shared" si="1"/>
        <v>0</v>
      </c>
      <c r="J8" s="49"/>
      <c r="K8" s="36"/>
      <c r="L8" s="95"/>
      <c r="M8" s="16"/>
    </row>
    <row r="9">
      <c r="A9" s="322"/>
      <c r="B9" s="66"/>
      <c r="C9" s="95"/>
      <c r="D9" s="95"/>
      <c r="E9" s="95"/>
      <c r="F9" s="95"/>
      <c r="G9" s="95"/>
      <c r="H9" s="97"/>
      <c r="I9" s="39">
        <f t="shared" si="1"/>
        <v>0</v>
      </c>
      <c r="J9" s="49"/>
      <c r="K9" s="36"/>
      <c r="L9" s="95"/>
      <c r="M9" s="16"/>
    </row>
    <row r="10">
      <c r="A10" s="23"/>
      <c r="B10" s="66"/>
      <c r="C10" s="95"/>
      <c r="D10" s="95"/>
      <c r="E10" s="95"/>
      <c r="F10" s="95"/>
      <c r="G10" s="95"/>
      <c r="H10" s="97"/>
      <c r="I10" s="39">
        <f t="shared" si="1"/>
        <v>0</v>
      </c>
      <c r="J10" s="49"/>
      <c r="K10" s="36"/>
      <c r="L10" s="95"/>
      <c r="M10" s="16"/>
    </row>
    <row r="11">
      <c r="A11" s="23"/>
      <c r="B11" s="66"/>
      <c r="C11" s="95"/>
      <c r="D11" s="95"/>
      <c r="E11" s="95"/>
      <c r="F11" s="95"/>
      <c r="G11" s="95"/>
      <c r="H11" s="97"/>
      <c r="I11" s="39">
        <f t="shared" si="1"/>
        <v>0</v>
      </c>
      <c r="J11" s="49"/>
      <c r="K11" s="36"/>
      <c r="L11" s="95"/>
      <c r="M11" s="80"/>
    </row>
    <row r="12">
      <c r="A12" s="322"/>
      <c r="B12" s="66"/>
      <c r="C12" s="95"/>
      <c r="D12" s="95"/>
      <c r="E12" s="95"/>
      <c r="F12" s="95"/>
      <c r="G12" s="95"/>
      <c r="H12" s="97"/>
      <c r="I12" s="39">
        <f t="shared" si="1"/>
        <v>0</v>
      </c>
      <c r="J12" s="49"/>
      <c r="K12" s="36"/>
      <c r="L12" s="95"/>
      <c r="M12" s="16"/>
    </row>
    <row r="13">
      <c r="A13" s="322"/>
      <c r="B13" s="66"/>
      <c r="C13" s="95"/>
      <c r="D13" s="95"/>
      <c r="E13" s="95"/>
      <c r="F13" s="95"/>
      <c r="G13" s="95"/>
      <c r="H13" s="97"/>
      <c r="I13" s="39">
        <f t="shared" si="1"/>
        <v>0</v>
      </c>
      <c r="J13" s="49"/>
      <c r="K13" s="36"/>
      <c r="L13" s="95"/>
      <c r="M13" s="80"/>
    </row>
    <row r="14">
      <c r="A14" s="322"/>
      <c r="B14" s="66"/>
      <c r="C14" s="95"/>
      <c r="D14" s="95"/>
      <c r="E14" s="95"/>
      <c r="F14" s="95"/>
      <c r="G14" s="95"/>
      <c r="H14" s="97"/>
      <c r="I14" s="39">
        <f t="shared" si="1"/>
        <v>0</v>
      </c>
      <c r="J14" s="49"/>
      <c r="K14" s="36"/>
      <c r="L14" s="95"/>
      <c r="M14" s="80"/>
    </row>
    <row r="15">
      <c r="A15" s="16"/>
      <c r="B15" s="16"/>
      <c r="C15" s="95"/>
      <c r="D15" s="95"/>
      <c r="E15" s="95"/>
      <c r="F15" s="95"/>
      <c r="G15" s="95"/>
      <c r="H15" s="97"/>
      <c r="I15" s="39">
        <f t="shared" si="1"/>
        <v>0</v>
      </c>
      <c r="J15" s="49"/>
      <c r="K15" s="36"/>
      <c r="L15" s="95"/>
      <c r="M15" s="283"/>
    </row>
    <row r="16">
      <c r="A16" s="16"/>
      <c r="B16" s="16"/>
      <c r="C16" s="95"/>
      <c r="D16" s="95"/>
      <c r="E16" s="95"/>
      <c r="F16" s="95"/>
      <c r="G16" s="95"/>
      <c r="H16" s="97"/>
      <c r="I16" s="39">
        <f t="shared" si="1"/>
        <v>0</v>
      </c>
      <c r="J16" s="49"/>
      <c r="K16" s="36"/>
      <c r="L16" s="95"/>
      <c r="M16" s="283"/>
    </row>
    <row r="17">
      <c r="A17" s="322"/>
      <c r="B17" s="66"/>
      <c r="C17" s="95"/>
      <c r="D17" s="95"/>
      <c r="E17" s="95"/>
      <c r="F17" s="95"/>
      <c r="G17" s="95"/>
      <c r="H17" s="97"/>
      <c r="I17" s="39">
        <f t="shared" si="1"/>
        <v>0</v>
      </c>
      <c r="J17" s="49"/>
      <c r="K17" s="36"/>
      <c r="L17" s="95"/>
      <c r="M17" s="16"/>
    </row>
    <row r="18">
      <c r="A18" s="322"/>
      <c r="B18" s="66"/>
      <c r="C18" s="95"/>
      <c r="D18" s="95"/>
      <c r="E18" s="95"/>
      <c r="F18" s="95"/>
      <c r="G18" s="95"/>
      <c r="H18" s="97"/>
      <c r="I18" s="39">
        <f t="shared" si="1"/>
        <v>0</v>
      </c>
      <c r="J18" s="49"/>
      <c r="K18" s="36"/>
      <c r="L18" s="95"/>
      <c r="M18" s="16"/>
    </row>
    <row r="19">
      <c r="A19" s="322"/>
      <c r="B19" s="66"/>
      <c r="C19" s="95"/>
      <c r="D19" s="95"/>
      <c r="E19" s="95"/>
      <c r="F19" s="95"/>
      <c r="G19" s="95"/>
      <c r="H19" s="97"/>
      <c r="I19" s="39">
        <f t="shared" si="1"/>
        <v>0</v>
      </c>
      <c r="J19" s="49"/>
      <c r="K19" s="36"/>
      <c r="L19" s="95"/>
      <c r="M19" s="16"/>
    </row>
    <row r="20">
      <c r="A20" s="322"/>
      <c r="B20" s="66"/>
      <c r="C20" s="95"/>
      <c r="D20" s="95"/>
      <c r="E20" s="95"/>
      <c r="F20" s="95"/>
      <c r="G20" s="95"/>
      <c r="H20" s="97"/>
      <c r="I20" s="39">
        <f t="shared" si="1"/>
        <v>0</v>
      </c>
      <c r="J20" s="49"/>
      <c r="K20" s="36"/>
      <c r="L20" s="95"/>
      <c r="M20" s="16"/>
    </row>
    <row r="21">
      <c r="A21" s="322"/>
      <c r="B21" s="66"/>
      <c r="C21" s="95"/>
      <c r="D21" s="95"/>
      <c r="E21" s="95"/>
      <c r="F21" s="95"/>
      <c r="G21" s="95"/>
      <c r="H21" s="97"/>
      <c r="I21" s="39">
        <f t="shared" si="1"/>
        <v>0</v>
      </c>
      <c r="J21" s="49"/>
      <c r="K21" s="36"/>
      <c r="L21" s="95"/>
      <c r="M21" s="16"/>
    </row>
    <row r="22">
      <c r="A22" s="322"/>
      <c r="B22" s="66"/>
      <c r="C22" s="95"/>
      <c r="D22" s="95"/>
      <c r="E22" s="95"/>
      <c r="F22" s="95"/>
      <c r="G22" s="95"/>
      <c r="H22" s="97"/>
      <c r="I22" s="39">
        <f t="shared" si="1"/>
        <v>0</v>
      </c>
      <c r="J22" s="49"/>
      <c r="K22" s="36"/>
      <c r="L22" s="95"/>
      <c r="M22" s="16"/>
    </row>
    <row r="23">
      <c r="A23" s="322"/>
      <c r="B23" s="66"/>
      <c r="C23" s="95"/>
      <c r="D23" s="95"/>
      <c r="E23" s="95"/>
      <c r="F23" s="95"/>
      <c r="G23" s="95"/>
      <c r="H23" s="97"/>
      <c r="I23" s="39">
        <f t="shared" si="1"/>
        <v>0</v>
      </c>
      <c r="J23" s="49"/>
      <c r="K23" s="36"/>
      <c r="L23" s="95"/>
      <c r="M23" s="16"/>
    </row>
    <row r="24">
      <c r="A24" s="322"/>
      <c r="B24" s="66"/>
      <c r="C24" s="95"/>
      <c r="D24" s="95"/>
      <c r="E24" s="95"/>
      <c r="F24" s="95"/>
      <c r="G24" s="95"/>
      <c r="H24" s="97"/>
      <c r="I24" s="39">
        <f t="shared" si="1"/>
        <v>0</v>
      </c>
      <c r="J24" s="49"/>
      <c r="K24" s="36"/>
      <c r="L24" s="95"/>
      <c r="M24" s="16"/>
    </row>
    <row r="25">
      <c r="A25" s="23"/>
      <c r="B25" s="66"/>
      <c r="C25" s="95"/>
      <c r="D25" s="95"/>
      <c r="E25" s="95"/>
      <c r="F25" s="95"/>
      <c r="G25" s="95"/>
      <c r="H25" s="97"/>
      <c r="I25" s="39">
        <f t="shared" si="1"/>
        <v>0</v>
      </c>
      <c r="J25" s="49"/>
      <c r="K25" s="36"/>
      <c r="L25" s="95"/>
      <c r="M25" s="80"/>
    </row>
    <row r="26">
      <c r="A26" s="322"/>
      <c r="B26" s="66"/>
      <c r="C26" s="95"/>
      <c r="D26" s="95"/>
      <c r="E26" s="95"/>
      <c r="F26" s="95"/>
      <c r="G26" s="95"/>
      <c r="H26" s="97"/>
      <c r="I26" s="39">
        <f t="shared" si="1"/>
        <v>0</v>
      </c>
      <c r="J26" s="49"/>
      <c r="K26" s="36"/>
      <c r="L26" s="95"/>
      <c r="M26" s="16"/>
    </row>
    <row r="27">
      <c r="A27" s="16"/>
      <c r="B27" s="16"/>
      <c r="C27" s="95"/>
      <c r="D27" s="95"/>
      <c r="E27" s="95"/>
      <c r="F27" s="95"/>
      <c r="G27" s="95"/>
      <c r="H27" s="97"/>
      <c r="I27" s="39">
        <f t="shared" si="1"/>
        <v>0</v>
      </c>
      <c r="J27" s="49"/>
      <c r="K27" s="36"/>
      <c r="L27" s="95"/>
      <c r="M27" s="329"/>
    </row>
    <row r="28">
      <c r="A28" s="16"/>
      <c r="B28" s="16"/>
      <c r="C28" s="95"/>
      <c r="D28" s="95"/>
      <c r="E28" s="95"/>
      <c r="F28" s="95"/>
      <c r="G28" s="95"/>
      <c r="H28" s="97"/>
      <c r="I28" s="39">
        <f t="shared" si="1"/>
        <v>0</v>
      </c>
      <c r="J28" s="49"/>
      <c r="K28" s="36"/>
      <c r="L28" s="95"/>
      <c r="M28" s="329"/>
    </row>
    <row r="29">
      <c r="A29" s="322"/>
      <c r="B29" s="66"/>
      <c r="C29" s="95"/>
      <c r="D29" s="95"/>
      <c r="E29" s="95"/>
      <c r="F29" s="95"/>
      <c r="G29" s="95"/>
      <c r="H29" s="97"/>
      <c r="I29" s="39">
        <f t="shared" si="1"/>
        <v>0</v>
      </c>
      <c r="J29" s="49"/>
      <c r="K29" s="36"/>
      <c r="L29" s="95"/>
      <c r="M29" s="16"/>
    </row>
    <row r="30">
      <c r="A30" s="322"/>
      <c r="B30" s="66"/>
      <c r="C30" s="95"/>
      <c r="D30" s="95"/>
      <c r="E30" s="95"/>
      <c r="F30" s="95"/>
      <c r="G30" s="95"/>
      <c r="H30" s="97"/>
      <c r="I30" s="39">
        <f t="shared" si="1"/>
        <v>0</v>
      </c>
      <c r="J30" s="49"/>
      <c r="K30" s="36"/>
      <c r="L30" s="95"/>
      <c r="M30" s="16"/>
    </row>
    <row r="31">
      <c r="A31" s="322"/>
      <c r="B31" s="66"/>
      <c r="C31" s="95"/>
      <c r="D31" s="95"/>
      <c r="E31" s="95"/>
      <c r="F31" s="95"/>
      <c r="G31" s="95"/>
      <c r="H31" s="97"/>
      <c r="I31" s="39">
        <f t="shared" si="1"/>
        <v>0</v>
      </c>
      <c r="J31" s="49"/>
      <c r="K31" s="36"/>
      <c r="L31" s="95"/>
      <c r="M31" s="16"/>
    </row>
    <row r="32">
      <c r="A32" s="322"/>
      <c r="B32" s="66"/>
      <c r="C32" s="95"/>
      <c r="D32" s="95"/>
      <c r="E32" s="95"/>
      <c r="F32" s="95"/>
      <c r="G32" s="95"/>
      <c r="H32" s="97"/>
      <c r="I32" s="39">
        <f t="shared" si="1"/>
        <v>0</v>
      </c>
      <c r="J32" s="49"/>
      <c r="K32" s="36"/>
      <c r="L32" s="95"/>
      <c r="M32" s="16"/>
    </row>
    <row r="33">
      <c r="A33" s="322"/>
      <c r="B33" s="66"/>
      <c r="C33" s="95"/>
      <c r="D33" s="95"/>
      <c r="E33" s="95"/>
      <c r="F33" s="95"/>
      <c r="G33" s="95"/>
      <c r="H33" s="97"/>
      <c r="I33" s="39">
        <f t="shared" si="1"/>
        <v>0</v>
      </c>
      <c r="J33" s="49"/>
      <c r="K33" s="36"/>
      <c r="L33" s="95"/>
      <c r="M33" s="16"/>
    </row>
    <row r="34">
      <c r="A34" s="322"/>
      <c r="B34" s="66"/>
      <c r="C34" s="95"/>
      <c r="D34" s="95"/>
      <c r="E34" s="95"/>
      <c r="F34" s="95"/>
      <c r="G34" s="95"/>
      <c r="H34" s="97"/>
      <c r="I34" s="39">
        <f t="shared" si="1"/>
        <v>0</v>
      </c>
      <c r="J34" s="49"/>
      <c r="K34" s="36"/>
      <c r="L34" s="95"/>
      <c r="M34" s="16"/>
    </row>
    <row r="35">
      <c r="A35" s="322"/>
      <c r="B35" s="66"/>
      <c r="C35" s="95"/>
      <c r="D35" s="95"/>
      <c r="E35" s="95"/>
      <c r="F35" s="95"/>
      <c r="G35" s="95"/>
      <c r="H35" s="97"/>
      <c r="I35" s="39">
        <f t="shared" si="1"/>
        <v>0</v>
      </c>
      <c r="J35" s="49"/>
      <c r="K35" s="36"/>
      <c r="L35" s="95"/>
      <c r="M35" s="16"/>
    </row>
    <row r="36">
      <c r="A36" s="23"/>
      <c r="B36" s="66"/>
      <c r="C36" s="95"/>
      <c r="D36" s="95"/>
      <c r="E36" s="95"/>
      <c r="F36" s="95"/>
      <c r="G36" s="95"/>
      <c r="H36" s="97"/>
      <c r="I36" s="39">
        <f t="shared" si="1"/>
        <v>0</v>
      </c>
      <c r="J36" s="49"/>
      <c r="K36" s="36"/>
      <c r="L36" s="95"/>
      <c r="M36" s="80"/>
    </row>
    <row r="37">
      <c r="A37" s="322"/>
      <c r="B37" s="323"/>
      <c r="C37" s="95"/>
      <c r="D37" s="95"/>
      <c r="E37" s="95"/>
      <c r="F37" s="95"/>
      <c r="G37" s="95"/>
      <c r="H37" s="97"/>
      <c r="I37" s="39">
        <f t="shared" si="1"/>
        <v>0</v>
      </c>
      <c r="J37" s="49"/>
      <c r="K37" s="36"/>
      <c r="L37" s="95"/>
      <c r="M37" s="16"/>
    </row>
    <row r="38">
      <c r="A38" s="322"/>
      <c r="B38" s="66"/>
      <c r="C38" s="95"/>
      <c r="D38" s="95"/>
      <c r="E38" s="95"/>
      <c r="F38" s="95"/>
      <c r="G38" s="95"/>
      <c r="H38" s="97"/>
      <c r="I38" s="39">
        <f t="shared" si="1"/>
        <v>0</v>
      </c>
      <c r="J38" s="49"/>
      <c r="K38" s="36"/>
      <c r="L38" s="95"/>
      <c r="M38" s="16"/>
    </row>
    <row r="39">
      <c r="A39" s="16"/>
      <c r="B39" s="16"/>
      <c r="C39" s="95"/>
      <c r="D39" s="95"/>
      <c r="E39" s="95"/>
      <c r="F39" s="95"/>
      <c r="G39" s="95"/>
      <c r="H39" s="97"/>
      <c r="I39" s="39">
        <f t="shared" si="1"/>
        <v>0</v>
      </c>
      <c r="J39" s="49"/>
      <c r="K39" s="36"/>
      <c r="L39" s="95"/>
      <c r="M39" s="66"/>
    </row>
    <row r="40">
      <c r="A40" s="16"/>
      <c r="B40" s="16"/>
      <c r="C40" s="95"/>
      <c r="D40" s="95"/>
      <c r="E40" s="95"/>
      <c r="F40" s="95"/>
      <c r="G40" s="95"/>
      <c r="H40" s="97"/>
      <c r="I40" s="39">
        <f t="shared" si="1"/>
        <v>0</v>
      </c>
      <c r="J40" s="49"/>
      <c r="K40" s="36"/>
      <c r="L40" s="95"/>
      <c r="M40" s="66"/>
    </row>
    <row r="41">
      <c r="A41" s="16"/>
      <c r="B41" s="16"/>
      <c r="C41" s="95"/>
      <c r="D41" s="95"/>
      <c r="E41" s="95"/>
      <c r="F41" s="95"/>
      <c r="G41" s="95"/>
      <c r="H41" s="97"/>
      <c r="I41" s="39">
        <f t="shared" si="1"/>
        <v>0</v>
      </c>
      <c r="J41" s="49"/>
      <c r="K41" s="36"/>
      <c r="L41" s="95"/>
      <c r="M41" s="66"/>
    </row>
    <row r="42">
      <c r="A42" s="16"/>
      <c r="B42" s="16"/>
      <c r="C42" s="95"/>
      <c r="D42" s="95"/>
      <c r="E42" s="95"/>
      <c r="F42" s="95"/>
      <c r="G42" s="95"/>
      <c r="H42" s="97"/>
      <c r="I42" s="39">
        <f t="shared" si="1"/>
        <v>0</v>
      </c>
      <c r="J42" s="49"/>
      <c r="K42" s="36"/>
      <c r="L42" s="95"/>
      <c r="M42" s="66"/>
    </row>
    <row r="43">
      <c r="A43" s="16"/>
      <c r="B43" s="16"/>
      <c r="C43" s="95"/>
      <c r="D43" s="95"/>
      <c r="E43" s="95"/>
      <c r="F43" s="95"/>
      <c r="G43" s="95"/>
      <c r="H43" s="97"/>
      <c r="I43" s="39">
        <f t="shared" si="1"/>
        <v>0</v>
      </c>
      <c r="J43" s="49"/>
      <c r="K43" s="36"/>
      <c r="L43" s="95"/>
      <c r="M43" s="66"/>
    </row>
    <row r="44">
      <c r="A44" s="16"/>
      <c r="B44" s="16"/>
      <c r="C44" s="95"/>
      <c r="D44" s="95"/>
      <c r="E44" s="95"/>
      <c r="F44" s="95"/>
      <c r="G44" s="95"/>
      <c r="H44" s="97"/>
      <c r="I44" s="39">
        <f t="shared" si="1"/>
        <v>0</v>
      </c>
      <c r="J44" s="49"/>
      <c r="K44" s="36"/>
      <c r="L44" s="95"/>
      <c r="M44" s="66"/>
    </row>
    <row r="45">
      <c r="A45" s="322"/>
      <c r="B45" s="323"/>
      <c r="C45" s="95"/>
      <c r="D45" s="95"/>
      <c r="E45" s="95"/>
      <c r="F45" s="95"/>
      <c r="G45" s="95"/>
      <c r="H45" s="97"/>
      <c r="I45" s="39">
        <f t="shared" si="1"/>
        <v>0</v>
      </c>
      <c r="J45" s="49"/>
      <c r="K45" s="36"/>
      <c r="L45" s="95"/>
      <c r="M45" s="16"/>
    </row>
    <row r="46">
      <c r="A46" s="322"/>
      <c r="B46" s="66"/>
      <c r="C46" s="95"/>
      <c r="D46" s="95"/>
      <c r="E46" s="95"/>
      <c r="F46" s="95"/>
      <c r="G46" s="95"/>
      <c r="H46" s="97"/>
      <c r="I46" s="39">
        <f t="shared" si="1"/>
        <v>0</v>
      </c>
      <c r="J46" s="49"/>
      <c r="K46" s="36"/>
      <c r="L46" s="95"/>
      <c r="M46" s="16"/>
    </row>
    <row r="47">
      <c r="A47" s="322"/>
      <c r="B47" s="66"/>
      <c r="C47" s="95"/>
      <c r="D47" s="95"/>
      <c r="E47" s="95"/>
      <c r="F47" s="95"/>
      <c r="G47" s="95"/>
      <c r="H47" s="97"/>
      <c r="I47" s="39">
        <f t="shared" si="1"/>
        <v>0</v>
      </c>
      <c r="J47" s="49"/>
      <c r="K47" s="36"/>
      <c r="L47" s="95"/>
      <c r="M47" s="16"/>
    </row>
    <row r="48">
      <c r="A48" s="23"/>
      <c r="B48" s="66"/>
      <c r="C48" s="95"/>
      <c r="D48" s="95"/>
      <c r="E48" s="95"/>
      <c r="F48" s="95"/>
      <c r="G48" s="95"/>
      <c r="H48" s="97"/>
      <c r="I48" s="39">
        <f t="shared" si="1"/>
        <v>0</v>
      </c>
      <c r="J48" s="49"/>
      <c r="K48" s="36"/>
      <c r="L48" s="95"/>
      <c r="M48" s="16"/>
    </row>
    <row r="49">
      <c r="A49" s="322"/>
      <c r="B49" s="66"/>
      <c r="C49" s="95"/>
      <c r="D49" s="95"/>
      <c r="E49" s="95"/>
      <c r="F49" s="95"/>
      <c r="G49" s="95"/>
      <c r="H49" s="97"/>
      <c r="I49" s="39">
        <f t="shared" si="1"/>
        <v>0</v>
      </c>
      <c r="J49" s="49"/>
      <c r="K49" s="36"/>
      <c r="L49" s="95"/>
      <c r="M49" s="16"/>
    </row>
    <row r="50">
      <c r="A50" s="322"/>
      <c r="B50" s="66"/>
      <c r="C50" s="95"/>
      <c r="D50" s="95"/>
      <c r="E50" s="95"/>
      <c r="F50" s="95"/>
      <c r="G50" s="95"/>
      <c r="H50" s="97"/>
      <c r="I50" s="39">
        <f t="shared" si="1"/>
        <v>0</v>
      </c>
      <c r="J50" s="49"/>
      <c r="K50" s="36"/>
      <c r="L50" s="95"/>
      <c r="M50" s="80"/>
    </row>
    <row r="51">
      <c r="A51" s="322"/>
      <c r="B51" s="66"/>
      <c r="C51" s="95"/>
      <c r="D51" s="95"/>
      <c r="E51" s="95"/>
      <c r="F51" s="95"/>
      <c r="G51" s="95"/>
      <c r="H51" s="97"/>
      <c r="I51" s="39">
        <f t="shared" si="1"/>
        <v>0</v>
      </c>
      <c r="J51" s="49"/>
      <c r="K51" s="36"/>
      <c r="L51" s="95"/>
      <c r="M51" s="16"/>
    </row>
    <row r="52">
      <c r="A52" s="322"/>
      <c r="B52" s="66"/>
      <c r="C52" s="95"/>
      <c r="D52" s="95"/>
      <c r="E52" s="95"/>
      <c r="F52" s="95"/>
      <c r="G52" s="95"/>
      <c r="H52" s="97"/>
      <c r="I52" s="39">
        <f t="shared" si="1"/>
        <v>0</v>
      </c>
      <c r="J52" s="49"/>
      <c r="K52" s="36"/>
      <c r="L52" s="95"/>
      <c r="M52" s="16"/>
    </row>
    <row r="53">
      <c r="A53" s="322"/>
      <c r="B53" s="66"/>
      <c r="C53" s="95"/>
      <c r="D53" s="95"/>
      <c r="E53" s="95"/>
      <c r="F53" s="95"/>
      <c r="G53" s="95"/>
      <c r="H53" s="97"/>
      <c r="I53" s="39">
        <f t="shared" si="1"/>
        <v>0</v>
      </c>
      <c r="J53" s="49"/>
      <c r="K53" s="36"/>
      <c r="L53" s="95"/>
      <c r="M53" s="16"/>
    </row>
    <row r="54">
      <c r="A54" s="322"/>
      <c r="B54" s="66"/>
      <c r="C54" s="95"/>
      <c r="D54" s="95"/>
      <c r="E54" s="95"/>
      <c r="F54" s="95"/>
      <c r="G54" s="95"/>
      <c r="H54" s="97"/>
      <c r="I54" s="39">
        <f t="shared" si="1"/>
        <v>0</v>
      </c>
      <c r="J54" s="49"/>
      <c r="K54" s="36"/>
      <c r="L54" s="95"/>
      <c r="M54" s="16"/>
    </row>
    <row r="55">
      <c r="A55" s="16"/>
      <c r="B55" s="16"/>
      <c r="C55" s="95"/>
      <c r="D55" s="95"/>
      <c r="E55" s="95"/>
      <c r="F55" s="95"/>
      <c r="G55" s="95"/>
      <c r="H55" s="97"/>
      <c r="I55" s="39">
        <f t="shared" si="1"/>
        <v>0</v>
      </c>
      <c r="J55" s="49"/>
      <c r="K55" s="36"/>
      <c r="L55" s="95"/>
      <c r="M55" s="329"/>
    </row>
    <row r="56">
      <c r="A56" s="16"/>
      <c r="B56" s="16"/>
      <c r="C56" s="95"/>
      <c r="D56" s="95"/>
      <c r="E56" s="95"/>
      <c r="F56" s="95"/>
      <c r="G56" s="95"/>
      <c r="H56" s="97"/>
      <c r="I56" s="39">
        <f t="shared" si="1"/>
        <v>0</v>
      </c>
      <c r="J56" s="49"/>
      <c r="K56" s="36"/>
      <c r="L56" s="95"/>
      <c r="M56" s="329"/>
    </row>
    <row r="57">
      <c r="A57" s="322"/>
      <c r="B57" s="66"/>
      <c r="C57" s="95"/>
      <c r="D57" s="95"/>
      <c r="E57" s="95"/>
      <c r="F57" s="95"/>
      <c r="G57" s="95"/>
      <c r="H57" s="97"/>
      <c r="I57" s="39">
        <f t="shared" si="1"/>
        <v>0</v>
      </c>
      <c r="J57" s="49"/>
      <c r="K57" s="36"/>
      <c r="L57" s="95"/>
      <c r="M57" s="16"/>
    </row>
    <row r="58">
      <c r="A58" s="322"/>
      <c r="B58" s="66"/>
      <c r="C58" s="95"/>
      <c r="D58" s="95"/>
      <c r="E58" s="95"/>
      <c r="F58" s="95"/>
      <c r="G58" s="95"/>
      <c r="H58" s="97"/>
      <c r="I58" s="39">
        <f t="shared" si="1"/>
        <v>0</v>
      </c>
      <c r="J58" s="49"/>
      <c r="K58" s="36"/>
      <c r="L58" s="95"/>
      <c r="M58" s="16"/>
    </row>
    <row r="59">
      <c r="A59" s="322"/>
      <c r="B59" s="66"/>
      <c r="C59" s="95"/>
      <c r="D59" s="95"/>
      <c r="E59" s="95"/>
      <c r="F59" s="95"/>
      <c r="G59" s="95"/>
      <c r="H59" s="97"/>
      <c r="I59" s="39">
        <f t="shared" si="1"/>
        <v>0</v>
      </c>
      <c r="J59" s="49"/>
      <c r="K59" s="36"/>
      <c r="L59" s="95"/>
      <c r="M59" s="16"/>
    </row>
    <row r="60">
      <c r="A60" s="23"/>
      <c r="B60" s="66"/>
      <c r="C60" s="95"/>
      <c r="D60" s="95"/>
      <c r="E60" s="95"/>
      <c r="F60" s="95"/>
      <c r="G60" s="95"/>
      <c r="H60" s="97"/>
      <c r="I60" s="39">
        <f t="shared" si="1"/>
        <v>0</v>
      </c>
      <c r="J60" s="49"/>
      <c r="K60" s="36"/>
      <c r="L60" s="95"/>
      <c r="M60" s="16"/>
    </row>
    <row r="61">
      <c r="A61" s="322"/>
      <c r="B61" s="66"/>
      <c r="C61" s="95"/>
      <c r="D61" s="95"/>
      <c r="E61" s="95"/>
      <c r="F61" s="95"/>
      <c r="G61" s="95"/>
      <c r="H61" s="97"/>
      <c r="I61" s="39">
        <f t="shared" si="1"/>
        <v>0</v>
      </c>
      <c r="J61" s="49"/>
      <c r="K61" s="36"/>
      <c r="L61" s="95"/>
      <c r="M61" s="80"/>
    </row>
    <row r="62">
      <c r="A62" s="322"/>
      <c r="B62" s="66"/>
      <c r="C62" s="95"/>
      <c r="D62" s="95"/>
      <c r="E62" s="95"/>
      <c r="F62" s="95"/>
      <c r="G62" s="95"/>
      <c r="H62" s="97"/>
      <c r="I62" s="39">
        <f t="shared" si="1"/>
        <v>0</v>
      </c>
      <c r="J62" s="49"/>
      <c r="K62" s="36"/>
      <c r="L62" s="95"/>
      <c r="M62" s="16"/>
    </row>
    <row r="63">
      <c r="A63" s="322"/>
      <c r="B63" s="66"/>
      <c r="C63" s="95"/>
      <c r="D63" s="95"/>
      <c r="E63" s="95"/>
      <c r="F63" s="95"/>
      <c r="G63" s="95"/>
      <c r="H63" s="97"/>
      <c r="I63" s="39">
        <f t="shared" si="1"/>
        <v>0</v>
      </c>
      <c r="J63" s="49"/>
      <c r="K63" s="36"/>
      <c r="L63" s="95"/>
      <c r="M63" s="16"/>
    </row>
    <row r="64">
      <c r="A64" s="322"/>
      <c r="B64" s="66"/>
      <c r="C64" s="95"/>
      <c r="D64" s="95"/>
      <c r="E64" s="95"/>
      <c r="F64" s="95"/>
      <c r="G64" s="95"/>
      <c r="H64" s="97"/>
      <c r="I64" s="39">
        <f t="shared" si="1"/>
        <v>0</v>
      </c>
      <c r="J64" s="49"/>
      <c r="K64" s="36"/>
      <c r="L64" s="95"/>
      <c r="M64" s="16"/>
    </row>
    <row r="65">
      <c r="A65" s="322"/>
      <c r="B65" s="66"/>
      <c r="C65" s="95"/>
      <c r="D65" s="95"/>
      <c r="E65" s="95"/>
      <c r="F65" s="95"/>
      <c r="G65" s="95"/>
      <c r="H65" s="97"/>
      <c r="I65" s="39">
        <f t="shared" si="1"/>
        <v>0</v>
      </c>
      <c r="J65" s="49"/>
      <c r="K65" s="36"/>
      <c r="L65" s="95"/>
      <c r="M65" s="16"/>
    </row>
    <row r="66">
      <c r="A66" s="322"/>
      <c r="B66" s="66"/>
      <c r="C66" s="95"/>
      <c r="D66" s="95"/>
      <c r="E66" s="95"/>
      <c r="F66" s="95"/>
      <c r="G66" s="95"/>
      <c r="H66" s="97"/>
      <c r="I66" s="39">
        <f t="shared" si="1"/>
        <v>0</v>
      </c>
      <c r="J66" s="49"/>
      <c r="K66" s="36"/>
      <c r="L66" s="95"/>
      <c r="M66" s="16"/>
    </row>
    <row r="67">
      <c r="A67" s="16"/>
      <c r="B67" s="16"/>
      <c r="C67" s="95"/>
      <c r="D67" s="95"/>
      <c r="E67" s="95"/>
      <c r="F67" s="95"/>
      <c r="G67" s="95"/>
      <c r="H67" s="97"/>
      <c r="I67" s="39">
        <f t="shared" si="1"/>
        <v>0</v>
      </c>
      <c r="J67" s="49"/>
      <c r="K67" s="36"/>
      <c r="L67" s="95"/>
      <c r="M67" s="66"/>
    </row>
    <row r="68">
      <c r="A68" s="16"/>
      <c r="B68" s="16"/>
      <c r="C68" s="95"/>
      <c r="D68" s="95"/>
      <c r="E68" s="95"/>
      <c r="F68" s="95"/>
      <c r="G68" s="95"/>
      <c r="H68" s="97"/>
      <c r="I68" s="39">
        <f t="shared" si="1"/>
        <v>0</v>
      </c>
      <c r="J68" s="49"/>
      <c r="K68" s="36"/>
      <c r="L68" s="95"/>
      <c r="M68" s="66"/>
    </row>
    <row r="69">
      <c r="A69" s="322"/>
      <c r="B69" s="66"/>
      <c r="C69" s="95"/>
      <c r="D69" s="95"/>
      <c r="E69" s="95"/>
      <c r="F69" s="95"/>
      <c r="G69" s="95"/>
      <c r="H69" s="97"/>
      <c r="I69" s="39">
        <f t="shared" si="1"/>
        <v>0</v>
      </c>
      <c r="J69" s="49"/>
      <c r="K69" s="36"/>
      <c r="L69" s="95"/>
      <c r="M69" s="16"/>
    </row>
    <row r="70">
      <c r="A70" s="322"/>
      <c r="B70" s="66"/>
      <c r="C70" s="95"/>
      <c r="D70" s="95"/>
      <c r="E70" s="95"/>
      <c r="F70" s="95"/>
      <c r="G70" s="95"/>
      <c r="H70" s="97"/>
      <c r="I70" s="39">
        <f t="shared" si="1"/>
        <v>0</v>
      </c>
      <c r="J70" s="49"/>
      <c r="K70" s="36"/>
      <c r="L70" s="95"/>
      <c r="M70" s="16"/>
    </row>
    <row r="71">
      <c r="A71" s="322"/>
      <c r="B71" s="66"/>
      <c r="C71" s="95"/>
      <c r="D71" s="95"/>
      <c r="E71" s="95"/>
      <c r="F71" s="95"/>
      <c r="G71" s="95"/>
      <c r="H71" s="97"/>
      <c r="I71" s="39">
        <f t="shared" si="1"/>
        <v>0</v>
      </c>
      <c r="J71" s="49"/>
      <c r="K71" s="36"/>
      <c r="L71" s="95"/>
      <c r="M71" s="16"/>
    </row>
    <row r="72">
      <c r="A72" s="322"/>
      <c r="B72" s="66"/>
      <c r="C72" s="95"/>
      <c r="D72" s="95"/>
      <c r="E72" s="95"/>
      <c r="F72" s="95"/>
      <c r="G72" s="95"/>
      <c r="H72" s="97"/>
      <c r="I72" s="39">
        <f t="shared" si="1"/>
        <v>0</v>
      </c>
      <c r="J72" s="49"/>
      <c r="K72" s="36"/>
      <c r="L72" s="95"/>
      <c r="M72" s="80"/>
    </row>
    <row r="73">
      <c r="A73" s="322"/>
      <c r="B73" s="66"/>
      <c r="C73" s="95"/>
      <c r="D73" s="95"/>
      <c r="E73" s="95"/>
      <c r="F73" s="95"/>
      <c r="G73" s="95"/>
      <c r="H73" s="97"/>
      <c r="I73" s="39">
        <f t="shared" si="1"/>
        <v>0</v>
      </c>
      <c r="J73" s="49"/>
      <c r="K73" s="36"/>
      <c r="L73" s="95"/>
      <c r="M73" s="16"/>
    </row>
    <row r="74">
      <c r="A74" s="322"/>
      <c r="B74" s="66"/>
      <c r="C74" s="95"/>
      <c r="D74" s="95"/>
      <c r="E74" s="95"/>
      <c r="F74" s="95"/>
      <c r="G74" s="95"/>
      <c r="H74" s="97"/>
      <c r="I74" s="39">
        <f t="shared" si="1"/>
        <v>0</v>
      </c>
      <c r="J74" s="49"/>
      <c r="K74" s="36"/>
      <c r="L74" s="95"/>
      <c r="M74" s="16"/>
    </row>
    <row r="75">
      <c r="A75" s="322"/>
      <c r="B75" s="66"/>
      <c r="C75" s="95"/>
      <c r="D75" s="95"/>
      <c r="E75" s="95"/>
      <c r="F75" s="95"/>
      <c r="G75" s="95"/>
      <c r="H75" s="97"/>
      <c r="I75" s="39">
        <f t="shared" si="1"/>
        <v>0</v>
      </c>
      <c r="J75" s="49"/>
      <c r="K75" s="36"/>
      <c r="L75" s="95"/>
      <c r="M75" s="16"/>
    </row>
    <row r="76">
      <c r="A76" s="322"/>
      <c r="B76" s="66"/>
      <c r="C76" s="95"/>
      <c r="D76" s="95"/>
      <c r="E76" s="95"/>
      <c r="F76" s="95"/>
      <c r="G76" s="95"/>
      <c r="H76" s="97"/>
      <c r="I76" s="39">
        <f t="shared" si="1"/>
        <v>0</v>
      </c>
      <c r="J76" s="49"/>
      <c r="K76" s="36"/>
      <c r="L76" s="95"/>
      <c r="M76" s="16"/>
    </row>
    <row r="77">
      <c r="A77" s="322"/>
      <c r="B77" s="66"/>
      <c r="C77" s="95"/>
      <c r="D77" s="95"/>
      <c r="E77" s="95"/>
      <c r="F77" s="95"/>
      <c r="G77" s="95"/>
      <c r="H77" s="97"/>
      <c r="I77" s="39">
        <f t="shared" si="1"/>
        <v>0</v>
      </c>
      <c r="J77" s="49"/>
      <c r="K77" s="36"/>
      <c r="L77" s="95"/>
      <c r="M77" s="16"/>
    </row>
    <row r="78">
      <c r="A78" s="322"/>
      <c r="B78" s="66"/>
      <c r="C78" s="95"/>
      <c r="D78" s="95"/>
      <c r="E78" s="95"/>
      <c r="F78" s="95"/>
      <c r="G78" s="95"/>
      <c r="H78" s="97"/>
      <c r="I78" s="39">
        <f t="shared" si="1"/>
        <v>0</v>
      </c>
      <c r="J78" s="49"/>
      <c r="K78" s="36"/>
      <c r="L78" s="95"/>
      <c r="M78" s="16"/>
    </row>
    <row r="79">
      <c r="A79" s="16"/>
      <c r="B79" s="16"/>
      <c r="C79" s="95"/>
      <c r="D79" s="95"/>
      <c r="E79" s="95"/>
      <c r="F79" s="95"/>
      <c r="G79" s="95"/>
      <c r="H79" s="97"/>
      <c r="I79" s="39">
        <f t="shared" si="1"/>
        <v>0</v>
      </c>
      <c r="J79" s="49"/>
      <c r="K79" s="36"/>
      <c r="L79" s="95"/>
      <c r="M79" s="66"/>
    </row>
    <row r="80">
      <c r="A80" s="16"/>
      <c r="B80" s="16"/>
      <c r="C80" s="95"/>
      <c r="D80" s="95"/>
      <c r="E80" s="95"/>
      <c r="F80" s="95"/>
      <c r="G80" s="95"/>
      <c r="H80" s="97"/>
      <c r="I80" s="39">
        <f t="shared" si="1"/>
        <v>0</v>
      </c>
      <c r="J80" s="49"/>
      <c r="K80" s="36"/>
      <c r="L80" s="95"/>
      <c r="M80" s="66"/>
    </row>
    <row r="81">
      <c r="A81" s="322"/>
      <c r="B81" s="66"/>
      <c r="C81" s="95"/>
      <c r="D81" s="95"/>
      <c r="E81" s="95"/>
      <c r="F81" s="95"/>
      <c r="G81" s="95"/>
      <c r="H81" s="97"/>
      <c r="I81" s="39">
        <f t="shared" si="1"/>
        <v>0</v>
      </c>
      <c r="J81" s="49"/>
      <c r="K81" s="36"/>
      <c r="L81" s="95"/>
      <c r="M81" s="16"/>
    </row>
    <row r="82">
      <c r="A82" s="23"/>
      <c r="B82" s="66"/>
      <c r="C82" s="95"/>
      <c r="D82" s="95"/>
      <c r="E82" s="95"/>
      <c r="F82" s="95"/>
      <c r="G82" s="95"/>
      <c r="H82" s="97"/>
      <c r="I82" s="39">
        <f t="shared" si="1"/>
        <v>0</v>
      </c>
      <c r="J82" s="49"/>
      <c r="K82" s="36"/>
      <c r="L82" s="95"/>
      <c r="M82" s="80"/>
    </row>
    <row r="83">
      <c r="A83" s="322"/>
      <c r="B83" s="66"/>
      <c r="C83" s="95"/>
      <c r="D83" s="95"/>
      <c r="E83" s="95"/>
      <c r="F83" s="95"/>
      <c r="G83" s="95"/>
      <c r="H83" s="97"/>
      <c r="I83" s="39">
        <f t="shared" si="1"/>
        <v>0</v>
      </c>
      <c r="J83" s="49"/>
      <c r="K83" s="36"/>
      <c r="L83" s="95"/>
      <c r="M83" s="16"/>
    </row>
    <row r="84">
      <c r="A84" s="322"/>
      <c r="B84" s="66"/>
      <c r="C84" s="95"/>
      <c r="D84" s="95"/>
      <c r="E84" s="95"/>
      <c r="F84" s="95"/>
      <c r="G84" s="95"/>
      <c r="H84" s="97"/>
      <c r="I84" s="39">
        <f t="shared" si="1"/>
        <v>0</v>
      </c>
      <c r="J84" s="49"/>
      <c r="K84" s="36"/>
      <c r="L84" s="95"/>
      <c r="M84" s="80"/>
    </row>
    <row r="85">
      <c r="A85" s="322"/>
      <c r="B85" s="66"/>
      <c r="C85" s="95"/>
      <c r="D85" s="95"/>
      <c r="E85" s="95"/>
      <c r="F85" s="95"/>
      <c r="G85" s="95"/>
      <c r="H85" s="97"/>
      <c r="I85" s="39">
        <f t="shared" si="1"/>
        <v>0</v>
      </c>
      <c r="J85" s="49"/>
      <c r="K85" s="36"/>
      <c r="L85" s="95"/>
      <c r="M85" s="16"/>
    </row>
    <row r="86">
      <c r="A86" s="322"/>
      <c r="B86" s="66"/>
      <c r="C86" s="95"/>
      <c r="D86" s="95"/>
      <c r="E86" s="95"/>
      <c r="F86" s="95"/>
      <c r="G86" s="95"/>
      <c r="H86" s="97"/>
      <c r="I86" s="39">
        <f t="shared" si="1"/>
        <v>0</v>
      </c>
      <c r="J86" s="49"/>
      <c r="K86" s="36"/>
      <c r="L86" s="95"/>
      <c r="M86" s="16"/>
    </row>
    <row r="87">
      <c r="A87" s="322"/>
      <c r="B87" s="66"/>
      <c r="C87" s="95"/>
      <c r="D87" s="95"/>
      <c r="E87" s="95"/>
      <c r="F87" s="95"/>
      <c r="G87" s="95"/>
      <c r="H87" s="97"/>
      <c r="I87" s="39">
        <f t="shared" si="1"/>
        <v>0</v>
      </c>
      <c r="J87" s="49"/>
      <c r="K87" s="36"/>
      <c r="L87" s="95"/>
      <c r="M87" s="16"/>
    </row>
    <row r="88">
      <c r="A88" s="322"/>
      <c r="B88" s="66"/>
      <c r="C88" s="95"/>
      <c r="D88" s="95"/>
      <c r="E88" s="95"/>
      <c r="F88" s="95"/>
      <c r="G88" s="95"/>
      <c r="H88" s="97"/>
      <c r="I88" s="39">
        <f t="shared" si="1"/>
        <v>0</v>
      </c>
      <c r="J88" s="49"/>
      <c r="K88" s="36"/>
      <c r="L88" s="95"/>
      <c r="M88" s="16"/>
    </row>
    <row r="89">
      <c r="A89" s="322"/>
      <c r="B89" s="66"/>
      <c r="C89" s="95"/>
      <c r="D89" s="95"/>
      <c r="E89" s="95"/>
      <c r="F89" s="95"/>
      <c r="G89" s="95"/>
      <c r="H89" s="97"/>
      <c r="I89" s="39">
        <f t="shared" si="1"/>
        <v>0</v>
      </c>
      <c r="J89" s="49"/>
      <c r="K89" s="36"/>
      <c r="L89" s="95"/>
      <c r="M89" s="16"/>
    </row>
    <row r="90">
      <c r="A90" s="322"/>
      <c r="B90" s="66"/>
      <c r="C90" s="95"/>
      <c r="D90" s="95"/>
      <c r="E90" s="95"/>
      <c r="F90" s="95"/>
      <c r="G90" s="95"/>
      <c r="H90" s="97"/>
      <c r="I90" s="39">
        <f t="shared" si="1"/>
        <v>0</v>
      </c>
      <c r="J90" s="49"/>
      <c r="K90" s="36"/>
      <c r="L90" s="95"/>
      <c r="M90" s="16"/>
    </row>
    <row r="91">
      <c r="A91" s="322"/>
      <c r="B91" s="66"/>
      <c r="C91" s="95"/>
      <c r="D91" s="95"/>
      <c r="E91" s="95"/>
      <c r="F91" s="95"/>
      <c r="G91" s="95"/>
      <c r="H91" s="97"/>
      <c r="I91" s="39">
        <f t="shared" si="1"/>
        <v>0</v>
      </c>
      <c r="J91" s="49"/>
      <c r="K91" s="36"/>
      <c r="L91" s="95"/>
      <c r="M91" s="16"/>
    </row>
    <row r="92">
      <c r="A92" s="322"/>
      <c r="B92" s="66"/>
      <c r="C92" s="95"/>
      <c r="D92" s="95"/>
      <c r="E92" s="95"/>
      <c r="F92" s="95"/>
      <c r="G92" s="95"/>
      <c r="H92" s="97"/>
      <c r="I92" s="39">
        <f t="shared" si="1"/>
        <v>0</v>
      </c>
      <c r="J92" s="49"/>
      <c r="K92" s="36"/>
      <c r="L92" s="95"/>
    </row>
    <row r="93">
      <c r="A93" s="23"/>
      <c r="B93" s="66"/>
      <c r="C93" s="95"/>
      <c r="D93" s="95"/>
      <c r="E93" s="95"/>
      <c r="F93" s="95"/>
      <c r="G93" s="95"/>
      <c r="H93" s="97"/>
      <c r="I93" s="39">
        <f t="shared" si="1"/>
        <v>0</v>
      </c>
      <c r="J93" s="49"/>
      <c r="K93" s="36"/>
      <c r="L93" s="95"/>
    </row>
    <row r="94">
      <c r="A94" s="322"/>
      <c r="B94" s="323"/>
      <c r="C94" s="95"/>
      <c r="D94" s="95"/>
      <c r="E94" s="95"/>
      <c r="F94" s="95"/>
      <c r="G94" s="95"/>
      <c r="H94" s="97"/>
      <c r="I94" s="39">
        <f t="shared" si="1"/>
        <v>0</v>
      </c>
      <c r="J94" s="49"/>
      <c r="K94" s="36"/>
      <c r="L94" s="95"/>
    </row>
    <row r="95">
      <c r="A95" s="322"/>
      <c r="B95" s="66"/>
      <c r="C95" s="95"/>
      <c r="D95" s="95"/>
      <c r="E95" s="95"/>
      <c r="F95" s="95"/>
      <c r="G95" s="95"/>
      <c r="H95" s="97"/>
      <c r="I95" s="39">
        <f t="shared" si="1"/>
        <v>0</v>
      </c>
      <c r="J95" s="49"/>
      <c r="K95" s="36"/>
      <c r="L95" s="95"/>
    </row>
    <row r="96">
      <c r="A96" s="322"/>
      <c r="B96" s="66"/>
      <c r="C96" s="95"/>
      <c r="D96" s="95"/>
      <c r="E96" s="95"/>
      <c r="F96" s="95"/>
      <c r="G96" s="95"/>
      <c r="H96" s="97"/>
      <c r="I96" s="39">
        <f t="shared" si="1"/>
        <v>0</v>
      </c>
      <c r="J96" s="49"/>
      <c r="K96" s="36"/>
      <c r="L96" s="95"/>
    </row>
    <row r="97">
      <c r="A97" s="23"/>
      <c r="B97" s="66"/>
      <c r="C97" s="95"/>
      <c r="D97" s="95"/>
      <c r="E97" s="95"/>
      <c r="F97" s="95"/>
      <c r="G97" s="95"/>
      <c r="H97" s="97"/>
      <c r="I97" s="39">
        <f t="shared" si="1"/>
        <v>0</v>
      </c>
      <c r="J97" s="49"/>
      <c r="K97" s="36"/>
      <c r="L97" s="95"/>
    </row>
    <row r="98">
      <c r="A98" s="322"/>
      <c r="B98" s="66"/>
      <c r="C98" s="95"/>
      <c r="D98" s="95"/>
      <c r="E98" s="95"/>
      <c r="F98" s="95"/>
      <c r="G98" s="95"/>
      <c r="H98" s="97"/>
      <c r="I98" s="39">
        <f t="shared" si="1"/>
        <v>0</v>
      </c>
      <c r="J98" s="49"/>
      <c r="K98" s="36"/>
      <c r="L98" s="95"/>
    </row>
    <row r="99">
      <c r="A99" s="322"/>
      <c r="B99" s="66"/>
      <c r="C99" s="95"/>
      <c r="D99" s="95"/>
      <c r="E99" s="95"/>
      <c r="F99" s="95"/>
      <c r="G99" s="95"/>
      <c r="H99" s="97"/>
      <c r="I99" s="39">
        <f t="shared" si="1"/>
        <v>0</v>
      </c>
      <c r="J99" s="49"/>
      <c r="K99" s="36"/>
      <c r="L99" s="95"/>
    </row>
    <row r="100">
      <c r="A100" s="322"/>
      <c r="B100" s="66"/>
      <c r="C100" s="95"/>
      <c r="D100" s="95"/>
      <c r="E100" s="95"/>
      <c r="F100" s="95"/>
      <c r="G100" s="95"/>
      <c r="H100" s="97"/>
      <c r="I100" s="39">
        <f t="shared" si="1"/>
        <v>0</v>
      </c>
      <c r="J100" s="49"/>
      <c r="K100" s="36"/>
      <c r="L100" s="95"/>
    </row>
    <row r="101">
      <c r="A101" s="322"/>
      <c r="B101" s="66"/>
      <c r="C101" s="95"/>
      <c r="D101" s="95"/>
      <c r="E101" s="95"/>
      <c r="F101" s="95"/>
      <c r="G101" s="95"/>
      <c r="H101" s="97"/>
      <c r="I101" s="39">
        <f t="shared" si="1"/>
        <v>0</v>
      </c>
      <c r="J101" s="49"/>
      <c r="K101" s="36"/>
      <c r="L101" s="95"/>
    </row>
    <row r="102">
      <c r="A102" s="322"/>
      <c r="B102" s="66"/>
      <c r="C102" s="95"/>
      <c r="D102" s="95"/>
      <c r="E102" s="95"/>
      <c r="F102" s="95"/>
      <c r="G102" s="95"/>
      <c r="H102" s="97"/>
      <c r="I102" s="39">
        <f t="shared" si="1"/>
        <v>0</v>
      </c>
      <c r="J102" s="49"/>
      <c r="K102" s="36"/>
      <c r="L102" s="95"/>
    </row>
    <row r="103">
      <c r="A103" s="322"/>
      <c r="B103" s="66"/>
      <c r="C103" s="95"/>
      <c r="D103" s="95"/>
      <c r="E103" s="95"/>
      <c r="F103" s="95"/>
      <c r="G103" s="95"/>
      <c r="H103" s="97"/>
      <c r="I103" s="39">
        <f t="shared" si="1"/>
        <v>0</v>
      </c>
      <c r="J103" s="49"/>
      <c r="K103" s="36"/>
      <c r="L103" s="95"/>
    </row>
    <row r="104">
      <c r="A104" s="322"/>
      <c r="B104" s="66"/>
      <c r="C104" s="95"/>
      <c r="D104" s="95"/>
      <c r="E104" s="95"/>
      <c r="F104" s="95"/>
      <c r="G104" s="95"/>
      <c r="H104" s="97"/>
      <c r="I104" s="39">
        <f t="shared" si="1"/>
        <v>0</v>
      </c>
      <c r="J104" s="49"/>
      <c r="K104" s="36"/>
      <c r="L104" s="95"/>
    </row>
    <row r="105">
      <c r="A105" s="322"/>
      <c r="B105" s="66"/>
      <c r="C105" s="95"/>
      <c r="D105" s="95"/>
      <c r="E105" s="95"/>
      <c r="F105" s="95"/>
      <c r="G105" s="95"/>
      <c r="H105" s="97"/>
      <c r="I105" s="39">
        <f t="shared" si="1"/>
        <v>0</v>
      </c>
      <c r="J105" s="49"/>
      <c r="K105" s="36"/>
      <c r="L105" s="95"/>
    </row>
    <row r="106">
      <c r="A106" s="322"/>
      <c r="B106" s="66"/>
      <c r="C106" s="95"/>
      <c r="D106" s="95"/>
      <c r="E106" s="95"/>
      <c r="F106" s="95"/>
      <c r="G106" s="95"/>
      <c r="H106" s="97"/>
      <c r="I106" s="39">
        <f t="shared" si="1"/>
        <v>0</v>
      </c>
      <c r="J106" s="49"/>
      <c r="K106" s="36"/>
      <c r="L106" s="95"/>
    </row>
    <row r="107">
      <c r="A107" s="322"/>
      <c r="B107" s="66"/>
      <c r="C107" s="95"/>
      <c r="D107" s="95"/>
      <c r="E107" s="95"/>
      <c r="F107" s="95"/>
      <c r="G107" s="95"/>
      <c r="H107" s="97"/>
      <c r="I107" s="39">
        <f t="shared" si="1"/>
        <v>0</v>
      </c>
      <c r="J107" s="49"/>
      <c r="K107" s="36"/>
      <c r="L107" s="95"/>
    </row>
    <row r="108">
      <c r="A108" s="322"/>
      <c r="B108" s="66"/>
      <c r="C108" s="95"/>
      <c r="D108" s="95"/>
      <c r="E108" s="95"/>
      <c r="F108" s="95"/>
      <c r="G108" s="95"/>
      <c r="H108" s="97"/>
      <c r="I108" s="39">
        <f t="shared" si="1"/>
        <v>0</v>
      </c>
      <c r="J108" s="49"/>
      <c r="K108" s="36"/>
      <c r="L108" s="95"/>
    </row>
    <row r="109">
      <c r="A109" s="322"/>
      <c r="B109" s="66"/>
      <c r="C109" s="95"/>
      <c r="D109" s="95"/>
      <c r="E109" s="95"/>
      <c r="F109" s="95"/>
      <c r="G109" s="95"/>
      <c r="H109" s="97"/>
      <c r="I109" s="39">
        <f t="shared" si="1"/>
        <v>0</v>
      </c>
      <c r="J109" s="49"/>
      <c r="K109" s="36"/>
      <c r="L109" s="95"/>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2" max="2" width="115.71"/>
  </cols>
  <sheetData>
    <row r="1">
      <c r="A1" s="3" t="s">
        <v>1126</v>
      </c>
    </row>
    <row r="2">
      <c r="B2" s="5" t="s">
        <v>1127</v>
      </c>
    </row>
    <row r="3">
      <c r="B3" s="5" t="s">
        <v>1129</v>
      </c>
    </row>
    <row r="5">
      <c r="A5" s="3" t="s">
        <v>1130</v>
      </c>
    </row>
    <row r="6">
      <c r="B6" s="5" t="s">
        <v>1131</v>
      </c>
    </row>
    <row r="7">
      <c r="B7" s="34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c r="B8" s="5" t="s">
        <v>1135</v>
      </c>
    </row>
    <row r="10">
      <c r="A10" s="3" t="s">
        <v>1136</v>
      </c>
    </row>
    <row r="11">
      <c r="B11" s="5" t="s">
        <v>1137</v>
      </c>
    </row>
    <row r="12">
      <c r="B12" s="5" t="s">
        <v>1138</v>
      </c>
    </row>
    <row r="13">
      <c r="B13" s="5" t="s">
        <v>1139</v>
      </c>
    </row>
    <row r="14">
      <c r="B14" s="5" t="s">
        <v>1140</v>
      </c>
    </row>
    <row r="16">
      <c r="A16" s="3" t="s">
        <v>1141</v>
      </c>
    </row>
    <row r="17">
      <c r="B17" s="5" t="s">
        <v>1142</v>
      </c>
    </row>
    <row r="18">
      <c r="B18" s="5" t="s">
        <v>1143</v>
      </c>
    </row>
    <row r="19">
      <c r="B19" s="5" t="s">
        <v>1144</v>
      </c>
    </row>
    <row r="21">
      <c r="A21" s="3" t="s">
        <v>1145</v>
      </c>
    </row>
    <row r="22">
      <c r="B22" s="5" t="s">
        <v>1146</v>
      </c>
    </row>
    <row r="23">
      <c r="B23" s="5" t="s">
        <v>1147</v>
      </c>
    </row>
    <row r="25">
      <c r="A25" s="3" t="s">
        <v>1148</v>
      </c>
    </row>
    <row r="26">
      <c r="B26" s="5" t="s">
        <v>1149</v>
      </c>
    </row>
    <row r="27">
      <c r="B27" s="5" t="s">
        <v>1150</v>
      </c>
    </row>
    <row r="29">
      <c r="A29" s="3" t="s">
        <v>1151</v>
      </c>
    </row>
    <row r="30">
      <c r="B30" s="5" t="s">
        <v>1152</v>
      </c>
    </row>
    <row r="31">
      <c r="B31" s="5" t="s">
        <v>1153</v>
      </c>
    </row>
    <row r="32">
      <c r="B32" s="5" t="s">
        <v>1154</v>
      </c>
    </row>
    <row r="33">
      <c r="B33" s="5" t="s">
        <v>1155</v>
      </c>
    </row>
    <row r="35">
      <c r="A35" s="3" t="s">
        <v>1156</v>
      </c>
    </row>
    <row r="36">
      <c r="B36" s="5" t="s">
        <v>1157</v>
      </c>
    </row>
    <row r="37">
      <c r="B37" s="5" t="s">
        <v>1158</v>
      </c>
    </row>
    <row r="39">
      <c r="A39" s="3" t="s">
        <v>1159</v>
      </c>
    </row>
    <row r="40">
      <c r="B40" s="5" t="s">
        <v>1160</v>
      </c>
    </row>
    <row r="41">
      <c r="B41" s="5" t="s">
        <v>1161</v>
      </c>
    </row>
    <row r="43">
      <c r="A43" s="3" t="s">
        <v>1162</v>
      </c>
    </row>
    <row r="44">
      <c r="B44" s="5" t="s">
        <v>1163</v>
      </c>
    </row>
    <row r="45">
      <c r="B45" s="5" t="s">
        <v>1164</v>
      </c>
    </row>
    <row r="46">
      <c r="B46" s="5" t="s">
        <v>1166</v>
      </c>
    </row>
    <row r="48">
      <c r="A48" s="3" t="s">
        <v>1167</v>
      </c>
    </row>
    <row r="49">
      <c r="B49" s="5" t="s">
        <v>1168</v>
      </c>
    </row>
    <row r="50">
      <c r="B50" s="5" t="s">
        <v>1169</v>
      </c>
    </row>
    <row r="52">
      <c r="A52" s="3" t="s">
        <v>1170</v>
      </c>
    </row>
    <row r="53">
      <c r="B53" s="5" t="s">
        <v>1171</v>
      </c>
    </row>
    <row r="55">
      <c r="A55" s="3" t="s">
        <v>1172</v>
      </c>
    </row>
    <row r="56">
      <c r="B56" s="5" t="s">
        <v>1173</v>
      </c>
    </row>
    <row r="57">
      <c r="B57" s="5" t="s">
        <v>1174</v>
      </c>
    </row>
    <row r="58">
      <c r="B58" s="5" t="s">
        <v>1175</v>
      </c>
    </row>
    <row r="59">
      <c r="B59" s="5" t="s">
        <v>1176</v>
      </c>
    </row>
    <row r="60">
      <c r="B60" s="5" t="s">
        <v>1177</v>
      </c>
    </row>
    <row r="61">
      <c r="B61" s="5" t="s">
        <v>1178</v>
      </c>
    </row>
    <row r="62">
      <c r="B62" s="5" t="s">
        <v>1179</v>
      </c>
    </row>
    <row r="63">
      <c r="B63" s="5" t="s">
        <v>1180</v>
      </c>
    </row>
    <row r="64">
      <c r="B64" s="5" t="s">
        <v>1181</v>
      </c>
    </row>
    <row r="65">
      <c r="B65" s="5" t="s">
        <v>1182</v>
      </c>
    </row>
    <row r="66">
      <c r="B66" s="5"/>
    </row>
    <row r="67">
      <c r="B67" s="345" t="s">
        <v>1183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3" t="s">
        <v>1</v>
      </c>
    </row>
    <row r="2">
      <c r="A2" s="5" t="s">
        <v>5</v>
      </c>
    </row>
    <row r="4">
      <c r="A4" s="3" t="s">
        <v>7</v>
      </c>
    </row>
    <row r="5">
      <c r="A5" s="10" t="s">
        <v>8</v>
      </c>
    </row>
    <row r="7">
      <c r="A7" s="3" t="s">
        <v>20</v>
      </c>
    </row>
    <row r="8">
      <c r="A8" s="5" t="s">
        <v>21</v>
      </c>
    </row>
    <row r="10">
      <c r="A10" s="3" t="s">
        <v>22</v>
      </c>
    </row>
    <row r="11">
      <c r="A11" s="5" t="s">
        <v>23</v>
      </c>
    </row>
    <row r="13">
      <c r="A13" s="3" t="s">
        <v>24</v>
      </c>
    </row>
    <row r="14">
      <c r="A14" s="5" t="s">
        <v>25</v>
      </c>
    </row>
    <row r="16">
      <c r="A16" s="3" t="s">
        <v>26</v>
      </c>
    </row>
    <row r="17">
      <c r="A17" s="5" t="s">
        <v>27</v>
      </c>
    </row>
    <row r="19">
      <c r="A19" s="3" t="s">
        <v>28</v>
      </c>
    </row>
    <row r="20">
      <c r="A20" s="5" t="s">
        <v>29</v>
      </c>
    </row>
    <row r="22">
      <c r="A22" s="15" t="s">
        <v>31</v>
      </c>
    </row>
    <row r="23">
      <c r="A23" s="16" t="s">
        <v>32</v>
      </c>
    </row>
    <row r="24">
      <c r="A24" s="16"/>
    </row>
    <row r="25">
      <c r="A25" s="15" t="s">
        <v>33</v>
      </c>
    </row>
    <row r="26">
      <c r="A26" s="5" t="s">
        <v>34</v>
      </c>
    </row>
    <row r="28">
      <c r="A28" s="15" t="s">
        <v>35</v>
      </c>
    </row>
    <row r="29">
      <c r="A29" s="5" t="s">
        <v>36</v>
      </c>
    </row>
    <row r="31">
      <c r="A31" s="15" t="s">
        <v>37</v>
      </c>
    </row>
    <row r="32">
      <c r="A32" s="5" t="s">
        <v>39</v>
      </c>
    </row>
    <row r="34">
      <c r="A34" s="15" t="s">
        <v>40</v>
      </c>
    </row>
    <row r="35">
      <c r="A35" s="5" t="s">
        <v>41</v>
      </c>
    </row>
    <row r="37">
      <c r="A37" s="15" t="s">
        <v>42</v>
      </c>
    </row>
    <row r="38">
      <c r="A38" s="5" t="s">
        <v>43</v>
      </c>
    </row>
    <row r="40">
      <c r="A40" s="15" t="s">
        <v>44</v>
      </c>
    </row>
    <row r="41">
      <c r="A41" s="5" t="s">
        <v>45</v>
      </c>
    </row>
    <row r="43">
      <c r="A43" s="15" t="s">
        <v>46</v>
      </c>
    </row>
    <row r="44">
      <c r="A44" s="5" t="s">
        <v>47</v>
      </c>
    </row>
    <row r="46">
      <c r="A46" s="15" t="s">
        <v>48</v>
      </c>
    </row>
    <row r="47">
      <c r="A47" s="5" t="s">
        <v>49</v>
      </c>
    </row>
    <row r="49">
      <c r="A49" s="15" t="s">
        <v>50</v>
      </c>
    </row>
    <row r="50">
      <c r="A50" s="5" t="s">
        <v>51</v>
      </c>
    </row>
    <row r="52">
      <c r="A52" s="15" t="s">
        <v>52</v>
      </c>
    </row>
    <row r="53">
      <c r="A53" s="5" t="s">
        <v>53</v>
      </c>
    </row>
    <row r="55">
      <c r="A55" s="15" t="s">
        <v>54</v>
      </c>
    </row>
    <row r="56">
      <c r="A56" s="5" t="s">
        <v>55</v>
      </c>
    </row>
    <row r="58">
      <c r="A58" s="15" t="s">
        <v>56</v>
      </c>
    </row>
    <row r="59">
      <c r="A59" s="5" t="s">
        <v>57</v>
      </c>
    </row>
    <row r="61">
      <c r="A61" s="15" t="s">
        <v>58</v>
      </c>
    </row>
    <row r="62">
      <c r="A62" s="5" t="s">
        <v>59</v>
      </c>
    </row>
    <row r="64">
      <c r="A64" s="15" t="s">
        <v>60</v>
      </c>
    </row>
    <row r="65">
      <c r="A65" s="10" t="s">
        <v>61</v>
      </c>
    </row>
    <row r="67">
      <c r="A67" s="15" t="s">
        <v>65</v>
      </c>
    </row>
    <row r="68">
      <c r="A68" s="5" t="s">
        <v>66</v>
      </c>
    </row>
    <row r="70">
      <c r="A70" s="15" t="s">
        <v>67</v>
      </c>
    </row>
    <row r="71">
      <c r="A71" s="5" t="s">
        <v>68</v>
      </c>
    </row>
    <row r="73">
      <c r="A73" s="15" t="s">
        <v>69</v>
      </c>
    </row>
    <row r="74">
      <c r="A74" s="10" t="s">
        <v>70</v>
      </c>
    </row>
    <row r="76">
      <c r="A76" s="15" t="s">
        <v>73</v>
      </c>
    </row>
    <row r="77">
      <c r="A77" s="10" t="s">
        <v>74</v>
      </c>
    </row>
  </sheetData>
  <hyperlinks>
    <hyperlink r:id="rId1" ref="A5"/>
    <hyperlink r:id="rId2" ref="A65"/>
    <hyperlink r:id="rId3" ref="A74"/>
    <hyperlink r:id="rId4" ref="A7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6" t="s">
        <v>3</v>
      </c>
      <c r="C1" s="8" t="s">
        <v>9</v>
      </c>
      <c r="D1" s="9" t="s">
        <v>10</v>
      </c>
      <c r="E1" s="9" t="s">
        <v>11</v>
      </c>
      <c r="F1" s="8" t="s">
        <v>12</v>
      </c>
      <c r="G1" s="9" t="s">
        <v>13</v>
      </c>
      <c r="H1" s="9" t="s">
        <v>14</v>
      </c>
      <c r="I1" s="9" t="s">
        <v>15</v>
      </c>
      <c r="J1" s="8" t="s">
        <v>16</v>
      </c>
      <c r="K1" s="8" t="s">
        <v>17</v>
      </c>
      <c r="L1" s="8" t="s">
        <v>18</v>
      </c>
      <c r="M1" s="11" t="s">
        <v>19</v>
      </c>
    </row>
    <row r="2">
      <c r="A2" s="13"/>
      <c r="B2" s="14" t="s">
        <v>30</v>
      </c>
      <c r="C2" s="18">
        <f>countif(C3:C10516, "AC")</f>
        <v>3</v>
      </c>
      <c r="D2" s="21">
        <f>ROUND(SUMPRODUCT(D3:D10516,INT(EQ(C3:C10516, "AC")))/MAX(1, C2),1)</f>
        <v>2.3</v>
      </c>
      <c r="E2" s="21">
        <f>ROUND(SUMPRODUCT(E3:E10538,INT(EQ(C3:C10538, "AC")))/MAX(1, C2))</f>
        <v>5</v>
      </c>
      <c r="F2" s="21">
        <f>ROUND(SUMPRODUCT(F3:F10541,INT(EQ(C3:C10541, "AC")))/MAX(1, C2))</f>
        <v>13</v>
      </c>
      <c r="G2" s="21">
        <f>ROUND(SUMPRODUCT(G3:G10541,INT(EQ(C3:C10541, "AC")))/MAX(1, C2))</f>
        <v>15</v>
      </c>
      <c r="H2" s="21">
        <f>ROUND(SUMPRODUCT(H3:H10541,INT(EQ(C3:C10541, "AC")))/MAX(1, C2))</f>
        <v>18</v>
      </c>
      <c r="I2" s="21">
        <f>ROUND(SUMPRODUCT(I3:I10513,INT(EQ(C3:C10513, "AC")))/MAX(1, C2))</f>
        <v>50</v>
      </c>
      <c r="J2" s="21">
        <f>ROUND(SUMPRODUCT(J3:J10511,INT(EQ(C3:C10511, "AC")))/MAX(1, C2),1)</f>
        <v>2</v>
      </c>
      <c r="K2" s="21">
        <f>SUMPRODUCT(EQ(K3:K10516, "YES"),INT(EQ(C3:C10541, "AC")))</f>
        <v>2</v>
      </c>
      <c r="L2" s="30">
        <f>IFERROR(__xludf.DUMMYFUNCTION("COUNTA(FILTER(C3:C10008, NOT(REGEXMATCH(C3:C10008, ""AC""))))"),2.0)</f>
        <v>2</v>
      </c>
      <c r="M2" s="32">
        <f>IFERROR(__xludf.DUMMYFUNCTION("COUNTA(FILTER(C3:C10002, NOT(REGEXMATCH(C3:C10002, ""AC""))))"),2.0)</f>
        <v>2</v>
      </c>
    </row>
    <row r="3">
      <c r="A3" s="33" t="s">
        <v>82</v>
      </c>
      <c r="B3" s="35" t="s">
        <v>84</v>
      </c>
      <c r="C3" s="19" t="s">
        <v>85</v>
      </c>
      <c r="D3" s="36">
        <v>5.0</v>
      </c>
      <c r="E3" s="36">
        <v>4.0</v>
      </c>
      <c r="F3" s="36">
        <v>8.0</v>
      </c>
      <c r="G3" s="36">
        <v>6.0</v>
      </c>
      <c r="H3" s="36">
        <v>32.0</v>
      </c>
      <c r="I3" s="39">
        <f t="shared" ref="I3:I12" si="1">SUM(E3:H3)</f>
        <v>50</v>
      </c>
      <c r="J3" s="39">
        <v>2.0</v>
      </c>
      <c r="K3" s="36" t="s">
        <v>87</v>
      </c>
      <c r="L3" s="36" t="s">
        <v>88</v>
      </c>
      <c r="M3" s="40" t="s">
        <v>89</v>
      </c>
    </row>
    <row r="4">
      <c r="A4" s="33" t="s">
        <v>90</v>
      </c>
      <c r="B4" s="35" t="s">
        <v>91</v>
      </c>
      <c r="C4" s="19" t="s">
        <v>85</v>
      </c>
      <c r="D4" s="36">
        <v>1.0</v>
      </c>
      <c r="E4" s="36">
        <v>5.0</v>
      </c>
      <c r="F4" s="36">
        <v>10.0</v>
      </c>
      <c r="G4" s="36">
        <v>35.0</v>
      </c>
      <c r="H4" s="36">
        <v>20.0</v>
      </c>
      <c r="I4" s="39">
        <f t="shared" si="1"/>
        <v>70</v>
      </c>
      <c r="J4" s="39">
        <v>2.0</v>
      </c>
      <c r="K4" s="36" t="s">
        <v>92</v>
      </c>
      <c r="L4" s="36" t="s">
        <v>93</v>
      </c>
      <c r="M4" s="42" t="s">
        <v>94</v>
      </c>
    </row>
    <row r="5">
      <c r="A5" s="33" t="s">
        <v>95</v>
      </c>
      <c r="B5" s="35" t="s">
        <v>96</v>
      </c>
      <c r="C5" s="19" t="s">
        <v>85</v>
      </c>
      <c r="D5" s="36">
        <v>1.0</v>
      </c>
      <c r="E5" s="36">
        <v>5.0</v>
      </c>
      <c r="F5" s="36">
        <v>20.0</v>
      </c>
      <c r="G5" s="36">
        <v>4.0</v>
      </c>
      <c r="H5" s="36">
        <v>1.0</v>
      </c>
      <c r="I5" s="39">
        <f t="shared" si="1"/>
        <v>30</v>
      </c>
      <c r="J5" s="39">
        <v>2.0</v>
      </c>
      <c r="K5" s="36" t="s">
        <v>87</v>
      </c>
      <c r="L5" s="36" t="s">
        <v>97</v>
      </c>
      <c r="M5" s="42" t="s">
        <v>100</v>
      </c>
    </row>
    <row r="6">
      <c r="A6" s="33" t="s">
        <v>101</v>
      </c>
      <c r="B6" s="35" t="s">
        <v>102</v>
      </c>
      <c r="C6" s="45" t="s">
        <v>103</v>
      </c>
      <c r="D6" s="39">
        <v>5.0</v>
      </c>
      <c r="E6" s="39">
        <v>4.0</v>
      </c>
      <c r="F6" s="39">
        <v>25.0</v>
      </c>
      <c r="G6" s="39">
        <v>20.0</v>
      </c>
      <c r="H6" s="36">
        <v>2.0</v>
      </c>
      <c r="I6" s="39">
        <f t="shared" si="1"/>
        <v>51</v>
      </c>
      <c r="J6" s="36">
        <v>7.0</v>
      </c>
      <c r="K6" s="36"/>
      <c r="L6" s="36" t="s">
        <v>88</v>
      </c>
      <c r="M6" s="42" t="s">
        <v>104</v>
      </c>
    </row>
    <row r="7">
      <c r="A7" s="33" t="s">
        <v>105</v>
      </c>
      <c r="B7" s="35" t="s">
        <v>106</v>
      </c>
      <c r="C7" s="47" t="s">
        <v>107</v>
      </c>
      <c r="D7" s="36">
        <v>6.0</v>
      </c>
      <c r="E7" s="36">
        <v>5.0</v>
      </c>
      <c r="F7" s="36">
        <v>30.0</v>
      </c>
      <c r="G7" s="36">
        <v>25.0</v>
      </c>
      <c r="H7" s="36">
        <v>31.0</v>
      </c>
      <c r="I7" s="39">
        <f t="shared" si="1"/>
        <v>91</v>
      </c>
      <c r="J7" s="36">
        <v>9.0</v>
      </c>
      <c r="K7" s="36"/>
      <c r="L7" s="36"/>
      <c r="M7" s="33" t="s">
        <v>109</v>
      </c>
    </row>
    <row r="8">
      <c r="A8" s="33"/>
      <c r="B8" s="35"/>
      <c r="C8" s="14"/>
      <c r="D8" s="49"/>
      <c r="E8" s="49"/>
      <c r="F8" s="49"/>
      <c r="G8" s="49"/>
      <c r="H8" s="39"/>
      <c r="I8" s="39">
        <f t="shared" si="1"/>
        <v>0</v>
      </c>
      <c r="J8" s="49"/>
      <c r="K8" s="36"/>
      <c r="L8" s="49"/>
      <c r="M8" s="51"/>
    </row>
    <row r="9">
      <c r="A9" s="52"/>
      <c r="B9" s="53"/>
      <c r="C9" s="14"/>
      <c r="D9" s="49"/>
      <c r="E9" s="49"/>
      <c r="F9" s="49"/>
      <c r="G9" s="49"/>
      <c r="H9" s="39"/>
      <c r="I9" s="39">
        <f t="shared" si="1"/>
        <v>0</v>
      </c>
      <c r="J9" s="49"/>
      <c r="K9" s="36"/>
      <c r="L9" s="49"/>
      <c r="M9" s="54" t="str">
        <f>HYPERLINK("https://www.youtube.com/watch?v=fd0Ebfa_mJ0","Watch - Approaching Problem Statement ")</f>
        <v>Watch - Approaching Problem Statement </v>
      </c>
    </row>
    <row r="10">
      <c r="A10" s="52"/>
      <c r="B10" s="53"/>
      <c r="C10" s="14"/>
      <c r="D10" s="49"/>
      <c r="E10" s="49"/>
      <c r="F10" s="49"/>
      <c r="G10" s="49"/>
      <c r="H10" s="39"/>
      <c r="I10" s="39">
        <f t="shared" si="1"/>
        <v>0</v>
      </c>
      <c r="J10" s="49"/>
      <c r="K10" s="36"/>
      <c r="L10" s="49"/>
      <c r="M10" s="57" t="str">
        <f>HYPERLINK("https://www.youtube.com/watch?v=olcmPKZNqnM","Watch - Thinking - On papers Not on PC ")</f>
        <v>Watch - Thinking - On papers Not on PC </v>
      </c>
    </row>
    <row r="11">
      <c r="A11" s="59" t="s">
        <v>123</v>
      </c>
      <c r="B11" s="61" t="str">
        <f>HYPERLINK("http://codeforces.com/contest/677/problem/A","CF677-D2-A")</f>
        <v>CF677-D2-A</v>
      </c>
      <c r="C11" s="14"/>
      <c r="D11" s="49"/>
      <c r="E11" s="49"/>
      <c r="F11" s="49"/>
      <c r="G11" s="49"/>
      <c r="H11" s="39"/>
      <c r="I11" s="39">
        <f t="shared" si="1"/>
        <v>0</v>
      </c>
      <c r="J11" s="49"/>
      <c r="K11" s="36"/>
      <c r="L11" s="49"/>
      <c r="M11" s="63" t="str">
        <f>HYPERLINK("http://codeforces.com/contest/677/submission/18185361","C++ Solution Example")</f>
        <v>C++ Solution Example</v>
      </c>
    </row>
    <row r="12">
      <c r="A12" s="59" t="s">
        <v>130</v>
      </c>
      <c r="B12" s="61" t="str">
        <f>HYPERLINK("http://codeforces.com/contest/734/problem/A","CF734-D2-A")</f>
        <v>CF734-D2-A</v>
      </c>
      <c r="C12" s="14"/>
      <c r="D12" s="49"/>
      <c r="E12" s="49"/>
      <c r="F12" s="49"/>
      <c r="G12" s="49"/>
      <c r="H12" s="39"/>
      <c r="I12" s="39">
        <f t="shared" si="1"/>
        <v>0</v>
      </c>
      <c r="J12" s="49"/>
      <c r="K12" s="36"/>
      <c r="L12" s="49"/>
      <c r="M12" s="65" t="str">
        <f>HYPERLINK("http://codeforces.com/blog/entry/48397","This is from Round 379. Here is the editorial")</f>
        <v>This is from Round 379. Here is the editorial</v>
      </c>
    </row>
    <row r="13">
      <c r="A13" s="59"/>
      <c r="B13" s="67"/>
      <c r="C13" s="14"/>
      <c r="D13" s="49"/>
      <c r="E13" s="49"/>
      <c r="F13" s="49"/>
      <c r="G13" s="49"/>
      <c r="H13" s="39"/>
      <c r="I13" s="39"/>
      <c r="J13" s="49"/>
      <c r="K13" s="36"/>
      <c r="L13" s="49"/>
      <c r="M13" s="68" t="s">
        <v>135</v>
      </c>
    </row>
    <row r="14">
      <c r="A14" s="59" t="s">
        <v>137</v>
      </c>
      <c r="B14" s="71" t="str">
        <f>HYPERLINK("codeforces.com/contest/791/problem/A","CF791-D2-A")</f>
        <v>CF791-D2-A</v>
      </c>
      <c r="C14" s="14"/>
      <c r="D14" s="49"/>
      <c r="E14" s="49"/>
      <c r="F14" s="49"/>
      <c r="G14" s="49"/>
      <c r="H14" s="39"/>
      <c r="I14" s="39">
        <f t="shared" ref="I14:I32" si="2">SUM(E14:H14)</f>
        <v>0</v>
      </c>
      <c r="J14" s="49"/>
      <c r="K14" s="36"/>
      <c r="L14" s="49"/>
      <c r="M14" s="75" t="str">
        <f>HYPERLINK("https://www.youtube.com/watch?v=t05qYeiWGGc","Video Solution - Eng Youssef El Ghareeb")</f>
        <v>Video Solution - Eng Youssef El Ghareeb</v>
      </c>
    </row>
    <row r="15">
      <c r="A15" s="59" t="s">
        <v>140</v>
      </c>
      <c r="B15" s="61" t="str">
        <f>HYPERLINK("http://codeforces.com/contest/231/problem/A","CF231-D2-A")</f>
        <v>CF231-D2-A</v>
      </c>
      <c r="C15" s="14"/>
      <c r="D15" s="49"/>
      <c r="E15" s="49"/>
      <c r="F15" s="49"/>
      <c r="G15" s="49"/>
      <c r="H15" s="39"/>
      <c r="I15" s="39">
        <f t="shared" si="2"/>
        <v>0</v>
      </c>
      <c r="J15" s="49"/>
      <c r="K15" s="36"/>
      <c r="L15" s="49"/>
      <c r="M15" s="75" t="str">
        <f>HYPERLINK("https://www.youtube.com/watch?v=P73Mv_GG_PY","Video Solution - Eng Youssef Ali")</f>
        <v>Video Solution - Eng Youssef Ali</v>
      </c>
    </row>
    <row r="16">
      <c r="A16" s="59" t="s">
        <v>142</v>
      </c>
      <c r="B16" s="61" t="str">
        <f>HYPERLINK("http://codeforces.com/contest/263/problem/A","CF263-D2-A")</f>
        <v>CF263-D2-A</v>
      </c>
      <c r="C16" s="14"/>
      <c r="D16" s="49"/>
      <c r="E16" s="49"/>
      <c r="F16" s="49"/>
      <c r="G16" s="49"/>
      <c r="H16" s="39"/>
      <c r="I16" s="39">
        <f t="shared" si="2"/>
        <v>0</v>
      </c>
      <c r="J16" s="49"/>
      <c r="K16" s="36"/>
      <c r="L16" s="49"/>
      <c r="M16" s="79" t="str">
        <f>HYPERLINK("https://www.youtube.com/watch?v=FU4thrvEvKg","Video Solution - Eng Samed Hajajla")</f>
        <v>Video Solution - Eng Samed Hajajla</v>
      </c>
    </row>
    <row r="17">
      <c r="A17" s="81" t="s">
        <v>146</v>
      </c>
      <c r="B17" s="82" t="str">
        <f>HYPERLINK("http://codeforces.com/contest/405/problem/A","CF405-D2-A")</f>
        <v>CF405-D2-A</v>
      </c>
      <c r="C17" s="14"/>
      <c r="D17" s="49"/>
      <c r="E17" s="49"/>
      <c r="F17" s="49"/>
      <c r="G17" s="49"/>
      <c r="H17" s="39"/>
      <c r="I17" s="39">
        <f t="shared" si="2"/>
        <v>0</v>
      </c>
      <c r="J17" s="16"/>
      <c r="K17" s="36"/>
      <c r="L17" s="16"/>
      <c r="M17" s="84" t="str">
        <f>HYPERLINK("https://www.youtube.com/watch?v=HNe9QW-1MJI","Video Solution - Eng John Gamal")</f>
        <v>Video Solution - Eng John Gamal</v>
      </c>
    </row>
    <row r="18">
      <c r="A18" s="81" t="s">
        <v>151</v>
      </c>
      <c r="B18" s="82" t="str">
        <f>HYPERLINK("http://codeforces.com/contest/112/problem/A","CF112-D2-A")</f>
        <v>CF112-D2-A</v>
      </c>
      <c r="C18" s="14"/>
      <c r="D18" s="49"/>
      <c r="E18" s="49"/>
      <c r="F18" s="49"/>
      <c r="G18" s="49"/>
      <c r="H18" s="39"/>
      <c r="I18" s="39">
        <f t="shared" si="2"/>
        <v>0</v>
      </c>
      <c r="J18" s="16"/>
      <c r="K18" s="36"/>
      <c r="L18" s="16"/>
      <c r="M18" s="85" t="str">
        <f>HYPERLINK("https://www.youtube.com/watch?v=Sp4zWrDvGrk","Video Solution - Solver to be (Java)")</f>
        <v>Video Solution - Solver to be (Java)</v>
      </c>
    </row>
    <row r="19">
      <c r="A19" s="81" t="s">
        <v>154</v>
      </c>
      <c r="B19" s="82" t="str">
        <f>HYPERLINK("http://codeforces.com/contest/236/problem/A","CF236-D2-A")</f>
        <v>CF236-D2-A</v>
      </c>
      <c r="C19" s="14"/>
      <c r="D19" s="49"/>
      <c r="E19" s="49"/>
      <c r="F19" s="49"/>
      <c r="G19" s="49"/>
      <c r="H19" s="39"/>
      <c r="I19" s="39">
        <f t="shared" si="2"/>
        <v>0</v>
      </c>
      <c r="J19" s="16"/>
      <c r="K19" s="36"/>
      <c r="L19" s="16"/>
      <c r="M19" s="85" t="str">
        <f>HYPERLINK("https://www.youtube.com/watch?v=AOOmuJXMyHQ","Video Solution - Solver to be (Java)")</f>
        <v>Video Solution - Solver to be (Java)</v>
      </c>
    </row>
    <row r="20">
      <c r="A20" s="86" t="s">
        <v>156</v>
      </c>
      <c r="B20" s="88" t="str">
        <f>HYPERLINK("http://codeforces.com/contest/59/problem/A","CF59-D2-A")</f>
        <v>CF59-D2-A</v>
      </c>
      <c r="C20" s="14"/>
      <c r="D20" s="49"/>
      <c r="E20" s="49"/>
      <c r="F20" s="49"/>
      <c r="G20" s="49"/>
      <c r="H20" s="39"/>
      <c r="I20" s="39">
        <f t="shared" si="2"/>
        <v>0</v>
      </c>
      <c r="J20" s="16"/>
      <c r="K20" s="36"/>
      <c r="L20" s="16"/>
      <c r="M20" s="85" t="str">
        <f>HYPERLINK("https://www.youtube.com/watch?v=gW8YOQbMdDI","Video Solution - Solver to be (Java)")</f>
        <v>Video Solution - Solver to be (Java)</v>
      </c>
    </row>
    <row r="21">
      <c r="A21" s="90" t="s">
        <v>159</v>
      </c>
      <c r="B21" s="99" t="str">
        <f>HYPERLINK("http://codeforces.com/contest/281/problem/A","CF281-D2-A")</f>
        <v>CF281-D2-A</v>
      </c>
      <c r="C21" s="14"/>
      <c r="D21" s="49"/>
      <c r="E21" s="49"/>
      <c r="F21" s="49"/>
      <c r="G21" s="49"/>
      <c r="H21" s="39"/>
      <c r="I21" s="39">
        <f t="shared" si="2"/>
        <v>0</v>
      </c>
      <c r="J21" s="16"/>
      <c r="K21" s="36"/>
      <c r="L21" s="16"/>
      <c r="M21" s="101" t="str">
        <f>HYPERLINK("https://www.youtube.com/watch?v=GctpZIJ8xBA","Video Solution - Solver to be (Java)")</f>
        <v>Video Solution - Solver to be (Java)</v>
      </c>
    </row>
    <row r="22">
      <c r="A22" s="90"/>
      <c r="B22" s="99"/>
      <c r="C22" s="14"/>
      <c r="D22" s="49"/>
      <c r="E22" s="49"/>
      <c r="F22" s="49"/>
      <c r="G22" s="49"/>
      <c r="H22" s="39"/>
      <c r="I22" s="39">
        <f t="shared" si="2"/>
        <v>0</v>
      </c>
      <c r="J22" s="16"/>
      <c r="K22" s="36"/>
      <c r="L22" s="16"/>
      <c r="M22" s="101"/>
    </row>
    <row r="23">
      <c r="A23" s="81" t="s">
        <v>167</v>
      </c>
      <c r="B23" s="82" t="str">
        <f>HYPERLINK("http://codeforces.com/contest/344/problem/A","CF344-D2-A")</f>
        <v>CF344-D2-A</v>
      </c>
      <c r="C23" s="14"/>
      <c r="D23" s="49"/>
      <c r="E23" s="49"/>
      <c r="F23" s="49"/>
      <c r="G23" s="49"/>
      <c r="H23" s="39"/>
      <c r="I23" s="39">
        <f t="shared" si="2"/>
        <v>0</v>
      </c>
      <c r="J23" s="16"/>
      <c r="K23" s="36"/>
      <c r="L23" s="16"/>
      <c r="M23" s="101" t="str">
        <f>HYPERLINK("https://www.youtube.com/watch?v=7o7lZTKFzp0","Video Solution - Solver to be (Java)")</f>
        <v>Video Solution - Solver to be (Java)</v>
      </c>
    </row>
    <row r="24">
      <c r="A24" s="105" t="s">
        <v>171</v>
      </c>
      <c r="B24" s="107" t="str">
        <f>HYPERLINK("http://codeforces.com/contest/381/problem/A","CF381-D2-A")</f>
        <v>CF381-D2-A</v>
      </c>
      <c r="C24" s="14"/>
      <c r="D24" s="49"/>
      <c r="E24" s="49"/>
      <c r="F24" s="49"/>
      <c r="G24" s="49"/>
      <c r="H24" s="39"/>
      <c r="I24" s="39">
        <f t="shared" si="2"/>
        <v>0</v>
      </c>
      <c r="J24" s="16"/>
      <c r="K24" s="36"/>
      <c r="L24" s="16"/>
      <c r="M24" s="109" t="str">
        <f>HYPERLINK("https://www.youtube.com/watch?v=XgJ0DS3r_KE","Video Solution - Solver to be (Java)")</f>
        <v>Video Solution - Solver to be (Java)</v>
      </c>
    </row>
    <row r="25">
      <c r="A25" s="59" t="s">
        <v>175</v>
      </c>
      <c r="B25" s="61" t="str">
        <f>HYPERLINK("http://codeforces.com/contest/266/problem/A","CF266-D2-A")</f>
        <v>CF266-D2-A</v>
      </c>
      <c r="C25" s="14"/>
      <c r="D25" s="49"/>
      <c r="E25" s="49"/>
      <c r="F25" s="49"/>
      <c r="G25" s="49"/>
      <c r="H25" s="39"/>
      <c r="I25" s="39">
        <f t="shared" si="2"/>
        <v>0</v>
      </c>
      <c r="J25" s="49"/>
      <c r="K25" s="36"/>
      <c r="L25" s="49"/>
      <c r="M25" s="75" t="str">
        <f>HYPERLINK("https://www.youtube.com/watch?v=3akdDnmPwOY&amp;feature=youtu.be","Video Solution - Eng Ahmead Raafat (Python)")</f>
        <v>Video Solution - Eng Ahmead Raafat (Python)</v>
      </c>
    </row>
    <row r="26">
      <c r="A26" s="59" t="s">
        <v>177</v>
      </c>
      <c r="B26" s="61" t="str">
        <f>HYPERLINK("http://codeforces.com/contest/427/problem/A","CF427-D2-A")</f>
        <v>CF427-D2-A</v>
      </c>
      <c r="C26" s="14"/>
      <c r="D26" s="49"/>
      <c r="E26" s="49"/>
      <c r="F26" s="49"/>
      <c r="G26" s="49"/>
      <c r="H26" s="39"/>
      <c r="I26" s="39">
        <f t="shared" si="2"/>
        <v>0</v>
      </c>
      <c r="J26" s="49"/>
      <c r="K26" s="36"/>
      <c r="L26" s="49"/>
      <c r="M26" s="75" t="str">
        <f>HYPERLINK("https://www.youtube.com/watch?v=PECOLs3YWR0&amp;feature=youtu.be","Video Solution - Eng Ahmead Raafat (Python)")</f>
        <v>Video Solution - Eng Ahmead Raafat (Python)</v>
      </c>
    </row>
    <row r="27">
      <c r="A27" s="113" t="s">
        <v>179</v>
      </c>
      <c r="B27" s="61" t="str">
        <f>HYPERLINK("http://codeforces.com/contest/431/problem/A","CF431-D2-A")</f>
        <v>CF431-D2-A</v>
      </c>
      <c r="C27" s="14"/>
      <c r="D27" s="49"/>
      <c r="E27" s="49"/>
      <c r="F27" s="49"/>
      <c r="G27" s="49"/>
      <c r="H27" s="39"/>
      <c r="I27" s="39">
        <f t="shared" si="2"/>
        <v>0</v>
      </c>
      <c r="J27" s="49"/>
      <c r="K27" s="36"/>
      <c r="L27" s="49"/>
      <c r="M27" s="75" t="str">
        <f>HYPERLINK("https://www.youtube.com/watch?v=mJYiMoX4t0k","Video Solution - Eng Ahmead Raafat (Python)")</f>
        <v>Video Solution - Eng Ahmead Raafat (Python)</v>
      </c>
    </row>
    <row r="28">
      <c r="A28" s="113" t="s">
        <v>180</v>
      </c>
      <c r="B28" s="61" t="str">
        <f>HYPERLINK("http://codeforces.com/contest/731/problem/A","CF731-D2-A")</f>
        <v>CF731-D2-A</v>
      </c>
      <c r="C28" s="14"/>
      <c r="D28" s="49"/>
      <c r="E28" s="49"/>
      <c r="F28" s="49"/>
      <c r="G28" s="49"/>
      <c r="H28" s="39"/>
      <c r="I28" s="39">
        <f t="shared" si="2"/>
        <v>0</v>
      </c>
      <c r="J28" s="49"/>
      <c r="K28" s="36"/>
      <c r="L28" s="49"/>
      <c r="M28" s="75" t="str">
        <f>HYPERLINK("https://www.youtube.com/watch?v=pBhXYZKAFTM","Video Solution - Eng Yahia Ashraf")</f>
        <v>Video Solution - Eng Yahia Ashraf</v>
      </c>
    </row>
    <row r="29">
      <c r="A29" s="113" t="s">
        <v>181</v>
      </c>
      <c r="B29" s="61" t="str">
        <f>HYPERLINK("http://codeforces.com/contest/268/problem/A","CF268-D2-A")</f>
        <v>CF268-D2-A</v>
      </c>
      <c r="C29" s="14"/>
      <c r="D29" s="49"/>
      <c r="E29" s="49"/>
      <c r="F29" s="49"/>
      <c r="G29" s="49"/>
      <c r="H29" s="39"/>
      <c r="I29" s="39">
        <f t="shared" si="2"/>
        <v>0</v>
      </c>
      <c r="J29" s="49"/>
      <c r="K29" s="36"/>
      <c r="L29" s="49"/>
      <c r="M29" s="75" t="str">
        <f>HYPERLINK("https://www.youtube.com/watch?v=lFt2GuQtmSs","Video Solution - Eng Yahia Ashraf")</f>
        <v>Video Solution - Eng Yahia Ashraf</v>
      </c>
    </row>
    <row r="30">
      <c r="A30" s="113" t="s">
        <v>183</v>
      </c>
      <c r="B30" s="61" t="str">
        <f>HYPERLINK("http://codeforces.com/contest/732/problem/A","CF732-D2-A")</f>
        <v>CF732-D2-A</v>
      </c>
      <c r="C30" s="14"/>
      <c r="D30" s="49"/>
      <c r="E30" s="49"/>
      <c r="F30" s="49"/>
      <c r="G30" s="49"/>
      <c r="H30" s="39"/>
      <c r="I30" s="39">
        <f t="shared" si="2"/>
        <v>0</v>
      </c>
      <c r="J30" s="49"/>
      <c r="K30" s="36"/>
      <c r="L30" s="49"/>
      <c r="M30" s="75" t="str">
        <f>HYPERLINK("https://www.youtube.com/watch?v=jKOSPuoplz0","Video Solution - Eng Yahia Ashraf")</f>
        <v>Video Solution - Eng Yahia Ashraf</v>
      </c>
    </row>
    <row r="31">
      <c r="A31" s="113" t="s">
        <v>184</v>
      </c>
      <c r="B31" s="61" t="str">
        <f>HYPERLINK("http://codeforces.com/contest/228/problem/A","CF228-D2-A")</f>
        <v>CF228-D2-A</v>
      </c>
      <c r="C31" s="14"/>
      <c r="D31" s="49"/>
      <c r="E31" s="49"/>
      <c r="F31" s="49"/>
      <c r="G31" s="49"/>
      <c r="H31" s="39"/>
      <c r="I31" s="39">
        <f t="shared" si="2"/>
        <v>0</v>
      </c>
      <c r="J31" s="49"/>
      <c r="K31" s="36"/>
      <c r="L31" s="49"/>
      <c r="M31" s="75" t="str">
        <f>HYPERLINK("https://www.youtube.com/watch?v=P73Mv_GG_PY","Video Solution - Eng Ahmead Raafat (Python)")</f>
        <v>Video Solution - Eng Ahmead Raafat (Python)</v>
      </c>
    </row>
    <row r="32">
      <c r="A32" s="113" t="s">
        <v>187</v>
      </c>
      <c r="B32" s="61" t="str">
        <f>HYPERLINK("http://codeforces.com/contest/265/problem/A","CF265-D2-A")</f>
        <v>CF265-D2-A</v>
      </c>
      <c r="C32" s="14"/>
      <c r="D32" s="49"/>
      <c r="E32" s="49"/>
      <c r="F32" s="49"/>
      <c r="G32" s="49"/>
      <c r="H32" s="39"/>
      <c r="I32" s="39">
        <f t="shared" si="2"/>
        <v>0</v>
      </c>
      <c r="J32" s="49"/>
      <c r="K32" s="36"/>
      <c r="L32" s="49"/>
      <c r="M32" s="75" t="str">
        <f>HYPERLINK("https://www.youtube.com/watch?v=ol_mjArjBCk","Video Solution - Eng Ahmead Raafat (Python)")</f>
        <v>Video Solution - Eng Ahmead Raafat (Python)</v>
      </c>
    </row>
    <row r="33">
      <c r="A33" s="121"/>
      <c r="B33" s="122"/>
      <c r="C33" s="14"/>
      <c r="D33" s="49"/>
      <c r="E33" s="49"/>
      <c r="F33" s="49"/>
      <c r="G33" s="49"/>
      <c r="H33" s="39"/>
      <c r="I33" s="39"/>
      <c r="J33" s="49"/>
      <c r="K33" s="36"/>
      <c r="L33" s="49"/>
      <c r="M33" s="54"/>
    </row>
    <row r="34">
      <c r="A34" s="121"/>
      <c r="B34" s="122"/>
      <c r="C34" s="14"/>
      <c r="D34" s="49"/>
      <c r="E34" s="49"/>
      <c r="F34" s="49"/>
      <c r="G34" s="49"/>
      <c r="H34" s="39"/>
      <c r="I34" s="39">
        <f t="shared" ref="I34:I45" si="3">SUM(E34:H34)</f>
        <v>0</v>
      </c>
      <c r="J34" s="49"/>
      <c r="K34" s="36"/>
      <c r="L34" s="49"/>
      <c r="M34" s="54" t="str">
        <f>HYPERLINK("https://www.youtube.com/watch?v=EQzmtn4PzYQ","Watch - Measuring Algorithms Perfromance - 1")</f>
        <v>Watch - Measuring Algorithms Perfromance - 1</v>
      </c>
    </row>
    <row r="35">
      <c r="A35" s="121"/>
      <c r="B35" s="122"/>
      <c r="C35" s="14"/>
      <c r="D35" s="49"/>
      <c r="E35" s="49"/>
      <c r="F35" s="49"/>
      <c r="G35" s="49"/>
      <c r="H35" s="39"/>
      <c r="I35" s="39">
        <f t="shared" si="3"/>
        <v>0</v>
      </c>
      <c r="J35" s="49"/>
      <c r="K35" s="36"/>
      <c r="L35" s="49"/>
      <c r="M35" s="57" t="str">
        <f>HYPERLINK("https://www.youtube.com/watch?v=Syx2qDjj7TE","Watch - Elementary Math - Introduction")</f>
        <v>Watch - Elementary Math - Introduction</v>
      </c>
    </row>
    <row r="36">
      <c r="A36" s="90" t="s">
        <v>191</v>
      </c>
      <c r="B36" s="99" t="str">
        <f>HYPERLINK("http://codeforces.com/contest/9/problem/A","CF9-D2-A")</f>
        <v>CF9-D2-A</v>
      </c>
      <c r="C36" s="14"/>
      <c r="D36" s="49"/>
      <c r="E36" s="49"/>
      <c r="F36" s="49"/>
      <c r="G36" s="49"/>
      <c r="H36" s="39"/>
      <c r="I36" s="39">
        <f t="shared" si="3"/>
        <v>0</v>
      </c>
      <c r="J36" s="127"/>
      <c r="K36" s="36"/>
      <c r="L36" s="16"/>
      <c r="M36" s="84" t="str">
        <f>HYPERLINK("https://www.youtube.com/watch?v=5T1yiz9-jZo","Video Solution - Eng Muntaser Abukadeja")</f>
        <v>Video Solution - Eng Muntaser Abukadeja</v>
      </c>
    </row>
    <row r="37">
      <c r="A37" s="128" t="s">
        <v>194</v>
      </c>
      <c r="B37" s="130" t="str">
        <f>HYPERLINK("http://codeforces.com/contest/294/problem/A","CF294-D2-A")</f>
        <v>CF294-D2-A</v>
      </c>
      <c r="C37" s="14"/>
      <c r="D37" s="49"/>
      <c r="E37" s="49"/>
      <c r="F37" s="49"/>
      <c r="G37" s="49"/>
      <c r="H37" s="39"/>
      <c r="I37" s="39">
        <f t="shared" si="3"/>
        <v>0</v>
      </c>
      <c r="J37" s="127"/>
      <c r="K37" s="36"/>
      <c r="L37" s="16"/>
      <c r="M37" s="84" t="str">
        <f>HYPERLINK("https://www.youtube.com/watch?v=GOuclkVCvRI","Video Solution - Eng Mostafa Saad")</f>
        <v>Video Solution - Eng Mostafa Saad</v>
      </c>
    </row>
    <row r="38">
      <c r="A38" s="105" t="s">
        <v>197</v>
      </c>
      <c r="B38" s="107" t="str">
        <f>HYPERLINK("http://codeforces.com/contest/709/problem/A","CF709-D2-A")</f>
        <v>CF709-D2-A</v>
      </c>
      <c r="C38" s="14"/>
      <c r="D38" s="49"/>
      <c r="E38" s="49"/>
      <c r="F38" s="49"/>
      <c r="G38" s="49"/>
      <c r="H38" s="39"/>
      <c r="I38" s="39">
        <f t="shared" si="3"/>
        <v>0</v>
      </c>
      <c r="J38" s="127"/>
      <c r="K38" s="36"/>
      <c r="L38" s="16"/>
      <c r="M38" s="109" t="str">
        <f>HYPERLINK("https://www.youtube.com/watch?v=fPcKGZ_e8G0","Video Solution - Solver to be (Java)")</f>
        <v>Video Solution - Solver to be (Java)</v>
      </c>
    </row>
    <row r="39">
      <c r="A39" s="133" t="s">
        <v>201</v>
      </c>
      <c r="B39" s="134" t="str">
        <f>HYPERLINK("http://codeforces.com/contest/799/problem/A","CF799-D2-A")</f>
        <v>CF799-D2-A</v>
      </c>
      <c r="C39" s="14"/>
      <c r="D39" s="49"/>
      <c r="E39" s="49"/>
      <c r="F39" s="49"/>
      <c r="G39" s="49"/>
      <c r="H39" s="39"/>
      <c r="I39" s="39">
        <f t="shared" si="3"/>
        <v>0</v>
      </c>
      <c r="J39" s="127"/>
      <c r="K39" s="36"/>
      <c r="L39" s="16"/>
      <c r="M39" s="109" t="str">
        <f>HYPERLINK("https://www.youtube.com/watch?v=uyEL9f8pxlM","Video Solution - Solver to be (Java)")</f>
        <v>Video Solution - Solver to be (Java)</v>
      </c>
    </row>
    <row r="40">
      <c r="A40" s="90" t="s">
        <v>206</v>
      </c>
      <c r="B40" s="99" t="str">
        <f>HYPERLINK("http://codeforces.com/contest/443/problem/A","CF443-D2-A")</f>
        <v>CF443-D2-A</v>
      </c>
      <c r="C40" s="14"/>
      <c r="D40" s="49"/>
      <c r="E40" s="49"/>
      <c r="F40" s="49"/>
      <c r="G40" s="49"/>
      <c r="H40" s="39"/>
      <c r="I40" s="39">
        <f t="shared" si="3"/>
        <v>0</v>
      </c>
      <c r="J40" s="127"/>
      <c r="K40" s="36"/>
      <c r="L40" s="16"/>
      <c r="M40" s="101" t="str">
        <f>HYPERLINK("https://www.youtube.com/watch?v=YXuljSnZaTY","Video Solution - Solver to be (Java)")</f>
        <v>Video Solution - Solver to be (Java)</v>
      </c>
    </row>
    <row r="41">
      <c r="A41" s="81" t="s">
        <v>207</v>
      </c>
      <c r="B41" s="82" t="str">
        <f>HYPERLINK("http://codeforces.com/contest/71/problem/A","CF71-D2-A")</f>
        <v>CF71-D2-A</v>
      </c>
      <c r="C41" s="14"/>
      <c r="D41" s="49"/>
      <c r="E41" s="49"/>
      <c r="F41" s="49"/>
      <c r="G41" s="49"/>
      <c r="H41" s="39"/>
      <c r="I41" s="39">
        <f t="shared" si="3"/>
        <v>0</v>
      </c>
      <c r="J41" s="127"/>
      <c r="K41" s="36"/>
      <c r="L41" s="16"/>
      <c r="M41" s="85" t="str">
        <f>HYPERLINK("https://www.youtube.com/watch?v=yuebR81LyXE","Video Solution - Solver to be (Java)")</f>
        <v>Video Solution - Solver to be (Java)</v>
      </c>
    </row>
    <row r="42">
      <c r="A42" s="81" t="s">
        <v>210</v>
      </c>
      <c r="B42" s="82" t="str">
        <f>HYPERLINK("http://codeforces.com/contest/686/problem/A","CF686-D2-A")</f>
        <v>CF686-D2-A</v>
      </c>
      <c r="C42" s="14"/>
      <c r="D42" s="49"/>
      <c r="E42" s="49"/>
      <c r="F42" s="49"/>
      <c r="G42" s="49"/>
      <c r="H42" s="39"/>
      <c r="I42" s="39">
        <f t="shared" si="3"/>
        <v>0</v>
      </c>
      <c r="J42" s="127"/>
      <c r="K42" s="36"/>
      <c r="L42" s="16"/>
      <c r="M42" s="85" t="str">
        <f>HYPERLINK("https://www.youtube.com/watch?v=Alipj6tJKKI","Video Solution - Solver to be (Java)")</f>
        <v>Video Solution - Solver to be (Java)</v>
      </c>
    </row>
    <row r="43">
      <c r="A43" s="86" t="s">
        <v>214</v>
      </c>
      <c r="B43" s="88" t="str">
        <f>HYPERLINK("http://codeforces.com/contest/339/problem/A","CF339-D2-A")</f>
        <v>CF339-D2-A</v>
      </c>
      <c r="C43" s="14"/>
      <c r="D43" s="49"/>
      <c r="E43" s="49"/>
      <c r="F43" s="49"/>
      <c r="G43" s="49"/>
      <c r="H43" s="39"/>
      <c r="I43" s="39">
        <f t="shared" si="3"/>
        <v>0</v>
      </c>
      <c r="J43" s="127"/>
      <c r="K43" s="36"/>
      <c r="L43" s="16"/>
      <c r="M43" s="85" t="str">
        <f>HYPERLINK("https://www.youtube.com/watch?v=NLsyJpkFMz4","Video Solution - Solver to be (Java)")</f>
        <v>Video Solution - Solver to be (Java)</v>
      </c>
    </row>
    <row r="44">
      <c r="A44" s="105" t="s">
        <v>218</v>
      </c>
      <c r="B44" s="107" t="str">
        <f>HYPERLINK("http://codeforces.com/contest/490/problem/A","CF490-D2-A")</f>
        <v>CF490-D2-A</v>
      </c>
      <c r="C44" s="138"/>
      <c r="D44" s="139"/>
      <c r="E44" s="139"/>
      <c r="F44" s="139"/>
      <c r="G44" s="139"/>
      <c r="H44" s="140"/>
      <c r="I44" s="39">
        <f t="shared" si="3"/>
        <v>0</v>
      </c>
      <c r="J44" s="127"/>
      <c r="K44" s="36"/>
      <c r="L44" s="16"/>
      <c r="M44" s="114" t="str">
        <f>HYPERLINK("https://www.youtube.com/watch?v=2jJA1PCOrgg","Video Solution - Eng Muntaser Abukadeja")</f>
        <v>Video Solution - Eng Muntaser Abukadeja</v>
      </c>
    </row>
    <row r="45">
      <c r="A45" s="106" t="s">
        <v>223</v>
      </c>
      <c r="B45" s="142" t="str">
        <f>HYPERLINK("http://codeforces.com/contest/770/problem/A","CF770-D2-A")</f>
        <v>CF770-D2-A</v>
      </c>
      <c r="C45" s="14"/>
      <c r="D45" s="49"/>
      <c r="E45" s="49"/>
      <c r="F45" s="49"/>
      <c r="G45" s="49"/>
      <c r="H45" s="39"/>
      <c r="I45" s="39">
        <f t="shared" si="3"/>
        <v>0</v>
      </c>
      <c r="J45" s="127"/>
      <c r="K45" s="36"/>
      <c r="L45" s="16"/>
      <c r="M45" s="85" t="str">
        <f>HYPERLINK("https://www.youtube.com/watch?v=VDlquoqsOs","Video Solution - Solver to be (Java)")</f>
        <v>Video Solution - Solver to be (Java)</v>
      </c>
    </row>
    <row r="46">
      <c r="A46" s="112"/>
      <c r="B46" s="111"/>
      <c r="C46" s="14"/>
      <c r="D46" s="49"/>
      <c r="E46" s="49"/>
      <c r="F46" s="49"/>
      <c r="G46" s="49"/>
      <c r="H46" s="39"/>
      <c r="I46" s="39"/>
      <c r="J46" s="111"/>
      <c r="K46" s="36"/>
      <c r="L46" s="111"/>
      <c r="M46" s="143"/>
    </row>
    <row r="47">
      <c r="A47" s="112"/>
      <c r="B47" s="111"/>
      <c r="C47" s="14"/>
      <c r="D47" s="49"/>
      <c r="E47" s="49"/>
      <c r="F47" s="49"/>
      <c r="G47" s="49"/>
      <c r="H47" s="39"/>
      <c r="I47" s="39">
        <f t="shared" ref="I47:I53" si="4">SUM(E47:H47)</f>
        <v>0</v>
      </c>
      <c r="J47" s="111"/>
      <c r="K47" s="36"/>
      <c r="L47" s="111"/>
      <c r="M47" s="143" t="str">
        <f>HYPERLINK("https://www.youtube.com/watch?v=9sqvjnvuLtY","Watch - Number Theory - Modular Arithmatic")</f>
        <v>Watch - Number Theory - Modular Arithmatic</v>
      </c>
    </row>
    <row r="48">
      <c r="A48" s="112"/>
      <c r="B48" s="111"/>
      <c r="C48" s="14"/>
      <c r="D48" s="49"/>
      <c r="E48" s="49"/>
      <c r="F48" s="49"/>
      <c r="G48" s="49"/>
      <c r="H48" s="39"/>
      <c r="I48" s="39">
        <f t="shared" si="4"/>
        <v>0</v>
      </c>
      <c r="J48" s="111"/>
      <c r="K48" s="36"/>
      <c r="L48" s="111"/>
      <c r="M48" s="143" t="str">
        <f>HYPERLINK("https://www.youtube.com/watch?v=sr6WgCLcgVM","Watch - Combinatorics - Counting Principles")</f>
        <v>Watch - Combinatorics - Counting Principles</v>
      </c>
    </row>
    <row r="49">
      <c r="A49" s="146" t="s">
        <v>229</v>
      </c>
      <c r="B49" s="147" t="str">
        <f>HYPERLINK("https://uva.onlinejudge.org/index.php?option=com_onlinejudge&amp;Itemid=8&amp;page=show_problem&amp;problem=1051","UVA 10110")</f>
        <v>UVA 10110</v>
      </c>
      <c r="C49" s="14"/>
      <c r="D49" s="49"/>
      <c r="E49" s="49"/>
      <c r="F49" s="49"/>
      <c r="G49" s="49"/>
      <c r="H49" s="39"/>
      <c r="I49" s="39">
        <f t="shared" si="4"/>
        <v>0</v>
      </c>
      <c r="J49" s="111"/>
      <c r="K49" s="36"/>
      <c r="L49" s="111"/>
      <c r="M49" s="148" t="str">
        <f>HYPERLINK("https://www.youtube.com/watch?v=6unjJwXC5gI&amp;feature=youtu.be","Video Solution - Eng Amr Saud")</f>
        <v>Video Solution - Eng Amr Saud</v>
      </c>
    </row>
    <row r="50">
      <c r="A50" s="146" t="s">
        <v>233</v>
      </c>
      <c r="B50" s="147" t="str">
        <f>HYPERLINK("https://uva.onlinejudge.org/index.php?option=com_onlinejudge&amp;Itemid=8&amp;page=show_problem&amp;problem=1047","UVA 10106")</f>
        <v>UVA 10106</v>
      </c>
      <c r="C50" s="14"/>
      <c r="D50" s="49"/>
      <c r="E50" s="49"/>
      <c r="F50" s="49"/>
      <c r="G50" s="49"/>
      <c r="H50" s="39"/>
      <c r="I50" s="39">
        <f t="shared" si="4"/>
        <v>0</v>
      </c>
      <c r="J50" s="111"/>
      <c r="K50" s="36"/>
      <c r="L50" s="111"/>
      <c r="M50" s="148" t="str">
        <f>HYPERLINK("https://www.youtube.com/watch?v=KNd6eqRpWqE","Video Solution - Eng Youssef El Ghareeb. Don't solve using big integer")</f>
        <v>Video Solution - Eng Youssef El Ghareeb. Don't solve using big integer</v>
      </c>
    </row>
    <row r="51">
      <c r="A51" s="146" t="s">
        <v>236</v>
      </c>
      <c r="B51" s="147" t="str">
        <f>HYPERLINK("https://uva.onlinejudge.org/index.php?option=onlinejudge&amp;page=show_problem&amp;problem=349","UVA 408")</f>
        <v>UVA 408</v>
      </c>
      <c r="C51" s="14"/>
      <c r="D51" s="49"/>
      <c r="E51" s="49"/>
      <c r="F51" s="49"/>
      <c r="G51" s="49"/>
      <c r="H51" s="39"/>
      <c r="I51" s="39">
        <f t="shared" si="4"/>
        <v>0</v>
      </c>
      <c r="J51" s="111"/>
      <c r="K51" s="36"/>
      <c r="L51" s="111"/>
      <c r="M51" s="75" t="str">
        <f>HYPERLINK("https://www.youtube.com/watch?v=VmL4PQIZ-6c","Video Solution - Eng Yahia Ashraf")</f>
        <v>Video Solution - Eng Yahia Ashraf</v>
      </c>
    </row>
    <row r="52">
      <c r="A52" s="146" t="s">
        <v>238</v>
      </c>
      <c r="B52" s="147" t="str">
        <f>HYPERLINK("https://uva.onlinejudge.org/index.php?option=onlinejudge&amp;page=show_problem&amp;problem=2172","UVA 11231")</f>
        <v>UVA 11231</v>
      </c>
      <c r="C52" s="14"/>
      <c r="D52" s="49"/>
      <c r="E52" s="49"/>
      <c r="F52" s="49"/>
      <c r="G52" s="49"/>
      <c r="H52" s="39"/>
      <c r="I52" s="39">
        <f t="shared" si="4"/>
        <v>0</v>
      </c>
      <c r="J52" s="111"/>
      <c r="K52" s="36"/>
      <c r="L52" s="111"/>
      <c r="M52" s="148" t="str">
        <f>HYPERLINK("https://www.youtube.com/watch?v=UNUD8qp33ic&amp;feature=youtu.be","Video Solution - Eng Amr Saud")</f>
        <v>Video Solution - Eng Amr Saud</v>
      </c>
    </row>
    <row r="53">
      <c r="A53" s="146"/>
      <c r="B53" s="152" t="str">
        <f>HYPERLINK("https://www.spoj.com/problems/EASYMATH/","SPOJ EASYMATH")</f>
        <v>SPOJ EASYMATH</v>
      </c>
      <c r="C53" s="14"/>
      <c r="D53" s="49"/>
      <c r="E53" s="49"/>
      <c r="F53" s="49"/>
      <c r="G53" s="49"/>
      <c r="H53" s="39"/>
      <c r="I53" s="39">
        <f t="shared" si="4"/>
        <v>0</v>
      </c>
      <c r="J53" s="111"/>
      <c r="K53" s="36"/>
      <c r="L53" s="111"/>
      <c r="M53" s="155" t="str">
        <f>HYPERLINK("https://github.com/Emsawy/CompetitiveProgramming/blob/master/SPOJ/EASYMATH.cpp","Sol")</f>
        <v>Sol</v>
      </c>
    </row>
    <row r="54">
      <c r="A54" s="136" t="s">
        <v>245</v>
      </c>
      <c r="B54" s="157" t="str">
        <f>HYPERLINK("https://uva.onlinejudge.org/index.php?option=onlinejudge&amp;page=show_problem&amp;problem=3300","UVA 12148")</f>
        <v>UVA 12148</v>
      </c>
      <c r="C54" s="14"/>
      <c r="D54" s="49"/>
      <c r="E54" s="49"/>
      <c r="F54" s="49"/>
      <c r="G54" s="49"/>
      <c r="H54" s="39"/>
      <c r="I54" s="39"/>
      <c r="J54" s="111"/>
      <c r="K54" s="36"/>
      <c r="L54" s="111"/>
      <c r="M54" s="155" t="str">
        <f>HYPERLINK("https://github.com/juanplopes/icpc/blob/master/uva/12148.cpp","Learn Calender Leap Year")</f>
        <v>Learn Calender Leap Year</v>
      </c>
    </row>
    <row r="55">
      <c r="A55" s="106"/>
      <c r="B55" s="142"/>
      <c r="C55" s="14"/>
      <c r="D55" s="49"/>
      <c r="E55" s="49"/>
      <c r="F55" s="49"/>
      <c r="G55" s="49"/>
      <c r="H55" s="39"/>
      <c r="I55" s="39">
        <f t="shared" ref="I55:I66" si="5">SUM(E55:H55)</f>
        <v>0</v>
      </c>
      <c r="J55" s="16"/>
      <c r="K55" s="36"/>
      <c r="L55" s="16"/>
      <c r="M55" s="87"/>
    </row>
    <row r="56">
      <c r="A56" s="81" t="s">
        <v>248</v>
      </c>
      <c r="B56" s="82" t="str">
        <f>HYPERLINK("http://codeforces.com/contest/136/problem/A","CF136-D2-A")</f>
        <v>CF136-D2-A</v>
      </c>
      <c r="C56" s="112"/>
      <c r="D56" s="111"/>
      <c r="E56" s="111"/>
      <c r="F56" s="111"/>
      <c r="G56" s="111"/>
      <c r="H56" s="140"/>
      <c r="I56" s="39">
        <f t="shared" si="5"/>
        <v>0</v>
      </c>
      <c r="J56" s="16"/>
      <c r="K56" s="36"/>
      <c r="L56" s="16"/>
      <c r="M56" s="162" t="str">
        <f>HYPERLINK("https://www.youtube.com/watch?v=MduaJDmo7RU","Video Solution - Eng Ahmed Rafaat (Python)")</f>
        <v>Video Solution - Eng Ahmed Rafaat (Python)</v>
      </c>
    </row>
    <row r="57">
      <c r="A57" s="105" t="s">
        <v>253</v>
      </c>
      <c r="B57" s="107" t="str">
        <f>HYPERLINK("http://codeforces.com/contest/567/problem/A","CF567-D2-A")</f>
        <v>CF567-D2-A</v>
      </c>
      <c r="C57" s="112"/>
      <c r="D57" s="111"/>
      <c r="E57" s="111"/>
      <c r="F57" s="111"/>
      <c r="G57" s="111"/>
      <c r="H57" s="140"/>
      <c r="I57" s="39">
        <f t="shared" si="5"/>
        <v>0</v>
      </c>
      <c r="J57" s="16"/>
      <c r="K57" s="36"/>
      <c r="L57" s="16"/>
      <c r="M57" s="162" t="str">
        <f>HYPERLINK("https://www.youtube.com/watch?v=gc4BEAw0pbs&amp;feature=youtu.be","Video Solution - Eng Ahmed Rafaat (Python)")</f>
        <v>Video Solution - Eng Ahmed Rafaat (Python)</v>
      </c>
    </row>
    <row r="58">
      <c r="A58" s="106" t="s">
        <v>257</v>
      </c>
      <c r="B58" s="142" t="str">
        <f>HYPERLINK("http://codeforces.com/contest/766/problem/A","CF766-D2-A")</f>
        <v>CF766-D2-A</v>
      </c>
      <c r="C58" s="14"/>
      <c r="D58" s="49"/>
      <c r="E58" s="49"/>
      <c r="F58" s="49"/>
      <c r="G58" s="49"/>
      <c r="H58" s="39"/>
      <c r="I58" s="39">
        <f t="shared" si="5"/>
        <v>0</v>
      </c>
      <c r="J58" s="16"/>
      <c r="K58" s="36"/>
      <c r="L58" s="16"/>
      <c r="M58" s="85" t="str">
        <f>HYPERLINK("https://www.youtube.com/watch?v=nq66DIFAyhs","Video Solution - Solver to be (Java)")</f>
        <v>Video Solution - Solver to be (Java)</v>
      </c>
    </row>
    <row r="59">
      <c r="A59" s="164" t="s">
        <v>259</v>
      </c>
      <c r="B59" s="166" t="str">
        <f>HYPERLINK("http://codeforces.com/problemset/problem/767/A","CF767-D2-A")</f>
        <v>CF767-D2-A</v>
      </c>
      <c r="C59" s="14"/>
      <c r="D59" s="49"/>
      <c r="E59" s="49"/>
      <c r="F59" s="49"/>
      <c r="G59" s="49"/>
      <c r="H59" s="39"/>
      <c r="I59" s="39">
        <f t="shared" si="5"/>
        <v>0</v>
      </c>
      <c r="J59" s="111"/>
      <c r="K59" s="36"/>
      <c r="L59" s="111"/>
      <c r="M59" s="85" t="str">
        <f>HYPERLINK("https://www.youtube.com/watch?v=MVHuUdj_CWo","Video Solution - Solver to be (Java)")</f>
        <v>Video Solution - Solver to be (Java)</v>
      </c>
    </row>
    <row r="60">
      <c r="A60" s="164" t="s">
        <v>262</v>
      </c>
      <c r="B60" s="166" t="str">
        <f>HYPERLINK("http://codeforces.com/contest/768/problem/A","CF768-D2-A")</f>
        <v>CF768-D2-A</v>
      </c>
      <c r="C60" s="14"/>
      <c r="D60" s="49"/>
      <c r="E60" s="49"/>
      <c r="F60" s="49"/>
      <c r="G60" s="49"/>
      <c r="H60" s="39"/>
      <c r="I60" s="39">
        <f t="shared" si="5"/>
        <v>0</v>
      </c>
      <c r="J60" s="111"/>
      <c r="K60" s="36"/>
      <c r="L60" s="111"/>
      <c r="M60" s="85" t="str">
        <f>HYPERLINK("https://www.youtube.com/watch?v=4vBmYmqOoIk","Video Solution - Solver to be (Java)")</f>
        <v>Video Solution - Solver to be (Java)</v>
      </c>
    </row>
    <row r="61">
      <c r="A61" s="105" t="s">
        <v>263</v>
      </c>
      <c r="B61" s="107" t="str">
        <f>HYPERLINK("http://codeforces.com/contest/158/problem/A","CF158-D12-A")</f>
        <v>CF158-D12-A</v>
      </c>
      <c r="C61" s="14"/>
      <c r="D61" s="49"/>
      <c r="E61" s="49"/>
      <c r="F61" s="49"/>
      <c r="G61" s="49"/>
      <c r="H61" s="39"/>
      <c r="I61" s="39">
        <f t="shared" si="5"/>
        <v>0</v>
      </c>
      <c r="J61" s="111"/>
      <c r="K61" s="36"/>
      <c r="L61" s="111"/>
      <c r="M61" s="85" t="str">
        <f>HYPERLINK("https://www.youtube.com/watch?v=jwF2F5D8j9o","Video Solution - Solver to be (Java)")</f>
        <v>Video Solution - Solver to be (Java)</v>
      </c>
    </row>
    <row r="62">
      <c r="A62" s="105" t="s">
        <v>268</v>
      </c>
      <c r="B62" s="107" t="str">
        <f>HYPERLINK("http://codeforces.com/contest/282/problem/A","CF282-D2-A")</f>
        <v>CF282-D2-A</v>
      </c>
      <c r="C62" s="112"/>
      <c r="D62" s="111"/>
      <c r="E62" s="111"/>
      <c r="F62" s="111"/>
      <c r="G62" s="111"/>
      <c r="H62" s="140"/>
      <c r="I62" s="39">
        <f t="shared" si="5"/>
        <v>0</v>
      </c>
      <c r="J62" s="16"/>
      <c r="K62" s="36"/>
      <c r="L62" s="16"/>
      <c r="M62" s="114" t="str">
        <f>HYPERLINK("https://www.youtube.com/watch?v=5TyT1RIv3wM","Video Solution - Solver to be (Java)")</f>
        <v>Video Solution - Solver to be (Java)</v>
      </c>
    </row>
    <row r="63">
      <c r="A63" s="105" t="s">
        <v>271</v>
      </c>
      <c r="B63" s="107" t="str">
        <f>HYPERLINK("http://codeforces.com/contest/69/problem/A","CF69-D2-A")</f>
        <v>CF69-D2-A</v>
      </c>
      <c r="C63" s="14"/>
      <c r="D63" s="49"/>
      <c r="E63" s="49"/>
      <c r="F63" s="49"/>
      <c r="G63" s="49"/>
      <c r="H63" s="39"/>
      <c r="I63" s="39">
        <f t="shared" si="5"/>
        <v>0</v>
      </c>
      <c r="J63" s="111"/>
      <c r="K63" s="36"/>
      <c r="L63" s="111"/>
      <c r="M63" s="85" t="str">
        <f>HYPERLINK("https://www.youtube.com/watch?v=L8pMTIq7DFM","Video Solution - Solver to be (Java)")</f>
        <v>Video Solution - Solver to be (Java)</v>
      </c>
    </row>
    <row r="64">
      <c r="A64" s="81" t="s">
        <v>273</v>
      </c>
      <c r="B64" s="82" t="str">
        <f>HYPERLINK("http://codeforces.com/contest/520/problem/A","CF520-D2-A")</f>
        <v>CF520-D2-A</v>
      </c>
      <c r="C64" s="14"/>
      <c r="D64" s="49"/>
      <c r="E64" s="49"/>
      <c r="F64" s="49"/>
      <c r="G64" s="49"/>
      <c r="H64" s="39"/>
      <c r="I64" s="39">
        <f t="shared" si="5"/>
        <v>0</v>
      </c>
      <c r="J64" s="111"/>
      <c r="K64" s="36"/>
      <c r="L64" s="111"/>
      <c r="M64" s="114" t="str">
        <f>HYPERLINK("https://www.youtube.com/watch?v=TrHCzh7bPRo","Video Solution - Solver to be (Java)")</f>
        <v>Video Solution - Solver to be (Java)</v>
      </c>
    </row>
    <row r="65">
      <c r="A65" s="105" t="s">
        <v>278</v>
      </c>
      <c r="B65" s="107" t="str">
        <f>HYPERLINK("http://codeforces.com/contest/160/problem/A","CF160-D2-A")</f>
        <v>CF160-D2-A</v>
      </c>
      <c r="C65" s="112"/>
      <c r="D65" s="111"/>
      <c r="E65" s="111"/>
      <c r="F65" s="111"/>
      <c r="G65" s="111"/>
      <c r="H65" s="140"/>
      <c r="I65" s="39">
        <f t="shared" si="5"/>
        <v>0</v>
      </c>
      <c r="J65" s="16"/>
      <c r="K65" s="36"/>
      <c r="L65" s="16"/>
      <c r="M65" s="114" t="str">
        <f>HYPERLINK("https://www.youtube.com/watch?v=V6fh3b50nX8","Video Solution - Solver to be (Java)")</f>
        <v>Video Solution - Solver to be (Java)</v>
      </c>
    </row>
    <row r="66">
      <c r="A66" s="105" t="s">
        <v>283</v>
      </c>
      <c r="B66" s="107" t="str">
        <f>HYPERLINK("http://codeforces.com/contest/474/problem/A","CF474-D2-A")</f>
        <v>CF474-D2-A</v>
      </c>
      <c r="C66" s="112"/>
      <c r="D66" s="111"/>
      <c r="E66" s="111"/>
      <c r="F66" s="111"/>
      <c r="G66" s="111"/>
      <c r="H66" s="112"/>
      <c r="I66" s="39">
        <f t="shared" si="5"/>
        <v>0</v>
      </c>
      <c r="J66" s="16"/>
      <c r="K66" s="112"/>
      <c r="L66" s="16"/>
      <c r="M66" s="114" t="str">
        <f>HYPERLINK("https://www.youtube.com/watch?v=oFIiCpVI3Ck","Video Solution - Solver to be (Java)")</f>
        <v>Video Solution - Solver to be (Java)</v>
      </c>
    </row>
    <row r="67">
      <c r="A67" s="16"/>
      <c r="B67" s="16"/>
      <c r="C67" s="14"/>
      <c r="D67" s="49"/>
      <c r="E67" s="49"/>
      <c r="F67" s="49"/>
      <c r="G67" s="49"/>
      <c r="H67" s="39"/>
      <c r="I67" s="39"/>
      <c r="J67" s="16"/>
      <c r="K67" s="36"/>
      <c r="L67" s="16"/>
      <c r="M67" s="169"/>
    </row>
    <row r="68">
      <c r="A68" s="16"/>
      <c r="B68" s="16"/>
      <c r="C68" s="14"/>
      <c r="D68" s="49"/>
      <c r="E68" s="49"/>
      <c r="F68" s="49"/>
      <c r="G68" s="49"/>
      <c r="H68" s="39"/>
      <c r="I68" s="39">
        <f t="shared" ref="I68:I86" si="6">SUM(E68:H68)</f>
        <v>0</v>
      </c>
      <c r="J68" s="16"/>
      <c r="K68" s="36"/>
      <c r="L68" s="16"/>
      <c r="M68" s="169" t="str">
        <f>HYPERLINK("https://www.youtube.com/watch?v=jzfcfQVBtKA","Watch - Graph Theory - Intro")</f>
        <v>Watch - Graph Theory - Intro</v>
      </c>
    </row>
    <row r="69">
      <c r="A69" s="16"/>
      <c r="B69" s="16"/>
      <c r="C69" s="14"/>
      <c r="D69" s="49"/>
      <c r="E69" s="49"/>
      <c r="F69" s="49"/>
      <c r="G69" s="49"/>
      <c r="H69" s="39"/>
      <c r="I69" s="39">
        <f t="shared" si="6"/>
        <v>0</v>
      </c>
      <c r="J69" s="16"/>
      <c r="K69" s="36"/>
      <c r="L69" s="16"/>
      <c r="M69" s="169" t="str">
        <f>HYPERLINK("https://www.youtube.com/watch?v=9DP0X2xlPCo","Watch - Graph Theory - DFS")</f>
        <v>Watch - Graph Theory - DFS</v>
      </c>
    </row>
    <row r="70">
      <c r="A70" s="117" t="s">
        <v>292</v>
      </c>
      <c r="B70" s="73" t="str">
        <f>HYPERLINK("https://uva.onlinejudge.org/index.php?option=onlinejudge&amp;page=show_problem&amp;problem=288","UVA 352")</f>
        <v>UVA 352</v>
      </c>
      <c r="C70" s="14"/>
      <c r="D70" s="49"/>
      <c r="E70" s="49"/>
      <c r="F70" s="49"/>
      <c r="G70" s="49"/>
      <c r="H70" s="39"/>
      <c r="I70" s="39">
        <f t="shared" si="6"/>
        <v>0</v>
      </c>
      <c r="J70" s="16"/>
      <c r="K70" s="36"/>
      <c r="L70" s="16"/>
      <c r="M70" s="114" t="str">
        <f>HYPERLINK("https://www.youtube.com/watch?v=-nRiMjHEIUg","Video Solution - Eng Mohamed Nasser")</f>
        <v>Video Solution - Eng Mohamed Nasser</v>
      </c>
    </row>
    <row r="71">
      <c r="A71" s="117" t="s">
        <v>296</v>
      </c>
      <c r="B71" s="73" t="str">
        <f>HYPERLINK("https://uva.onlinejudge.org/index.php?option=onlinejudge&amp;page=show_problem&amp;problem=1393","UVA 10452")</f>
        <v>UVA 10452</v>
      </c>
      <c r="C71" s="14"/>
      <c r="D71" s="49"/>
      <c r="E71" s="49"/>
      <c r="F71" s="49"/>
      <c r="G71" s="49"/>
      <c r="H71" s="39"/>
      <c r="I71" s="39">
        <f t="shared" si="6"/>
        <v>0</v>
      </c>
      <c r="J71" s="16"/>
      <c r="K71" s="36"/>
      <c r="L71" s="16"/>
      <c r="M71" s="114" t="str">
        <f>HYPERLINK("https://www.youtube.com/watch?v=HtaczlDLylk","Video Solution - Eng Ayman Salah")</f>
        <v>Video Solution - Eng Ayman Salah</v>
      </c>
    </row>
    <row r="72">
      <c r="A72" s="117" t="s">
        <v>299</v>
      </c>
      <c r="B72" s="73" t="str">
        <f>HYPERLINK("https://uva.onlinejudge.org/index.php?option=com_onlinejudge&amp;Itemid=8&amp;page=show_problem&amp;problem=3104","UVA 11953")</f>
        <v>UVA 11953</v>
      </c>
      <c r="C72" s="14"/>
      <c r="D72" s="49"/>
      <c r="E72" s="49"/>
      <c r="F72" s="49"/>
      <c r="G72" s="49"/>
      <c r="H72" s="39"/>
      <c r="I72" s="39">
        <f t="shared" si="6"/>
        <v>0</v>
      </c>
      <c r="J72" s="16"/>
      <c r="K72" s="36"/>
      <c r="L72" s="16"/>
      <c r="M72" s="114" t="str">
        <f>HYPERLINK("https://www.youtube.com/watch?v=nvPucDrmErI","Video Solution - Eng Aya Elymany")</f>
        <v>Video Solution - Eng Aya Elymany</v>
      </c>
    </row>
    <row r="73">
      <c r="A73" s="117" t="s">
        <v>302</v>
      </c>
      <c r="B73" s="73" t="str">
        <f>HYPERLINK("http://codeforces.com/contest/216/problem/B","CF216-D2-B")</f>
        <v>CF216-D2-B</v>
      </c>
      <c r="C73" s="14"/>
      <c r="D73" s="49"/>
      <c r="E73" s="49"/>
      <c r="F73" s="49"/>
      <c r="G73" s="49"/>
      <c r="H73" s="39"/>
      <c r="I73" s="39">
        <f t="shared" si="6"/>
        <v>0</v>
      </c>
      <c r="J73" s="16"/>
      <c r="K73" s="36"/>
      <c r="L73" s="16"/>
      <c r="M73" s="114" t="str">
        <f>HYPERLINK("https://www.youtube.com/watch?v=O4rahDYs9-c","Video Solution - Eng Mostafa Saad")</f>
        <v>Video Solution - Eng Mostafa Saad</v>
      </c>
    </row>
    <row r="74">
      <c r="A74" s="171" t="s">
        <v>305</v>
      </c>
      <c r="B74" s="173" t="str">
        <f>HYPERLINK("http://www.spoj.com/problems/MAKETREE/","SPOJ MAKETREE")</f>
        <v>SPOJ MAKETREE</v>
      </c>
      <c r="C74" s="14"/>
      <c r="D74" s="49"/>
      <c r="E74" s="49"/>
      <c r="F74" s="49"/>
      <c r="G74" s="49"/>
      <c r="H74" s="39"/>
      <c r="I74" s="39">
        <f t="shared" si="6"/>
        <v>0</v>
      </c>
      <c r="J74" s="16"/>
      <c r="K74" s="36"/>
      <c r="L74" s="16"/>
      <c r="M74" s="75" t="str">
        <f>HYPERLINK("https://www.youtube.com/watch?v=Rmi_2e6gt5M","Video Solution - Eng Yahia Ashraf")</f>
        <v>Video Solution - Eng Yahia Ashraf</v>
      </c>
    </row>
    <row r="75">
      <c r="A75" s="171" t="s">
        <v>308</v>
      </c>
      <c r="B75" s="173" t="str">
        <f>HYPERLINK("https://uva.onlinejudge.org/index.php?option=onlinejudge&amp;page=show_problem&amp;problem=1246","UVA 10305")</f>
        <v>UVA 10305</v>
      </c>
      <c r="C75" s="14"/>
      <c r="D75" s="49"/>
      <c r="E75" s="49"/>
      <c r="F75" s="49"/>
      <c r="G75" s="49"/>
      <c r="H75" s="39"/>
      <c r="I75" s="39">
        <f t="shared" si="6"/>
        <v>0</v>
      </c>
      <c r="J75" s="16"/>
      <c r="K75" s="36"/>
      <c r="L75" s="16"/>
      <c r="M75" s="75" t="str">
        <f>HYPERLINK("https://www.youtube.com/watch?v=4t-4ZC8BRj8","Video Solution - Eng Yahia Ashraf")</f>
        <v>Video Solution - Eng Yahia Ashraf</v>
      </c>
    </row>
    <row r="76">
      <c r="A76" s="174"/>
      <c r="B76" s="82"/>
      <c r="C76" s="14"/>
      <c r="D76" s="49"/>
      <c r="E76" s="49"/>
      <c r="F76" s="49"/>
      <c r="G76" s="49"/>
      <c r="H76" s="39"/>
      <c r="I76" s="39">
        <f t="shared" si="6"/>
        <v>0</v>
      </c>
      <c r="J76" s="111"/>
      <c r="K76" s="36"/>
      <c r="L76" s="111"/>
      <c r="M76" s="112"/>
    </row>
    <row r="77">
      <c r="A77" s="105" t="s">
        <v>311</v>
      </c>
      <c r="B77" s="107" t="str">
        <f>HYPERLINK("http://codeforces.com/contest/318/problem/A","CF318-D2-A")</f>
        <v>CF318-D2-A</v>
      </c>
      <c r="C77" s="14"/>
      <c r="D77" s="49"/>
      <c r="E77" s="49"/>
      <c r="F77" s="49"/>
      <c r="G77" s="49"/>
      <c r="H77" s="39"/>
      <c r="I77" s="39">
        <f t="shared" si="6"/>
        <v>0</v>
      </c>
      <c r="J77" s="111"/>
      <c r="K77" s="36"/>
      <c r="L77" s="111"/>
      <c r="M77" s="148" t="str">
        <f>HYPERLINK("https://www.youtube.com/watch?v=w7gZx99Efzs&amp;feature=youtu.be","Video Solution - Eng Muntaser Abukadeja")</f>
        <v>Video Solution - Eng Muntaser Abukadeja</v>
      </c>
    </row>
    <row r="78">
      <c r="A78" s="105" t="s">
        <v>315</v>
      </c>
      <c r="B78" s="107" t="str">
        <f>HYPERLINK("http://codeforces.com/contest/469/problem/A","CF469-D2-A")</f>
        <v>CF469-D2-A</v>
      </c>
      <c r="C78" s="112"/>
      <c r="D78" s="111"/>
      <c r="E78" s="111"/>
      <c r="F78" s="111"/>
      <c r="G78" s="111"/>
      <c r="H78" s="140"/>
      <c r="I78" s="39">
        <f t="shared" si="6"/>
        <v>0</v>
      </c>
      <c r="J78" s="16"/>
      <c r="K78" s="36"/>
      <c r="L78" s="16"/>
      <c r="M78" s="114" t="str">
        <f>HYPERLINK("https://www.youtube.com/watch?v=MVHuUdj_CWo","Video Solution - Solver to be (Java)")</f>
        <v>Video Solution - Solver to be (Java)</v>
      </c>
    </row>
    <row r="79">
      <c r="A79" s="164" t="s">
        <v>319</v>
      </c>
      <c r="B79" s="166" t="str">
        <f>HYPERLINK("http://codeforces.com/contest/807/problem/A","CF807-D2-A")</f>
        <v>CF807-D2-A</v>
      </c>
      <c r="C79" s="14"/>
      <c r="D79" s="49"/>
      <c r="E79" s="49"/>
      <c r="F79" s="49"/>
      <c r="G79" s="49"/>
      <c r="H79" s="39"/>
      <c r="I79" s="39">
        <f t="shared" si="6"/>
        <v>0</v>
      </c>
      <c r="J79" s="16"/>
      <c r="K79" s="36"/>
      <c r="L79" s="16"/>
      <c r="M79" s="85" t="str">
        <f>HYPERLINK("https://www.youtube.com/watch?v=PU-Lg0gs6kY","Video Solution - Solver to be (Java)")</f>
        <v>Video Solution - Solver to be (Java)</v>
      </c>
    </row>
    <row r="80">
      <c r="A80" s="81" t="s">
        <v>323</v>
      </c>
      <c r="B80" s="82" t="str">
        <f>HYPERLINK("http://codeforces.com/contest/584/problem/A","CF584-D2-A")</f>
        <v>CF584-D2-A</v>
      </c>
      <c r="C80" s="14"/>
      <c r="D80" s="49"/>
      <c r="E80" s="49"/>
      <c r="F80" s="49"/>
      <c r="G80" s="49"/>
      <c r="H80" s="39"/>
      <c r="I80" s="39">
        <f t="shared" si="6"/>
        <v>0</v>
      </c>
      <c r="J80" s="16"/>
      <c r="K80" s="36"/>
      <c r="L80" s="16"/>
      <c r="M80" s="85" t="str">
        <f>HYPERLINK("https://www.youtube.com/watch?v=U3bX6kIGDG8","Video Solution - Solver to be (Java)")</f>
        <v>Video Solution - Solver to be (Java)</v>
      </c>
    </row>
    <row r="81">
      <c r="A81" s="86" t="s">
        <v>327</v>
      </c>
      <c r="B81" s="88" t="str">
        <f>HYPERLINK("http://codeforces.com/contest/118/problem/A","CF118-D2-A")</f>
        <v>CF118-D2-A</v>
      </c>
      <c r="C81" s="14"/>
      <c r="D81" s="49"/>
      <c r="E81" s="49"/>
      <c r="F81" s="49"/>
      <c r="G81" s="49"/>
      <c r="H81" s="39"/>
      <c r="I81" s="39">
        <f t="shared" si="6"/>
        <v>0</v>
      </c>
      <c r="J81" s="16"/>
      <c r="K81" s="36"/>
      <c r="L81" s="16"/>
      <c r="M81" s="85" t="str">
        <f>HYPERLINK("https://www.youtube.com/watch?v=fiYo2lKksN0","Video Solution - Solver to be (Java)")</f>
        <v>Video Solution - Solver to be (Java)</v>
      </c>
    </row>
    <row r="82">
      <c r="A82" s="81" t="s">
        <v>331</v>
      </c>
      <c r="B82" s="82" t="str">
        <f>HYPERLINK("http://codeforces.com/contest/41/problem/A","CF41-D2-A")</f>
        <v>CF41-D2-A</v>
      </c>
      <c r="C82" s="14"/>
      <c r="D82" s="49"/>
      <c r="E82" s="49"/>
      <c r="F82" s="49"/>
      <c r="G82" s="49"/>
      <c r="H82" s="39"/>
      <c r="I82" s="39">
        <f t="shared" si="6"/>
        <v>0</v>
      </c>
      <c r="J82" s="16"/>
      <c r="K82" s="36"/>
      <c r="L82" s="16"/>
      <c r="M82" s="85" t="str">
        <f>HYPERLINK("https://www.youtube.com/watch?v=2rXyyB_2zX8","Video Solution - Solver to be (Java)")</f>
        <v>Video Solution - Solver to be (Java)</v>
      </c>
    </row>
    <row r="83">
      <c r="A83" s="81" t="s">
        <v>336</v>
      </c>
      <c r="B83" s="82" t="str">
        <f>HYPERLINK("http://codeforces.com/contest/556/problem/A","CF556-D2-A")</f>
        <v>CF556-D2-A</v>
      </c>
      <c r="C83" s="14"/>
      <c r="D83" s="49"/>
      <c r="E83" s="49"/>
      <c r="F83" s="49"/>
      <c r="G83" s="49"/>
      <c r="H83" s="39"/>
      <c r="I83" s="39">
        <f t="shared" si="6"/>
        <v>0</v>
      </c>
      <c r="J83" s="16"/>
      <c r="K83" s="36"/>
      <c r="L83" s="16"/>
      <c r="M83" s="85" t="str">
        <f>HYPERLINK("https://www.youtube.com/watch?v=rud5ZbfjBxg","Video Solution - Solver to be (Java)")</f>
        <v>Video Solution - Solver to be (Java)</v>
      </c>
    </row>
    <row r="84">
      <c r="A84" s="86" t="s">
        <v>340</v>
      </c>
      <c r="B84" s="88" t="str">
        <f>HYPERLINK("http://codeforces.com/contest/43/problem/A","CF43-D2-A")</f>
        <v>CF43-D2-A</v>
      </c>
      <c r="C84" s="14"/>
      <c r="D84" s="49"/>
      <c r="E84" s="49"/>
      <c r="F84" s="49"/>
      <c r="G84" s="49"/>
      <c r="H84" s="39"/>
      <c r="I84" s="39">
        <f t="shared" si="6"/>
        <v>0</v>
      </c>
      <c r="J84" s="16"/>
      <c r="K84" s="36"/>
      <c r="L84" s="16"/>
      <c r="M84" s="85" t="str">
        <f>HYPERLINK("https://www.youtube.com/watch?v=fUOco0Vz584&amp;feature=youtu.be","Video Solution - Eng Belal Abdulnasser (Python)")</f>
        <v>Video Solution - Eng Belal Abdulnasser (Python)</v>
      </c>
    </row>
    <row r="85">
      <c r="A85" s="86" t="s">
        <v>343</v>
      </c>
      <c r="B85" s="88" t="str">
        <f>HYPERLINK("http://codeforces.com/contest/707/problem/A","CF707-D2-A")</f>
        <v>CF707-D2-A</v>
      </c>
      <c r="C85" s="14"/>
      <c r="D85" s="49"/>
      <c r="E85" s="49"/>
      <c r="F85" s="49"/>
      <c r="G85" s="49"/>
      <c r="H85" s="39"/>
      <c r="I85" s="39">
        <f t="shared" si="6"/>
        <v>0</v>
      </c>
      <c r="J85" s="16"/>
      <c r="K85" s="36"/>
      <c r="L85" s="16"/>
      <c r="M85" s="85" t="str">
        <f>HYPERLINK("https://www.youtube.com/watch?v=cCraOn4wjAs","Video Solution - Solver to be (Java)")</f>
        <v>Video Solution - Solver to be (Java)</v>
      </c>
    </row>
    <row r="86">
      <c r="A86" s="86" t="s">
        <v>347</v>
      </c>
      <c r="B86" s="88" t="str">
        <f>HYPERLINK("http://codeforces.com/contest/208/problem/A","CF208-D2-A")</f>
        <v>CF208-D2-A</v>
      </c>
      <c r="C86" s="14"/>
      <c r="D86" s="49"/>
      <c r="E86" s="49"/>
      <c r="F86" s="49"/>
      <c r="G86" s="49"/>
      <c r="H86" s="39"/>
      <c r="I86" s="39">
        <f t="shared" si="6"/>
        <v>0</v>
      </c>
      <c r="J86" s="16"/>
      <c r="K86" s="36"/>
      <c r="L86" s="16"/>
      <c r="M86" s="85" t="str">
        <f>HYPERLINK("https://www.youtube.com/watch?v=M4umpd8utSA","Video Solution - Solver to be (Java)")</f>
        <v>Video Solution - Solver to be (Java)</v>
      </c>
    </row>
    <row r="87">
      <c r="A87" s="176"/>
      <c r="B87" s="177"/>
      <c r="C87" s="14"/>
      <c r="D87" s="49"/>
      <c r="E87" s="49"/>
      <c r="F87" s="49"/>
      <c r="G87" s="49"/>
      <c r="H87" s="39"/>
      <c r="I87" s="39"/>
      <c r="J87" s="49"/>
      <c r="K87" s="36"/>
      <c r="L87" s="49"/>
      <c r="M87" s="57"/>
    </row>
    <row r="88">
      <c r="A88" s="176"/>
      <c r="B88" s="177"/>
      <c r="C88" s="14"/>
      <c r="D88" s="49"/>
      <c r="E88" s="49"/>
      <c r="F88" s="49"/>
      <c r="G88" s="49"/>
      <c r="H88" s="39"/>
      <c r="I88" s="39">
        <f t="shared" ref="I88:I118" si="7">SUM(E88:H88)</f>
        <v>0</v>
      </c>
      <c r="J88" s="49"/>
      <c r="K88" s="36"/>
      <c r="L88" s="49"/>
      <c r="M88" s="57" t="str">
        <f>HYPERLINK("https://www.youtube.com/watch?v=XhVmgLXYvuQ","Watch - Computational Geometry - Intro")</f>
        <v>Watch - Computational Geometry - Intro</v>
      </c>
    </row>
    <row r="89">
      <c r="A89" s="178"/>
      <c r="B89" s="179"/>
      <c r="C89" s="14"/>
      <c r="D89" s="49"/>
      <c r="E89" s="49"/>
      <c r="F89" s="49"/>
      <c r="G89" s="49"/>
      <c r="H89" s="39"/>
      <c r="I89" s="39">
        <f t="shared" si="7"/>
        <v>0</v>
      </c>
      <c r="J89" s="49"/>
      <c r="K89" s="36"/>
      <c r="L89" s="49"/>
      <c r="M89" s="57" t="str">
        <f>HYPERLINK("https://www.youtube.com/watch?v=2CUN12WrNr4","Watch - Computational Geometry - Point and Vector")</f>
        <v>Watch - Computational Geometry - Point and Vector</v>
      </c>
    </row>
    <row r="90">
      <c r="A90" s="149" t="s">
        <v>358</v>
      </c>
      <c r="B90" s="181" t="str">
        <f>HYPERLINK("http://codeforces.com/contest/127/problem/A","CF127-D2-A")</f>
        <v>CF127-D2-A</v>
      </c>
      <c r="C90" s="14"/>
      <c r="D90" s="49"/>
      <c r="E90" s="49"/>
      <c r="F90" s="49"/>
      <c r="G90" s="49"/>
      <c r="H90" s="39"/>
      <c r="I90" s="39">
        <f t="shared" si="7"/>
        <v>0</v>
      </c>
      <c r="J90" s="16"/>
      <c r="K90" s="36"/>
      <c r="L90" s="16"/>
      <c r="M90" s="16"/>
    </row>
    <row r="91">
      <c r="A91" s="149" t="s">
        <v>360</v>
      </c>
      <c r="B91" s="181" t="str">
        <f>HYPERLINK("https://uva.onlinejudge.org/index.php?option=onlinejudge&amp;page=show_problem&amp;problem=417","UVA 476")</f>
        <v>UVA 476</v>
      </c>
      <c r="C91" s="14"/>
      <c r="D91" s="49"/>
      <c r="E91" s="49"/>
      <c r="F91" s="49"/>
      <c r="G91" s="49"/>
      <c r="H91" s="39"/>
      <c r="I91" s="39">
        <f t="shared" si="7"/>
        <v>0</v>
      </c>
      <c r="J91" s="182"/>
      <c r="K91" s="36"/>
      <c r="L91" s="182"/>
      <c r="M91" s="178"/>
    </row>
    <row r="92">
      <c r="A92" s="149" t="s">
        <v>363</v>
      </c>
      <c r="B92" s="181" t="str">
        <f>HYPERLINK("https://uva.onlinejudge.org/index.php?option=onlinejudge&amp;page=show_problem&amp;problem=401","UVA 460")</f>
        <v>UVA 460</v>
      </c>
      <c r="C92" s="14"/>
      <c r="D92" s="49"/>
      <c r="E92" s="49"/>
      <c r="F92" s="49"/>
      <c r="G92" s="49"/>
      <c r="H92" s="39"/>
      <c r="I92" s="39">
        <f t="shared" si="7"/>
        <v>0</v>
      </c>
      <c r="J92" s="182"/>
      <c r="K92" s="36"/>
      <c r="L92" s="182"/>
      <c r="M92" s="185" t="str">
        <f>HYPERLINK("https://www.youtube.com/watch?v=NOZxcOu25Iw","Video Solution - Eng Muntaser Abukadeja")</f>
        <v>Video Solution - Eng Muntaser Abukadeja</v>
      </c>
    </row>
    <row r="93">
      <c r="A93" s="149" t="s">
        <v>366</v>
      </c>
      <c r="B93" s="181" t="str">
        <f>HYPERLINK("http://codeforces.com/contest/270/problem/A","CF270-D2-A")</f>
        <v>CF270-D2-A</v>
      </c>
      <c r="C93" s="14"/>
      <c r="D93" s="49"/>
      <c r="E93" s="49"/>
      <c r="F93" s="49"/>
      <c r="G93" s="49"/>
      <c r="H93" s="39"/>
      <c r="I93" s="39">
        <f t="shared" si="7"/>
        <v>0</v>
      </c>
      <c r="J93" s="16"/>
      <c r="K93" s="36"/>
      <c r="L93" s="16"/>
      <c r="M93" s="83" t="str">
        <f>HYPERLINK("https://www.youtube.com/watch?v=ShgpJWttyxw","Video Solution - Eng Omar Ashraf")</f>
        <v>Video Solution - Eng Omar Ashraf</v>
      </c>
    </row>
    <row r="94">
      <c r="A94" s="149" t="s">
        <v>371</v>
      </c>
      <c r="B94" s="181" t="str">
        <f>HYPERLINK("http://codeforces.com/contest/667/problem/A","CF667-D2-A")</f>
        <v>CF667-D2-A</v>
      </c>
      <c r="C94" s="14"/>
      <c r="D94" s="49"/>
      <c r="E94" s="49"/>
      <c r="F94" s="49"/>
      <c r="G94" s="49"/>
      <c r="H94" s="39"/>
      <c r="I94" s="39">
        <f t="shared" si="7"/>
        <v>0</v>
      </c>
      <c r="J94" s="16"/>
      <c r="K94" s="36"/>
      <c r="L94" s="16"/>
      <c r="M94" s="16"/>
    </row>
    <row r="95">
      <c r="A95" s="149" t="s">
        <v>375</v>
      </c>
      <c r="B95" s="181" t="str">
        <f>HYPERLINK("https://uva.onlinejudge.org/index.php?option=onlinejudge&amp;page=show_problem&amp;problem=1183","UVA 10242")</f>
        <v>UVA 10242</v>
      </c>
      <c r="C95" s="14"/>
      <c r="D95" s="49"/>
      <c r="E95" s="49"/>
      <c r="F95" s="49"/>
      <c r="G95" s="49"/>
      <c r="H95" s="39"/>
      <c r="I95" s="39">
        <f t="shared" si="7"/>
        <v>0</v>
      </c>
      <c r="J95" s="182"/>
      <c r="K95" s="36"/>
      <c r="L95" s="182"/>
      <c r="M95" s="185" t="str">
        <f>HYPERLINK("https://www.youtube.com/watch?v=QkYkuhUHMQA&amp;feature=youtu.be","Video Solution - Eng Magdy Hasan")</f>
        <v>Video Solution - Eng Magdy Hasan</v>
      </c>
    </row>
    <row r="96">
      <c r="A96" s="178"/>
      <c r="B96" s="179"/>
      <c r="C96" s="14"/>
      <c r="D96" s="49"/>
      <c r="E96" s="49"/>
      <c r="F96" s="49"/>
      <c r="G96" s="49"/>
      <c r="H96" s="39"/>
      <c r="I96" s="39">
        <f t="shared" si="7"/>
        <v>0</v>
      </c>
      <c r="J96" s="182"/>
      <c r="K96" s="36"/>
      <c r="L96" s="182"/>
      <c r="M96" s="178"/>
    </row>
    <row r="97">
      <c r="A97" s="81" t="s">
        <v>378</v>
      </c>
      <c r="B97" s="82" t="str">
        <f>HYPERLINK("http://codeforces.com/contest/404/problem/A","CF404-D2-A")</f>
        <v>CF404-D2-A</v>
      </c>
      <c r="C97" s="14"/>
      <c r="D97" s="49"/>
      <c r="E97" s="49"/>
      <c r="F97" s="49"/>
      <c r="G97" s="49"/>
      <c r="H97" s="39"/>
      <c r="I97" s="39">
        <f t="shared" si="7"/>
        <v>0</v>
      </c>
      <c r="J97" s="16"/>
      <c r="K97" s="36"/>
      <c r="L97" s="16"/>
      <c r="M97" s="85" t="str">
        <f>HYPERLINK("https://www.youtube.com/watch?v=vLEXMm860gQ","Video Solution - Solver to be (Java)")</f>
        <v>Video Solution - Solver to be (Java)</v>
      </c>
    </row>
    <row r="98">
      <c r="A98" s="105" t="s">
        <v>382</v>
      </c>
      <c r="B98" s="107" t="str">
        <f>HYPERLINK("http://codeforces.com/contest/742/problem/A","CF742-D2-A")</f>
        <v>CF742-D2-A</v>
      </c>
      <c r="C98" s="14"/>
      <c r="D98" s="49"/>
      <c r="E98" s="49"/>
      <c r="F98" s="49"/>
      <c r="G98" s="49"/>
      <c r="H98" s="39"/>
      <c r="I98" s="39">
        <f t="shared" si="7"/>
        <v>0</v>
      </c>
      <c r="J98" s="16"/>
      <c r="K98" s="36"/>
      <c r="L98" s="16"/>
      <c r="M98" s="85" t="str">
        <f>HYPERLINK("https://www.youtube.com/watch?v=kdJGLjKy54o","Video Solution - Solver to be (Java)")</f>
        <v>Video Solution - Solver to be (Java)</v>
      </c>
    </row>
    <row r="99">
      <c r="A99" s="105" t="s">
        <v>386</v>
      </c>
      <c r="B99" s="107" t="str">
        <f>HYPERLINK("http://codeforces.com/contest/486/problem/A","CF486-D2-A")</f>
        <v>CF486-D2-A</v>
      </c>
      <c r="C99" s="14"/>
      <c r="D99" s="49"/>
      <c r="E99" s="49"/>
      <c r="F99" s="49"/>
      <c r="G99" s="49"/>
      <c r="H99" s="39"/>
      <c r="I99" s="39">
        <f t="shared" si="7"/>
        <v>0</v>
      </c>
      <c r="J99" s="16"/>
      <c r="K99" s="36"/>
      <c r="L99" s="16"/>
      <c r="M99" s="85" t="str">
        <f>HYPERLINK("https://www.youtube.com/watch?v=IByiomshI2o","Video Solution - Solver to be (Java)")</f>
        <v>Video Solution - Solver to be (Java)</v>
      </c>
    </row>
    <row r="100">
      <c r="A100" s="105" t="s">
        <v>388</v>
      </c>
      <c r="B100" s="107" t="str">
        <f>HYPERLINK("http://codeforces.com/contest/1/problem/A","CF1-D12-A")</f>
        <v>CF1-D12-A</v>
      </c>
      <c r="C100" s="14"/>
      <c r="D100" s="49"/>
      <c r="E100" s="49"/>
      <c r="F100" s="49"/>
      <c r="G100" s="49"/>
      <c r="H100" s="39"/>
      <c r="I100" s="39">
        <f t="shared" si="7"/>
        <v>0</v>
      </c>
      <c r="J100" s="16"/>
      <c r="K100" s="36"/>
      <c r="L100" s="16"/>
      <c r="M100" s="85" t="str">
        <f>HYPERLINK("https://www.youtube.com/watch?v=C5qZwZYPMJY","Video Solution - Solver to be (Java)")</f>
        <v>Video Solution - Solver to be (Java)</v>
      </c>
    </row>
    <row r="101">
      <c r="A101" s="164" t="s">
        <v>390</v>
      </c>
      <c r="B101" s="166" t="str">
        <f>HYPERLINK("http://codeforces.com/contest/785/problem/A","CF785-D2-A")</f>
        <v>CF785-D2-A</v>
      </c>
      <c r="C101" s="14"/>
      <c r="D101" s="49"/>
      <c r="E101" s="49"/>
      <c r="F101" s="49"/>
      <c r="G101" s="49"/>
      <c r="H101" s="39"/>
      <c r="I101" s="39">
        <f t="shared" si="7"/>
        <v>0</v>
      </c>
      <c r="J101" s="16"/>
      <c r="K101" s="36"/>
      <c r="L101" s="16"/>
      <c r="M101" s="85" t="str">
        <f>HYPERLINK("https://www.youtube.com/watch?v=PgEnG308Hf4","Video Solution - Solver to be (Java)")</f>
        <v>Video Solution - Solver to be (Java)</v>
      </c>
    </row>
    <row r="102">
      <c r="A102" s="81" t="s">
        <v>394</v>
      </c>
      <c r="B102" s="82" t="str">
        <f>HYPERLINK("http://codeforces.com/contest/80/problem/A","CF80-D2-A")</f>
        <v>CF80-D2-A</v>
      </c>
      <c r="C102" s="14"/>
      <c r="D102" s="49"/>
      <c r="E102" s="49"/>
      <c r="F102" s="49"/>
      <c r="G102" s="49"/>
      <c r="H102" s="39"/>
      <c r="I102" s="39">
        <f t="shared" si="7"/>
        <v>0</v>
      </c>
      <c r="J102" s="16"/>
      <c r="K102" s="36"/>
      <c r="L102" s="16"/>
      <c r="M102" s="85" t="str">
        <f>HYPERLINK("https://www.youtube.com/watch?v=eBT7tgXcd2I","Video Solution - Solver to be (Java)")</f>
        <v>Video Solution - Solver to be (Java)</v>
      </c>
    </row>
    <row r="103">
      <c r="A103" s="113" t="s">
        <v>398</v>
      </c>
      <c r="B103" s="61" t="str">
        <f>HYPERLINK("http://codeforces.com/contest/483/problem/A","CF483-D2-A")</f>
        <v>CF483-D2-A</v>
      </c>
      <c r="C103" s="14"/>
      <c r="D103" s="49"/>
      <c r="E103" s="49"/>
      <c r="F103" s="49"/>
      <c r="G103" s="49"/>
      <c r="H103" s="39"/>
      <c r="I103" s="39">
        <f t="shared" si="7"/>
        <v>0</v>
      </c>
      <c r="J103" s="182"/>
      <c r="K103" s="36"/>
      <c r="L103" s="182"/>
      <c r="M103" s="85" t="str">
        <f>HYPERLINK("https://www.youtube.com/watch?v=hWzHWVd9jI8","Video Solution - Solver to be (Java)")</f>
        <v>Video Solution - Solver to be (Java)</v>
      </c>
    </row>
    <row r="104">
      <c r="A104" s="113" t="s">
        <v>402</v>
      </c>
      <c r="B104" s="61" t="str">
        <f>HYPERLINK("http://codeforces.com/contest/365/problem/A","CF365-D2-A")</f>
        <v>CF365-D2-A</v>
      </c>
      <c r="C104" s="14"/>
      <c r="D104" s="49"/>
      <c r="E104" s="49"/>
      <c r="F104" s="49"/>
      <c r="G104" s="49"/>
      <c r="H104" s="39"/>
      <c r="I104" s="39">
        <f t="shared" si="7"/>
        <v>0</v>
      </c>
      <c r="J104" s="182"/>
      <c r="K104" s="36"/>
      <c r="L104" s="182"/>
      <c r="M104" s="185" t="str">
        <f>HYPERLINK("https://www.youtube.com/watch?v=W5SLLnni1KM&amp;feature=youtu.be","Video Solution - Eng Muntaser Abukadeja")</f>
        <v>Video Solution - Eng Muntaser Abukadeja</v>
      </c>
    </row>
    <row r="105">
      <c r="A105" s="113" t="s">
        <v>404</v>
      </c>
      <c r="B105" s="61" t="str">
        <f>HYPERLINK("http://codeforces.com/contest/225/problem/A","CF225-D2-A")</f>
        <v>CF225-D2-A</v>
      </c>
      <c r="C105" s="14"/>
      <c r="D105" s="49"/>
      <c r="E105" s="49"/>
      <c r="F105" s="49"/>
      <c r="G105" s="49"/>
      <c r="H105" s="39"/>
      <c r="I105" s="39">
        <f t="shared" si="7"/>
        <v>0</v>
      </c>
      <c r="J105" s="182"/>
      <c r="K105" s="36"/>
      <c r="L105" s="182"/>
      <c r="M105" s="185" t="str">
        <f>HYPERLINK("https://www.youtube.com/watch?v=AU4cdWZrKNA&amp;feature=youtu.be","Video Solution - Eng Muntaser Abukadeja")</f>
        <v>Video Solution - Eng Muntaser Abukadeja</v>
      </c>
    </row>
    <row r="106">
      <c r="A106" s="113" t="s">
        <v>406</v>
      </c>
      <c r="B106" s="61" t="str">
        <f>HYPERLINK("http://codeforces.com/contest/682/problem/A","CF682-D2-A")</f>
        <v>CF682-D2-A</v>
      </c>
      <c r="C106" s="14"/>
      <c r="D106" s="49"/>
      <c r="E106" s="49"/>
      <c r="F106" s="49"/>
      <c r="G106" s="49"/>
      <c r="H106" s="39"/>
      <c r="I106" s="39">
        <f t="shared" si="7"/>
        <v>0</v>
      </c>
      <c r="J106" s="182"/>
      <c r="K106" s="36"/>
      <c r="L106" s="182"/>
      <c r="M106" s="185" t="str">
        <f>HYPERLINK("https://www.youtube.com/watch?v=05ZIXw2G4Pw&amp;feature=youtu.be","Video Solution - Eng John Gamal")</f>
        <v>Video Solution - Eng John Gamal</v>
      </c>
    </row>
    <row r="107">
      <c r="A107" s="113"/>
      <c r="B107" s="67"/>
      <c r="C107" s="14"/>
      <c r="D107" s="49"/>
      <c r="E107" s="49"/>
      <c r="F107" s="49"/>
      <c r="G107" s="49"/>
      <c r="H107" s="39"/>
      <c r="I107" s="39">
        <f t="shared" si="7"/>
        <v>0</v>
      </c>
      <c r="J107" s="182"/>
      <c r="K107" s="36"/>
      <c r="L107" s="182"/>
      <c r="M107" s="59"/>
    </row>
    <row r="108">
      <c r="A108" s="113" t="s">
        <v>410</v>
      </c>
      <c r="B108" s="61" t="str">
        <f>HYPERLINK("http://codeforces.com/contest/218/problem/A","CF218-D2-A")</f>
        <v>CF218-D2-A</v>
      </c>
      <c r="C108" s="14"/>
      <c r="D108" s="49"/>
      <c r="E108" s="49"/>
      <c r="F108" s="49"/>
      <c r="G108" s="49"/>
      <c r="H108" s="39"/>
      <c r="I108" s="39">
        <f t="shared" si="7"/>
        <v>0</v>
      </c>
      <c r="J108" s="182"/>
      <c r="K108" s="36"/>
      <c r="L108" s="182"/>
      <c r="M108" s="185" t="str">
        <f>HYPERLINK("https://www.youtube.com/watch?v=qmGhxFPv5GI&amp;feature=youtu.be","Video Solution - Eng John Gamal")</f>
        <v>Video Solution - Eng John Gamal</v>
      </c>
    </row>
    <row r="109">
      <c r="A109" s="113" t="s">
        <v>414</v>
      </c>
      <c r="B109" s="61" t="str">
        <f>HYPERLINK("http://codeforces.com/contest/143/problem/A","CF143-D2-A")</f>
        <v>CF143-D2-A</v>
      </c>
      <c r="C109" s="14"/>
      <c r="D109" s="49"/>
      <c r="E109" s="49"/>
      <c r="F109" s="49"/>
      <c r="G109" s="49"/>
      <c r="H109" s="39"/>
      <c r="I109" s="39">
        <f t="shared" si="7"/>
        <v>0</v>
      </c>
      <c r="J109" s="182"/>
      <c r="K109" s="36"/>
      <c r="L109" s="182"/>
      <c r="M109" s="185" t="str">
        <f>HYPERLINK("https://www.youtube.com/watch?v=cmMkGSMHTKE","Video Solution - Eng John Gamal")</f>
        <v>Video Solution - Eng John Gamal</v>
      </c>
    </row>
    <row r="110">
      <c r="A110" s="113" t="s">
        <v>416</v>
      </c>
      <c r="B110" s="61" t="str">
        <f>HYPERLINK("http://codeforces.com/contest/514/problem/A","CF514-D2-A")</f>
        <v>CF514-D2-A</v>
      </c>
      <c r="C110" s="14"/>
      <c r="D110" s="49"/>
      <c r="E110" s="49"/>
      <c r="F110" s="49"/>
      <c r="G110" s="49"/>
      <c r="H110" s="39"/>
      <c r="I110" s="39">
        <f t="shared" si="7"/>
        <v>0</v>
      </c>
      <c r="J110" s="182"/>
      <c r="K110" s="36"/>
      <c r="L110" s="182"/>
      <c r="M110" s="185" t="str">
        <f>HYPERLINK("https://www.youtube.com/watch?v=wU51frCexTY&amp;feature=youtu.be","Video Solution - Eng Muntaser Abukadeja")</f>
        <v>Video Solution - Eng Muntaser Abukadeja</v>
      </c>
    </row>
    <row r="111">
      <c r="A111" s="113" t="s">
        <v>419</v>
      </c>
      <c r="B111" s="61" t="str">
        <f>HYPERLINK("http://codeforces.com/contest/382/problem/A","CF382-D2-A")</f>
        <v>CF382-D2-A</v>
      </c>
      <c r="C111" s="14"/>
      <c r="D111" s="49"/>
      <c r="E111" s="49"/>
      <c r="F111" s="49"/>
      <c r="G111" s="49"/>
      <c r="H111" s="39"/>
      <c r="I111" s="39">
        <f t="shared" si="7"/>
        <v>0</v>
      </c>
      <c r="J111" s="182"/>
      <c r="K111" s="36"/>
      <c r="L111" s="182"/>
      <c r="M111" s="79" t="str">
        <f>HYPERLINK("https://www.youtube.com/watch?v=6xkV-GeRs2o&amp;feature=youtu.be","Video Solution - Eng Samed Hajajla")</f>
        <v>Video Solution - Eng Samed Hajajla</v>
      </c>
    </row>
    <row r="112">
      <c r="A112" s="113" t="s">
        <v>423</v>
      </c>
      <c r="B112" s="61" t="str">
        <f>HYPERLINK("http://codeforces.com/contest/699/problem/A","CF699-D2-A")</f>
        <v>CF699-D2-A</v>
      </c>
      <c r="C112" s="14"/>
      <c r="D112" s="49"/>
      <c r="E112" s="49"/>
      <c r="F112" s="49"/>
      <c r="G112" s="49"/>
      <c r="H112" s="39"/>
      <c r="I112" s="39">
        <f t="shared" si="7"/>
        <v>0</v>
      </c>
      <c r="J112" s="182"/>
      <c r="K112" s="36"/>
      <c r="L112" s="182"/>
      <c r="M112" s="185" t="str">
        <f>HYPERLINK("https://www.youtube.com/watch?v=2xSkHmA5z8s","Video Solution - Eng Samed Hajajla")</f>
        <v>Video Solution - Eng Samed Hajajla</v>
      </c>
    </row>
    <row r="113">
      <c r="A113" s="128" t="s">
        <v>428</v>
      </c>
      <c r="B113" s="192" t="str">
        <f>HYPERLINK("http://codeforces.com/contest/289/problem/A","CF289-D2-A")</f>
        <v>CF289-D2-A</v>
      </c>
      <c r="C113" s="14"/>
      <c r="D113" s="49"/>
      <c r="E113" s="49"/>
      <c r="F113" s="49"/>
      <c r="G113" s="49"/>
      <c r="H113" s="39"/>
      <c r="I113" s="39">
        <f t="shared" si="7"/>
        <v>0</v>
      </c>
      <c r="J113" s="16"/>
      <c r="K113" s="36"/>
      <c r="L113" s="16"/>
      <c r="M113" s="194" t="str">
        <f>HYPERLINK("https://www.youtube.com/watch?v=EjH3kDiEpS0","Video Solution - Eng Mostafa Saad")</f>
        <v>Video Solution - Eng Mostafa Saad</v>
      </c>
    </row>
    <row r="114">
      <c r="A114" s="128" t="s">
        <v>432</v>
      </c>
      <c r="B114" s="192" t="str">
        <f>HYPERLINK("http://codeforces.com/contest/287/problem/A","CF287-D2-A")</f>
        <v>CF287-D2-A</v>
      </c>
      <c r="C114" s="14"/>
      <c r="D114" s="49"/>
      <c r="E114" s="49"/>
      <c r="F114" s="49"/>
      <c r="G114" s="49"/>
      <c r="H114" s="39"/>
      <c r="I114" s="39">
        <f t="shared" si="7"/>
        <v>0</v>
      </c>
      <c r="J114" s="16"/>
      <c r="K114" s="36"/>
      <c r="L114" s="16"/>
      <c r="M114" s="194" t="str">
        <f>HYPERLINK("https://www.youtube.com/watch?v=n7uY7HC4XIM","Video Solution - Eng Mostafa Saad")</f>
        <v>Video Solution - Eng Mostafa Saad</v>
      </c>
    </row>
    <row r="115">
      <c r="A115" s="128" t="s">
        <v>437</v>
      </c>
      <c r="B115" s="192" t="str">
        <f>HYPERLINK("http://codeforces.com/contest/296/problem/A","CF296-D2-A")</f>
        <v>CF296-D2-A</v>
      </c>
      <c r="C115" s="14"/>
      <c r="D115" s="49"/>
      <c r="E115" s="49"/>
      <c r="F115" s="49"/>
      <c r="G115" s="49"/>
      <c r="H115" s="39"/>
      <c r="I115" s="39">
        <f t="shared" si="7"/>
        <v>0</v>
      </c>
      <c r="J115" s="16"/>
      <c r="K115" s="36"/>
      <c r="L115" s="16"/>
      <c r="M115" s="194" t="str">
        <f>HYPERLINK("https://www.youtube.com/watch?v=kdgWBRPqMfo","Video Solution - Eng Mostafa Saad")</f>
        <v>Video Solution - Eng Mostafa Saad</v>
      </c>
    </row>
    <row r="116">
      <c r="A116" s="113" t="s">
        <v>439</v>
      </c>
      <c r="B116" s="71" t="str">
        <f>HYPERLINK("http://codeforces.com/contest/456/problem/A","CF456-D2-A")</f>
        <v>CF456-D2-A</v>
      </c>
      <c r="C116" s="14"/>
      <c r="D116" s="49"/>
      <c r="E116" s="49"/>
      <c r="F116" s="49"/>
      <c r="G116" s="49"/>
      <c r="H116" s="39"/>
      <c r="I116" s="39">
        <f t="shared" si="7"/>
        <v>0</v>
      </c>
      <c r="J116" s="182"/>
      <c r="K116" s="36"/>
      <c r="L116" s="182"/>
      <c r="M116" s="85" t="str">
        <f>HYPERLINK("https://www.youtube.com/watch?v=_Ab4PUC2vMk","Video Solution - Solver to be (Java)")</f>
        <v>Video Solution - Solver to be (Java)</v>
      </c>
    </row>
    <row r="117">
      <c r="A117" s="128" t="s">
        <v>443</v>
      </c>
      <c r="B117" s="192" t="str">
        <f>HYPERLINK("http://codeforces.com/contest/298/problem/A","CF298-D2-A")</f>
        <v>CF298-D2-A</v>
      </c>
      <c r="C117" s="14"/>
      <c r="D117" s="49"/>
      <c r="E117" s="49"/>
      <c r="F117" s="49"/>
      <c r="G117" s="49"/>
      <c r="H117" s="39"/>
      <c r="I117" s="39">
        <f t="shared" si="7"/>
        <v>0</v>
      </c>
      <c r="J117" s="16"/>
      <c r="K117" s="36"/>
      <c r="L117" s="16"/>
      <c r="M117" s="194" t="str">
        <f>HYPERLINK("https://www.youtube.com/watch?v=oX_hPHnYgMA","Video Solution - Eng Mostafa Saad")</f>
        <v>Video Solution - Eng Mostafa Saad</v>
      </c>
    </row>
    <row r="118">
      <c r="A118" s="195" t="s">
        <v>446</v>
      </c>
      <c r="B118" s="196" t="str">
        <f>HYPERLINK("http://codeforces.com/contest/579/problem/A","CF579-D2-A")</f>
        <v>CF579-D2-A</v>
      </c>
      <c r="C118" s="14"/>
      <c r="D118" s="49"/>
      <c r="E118" s="49"/>
      <c r="F118" s="49"/>
      <c r="G118" s="49"/>
      <c r="H118" s="39"/>
      <c r="I118" s="39">
        <f t="shared" si="7"/>
        <v>0</v>
      </c>
      <c r="J118" s="16"/>
      <c r="K118" s="36"/>
      <c r="L118" s="16"/>
      <c r="M118" s="162" t="str">
        <f>HYPERLINK("https://www.youtube.com/watch?v=UWMDrh1shXg","Video Solution - Eng Ahmed Rafaat (Python)")</f>
        <v>Video Solution - Eng Ahmed Rafaat (Python)</v>
      </c>
    </row>
    <row r="119">
      <c r="A119" s="178"/>
      <c r="B119" s="179"/>
      <c r="C119" s="14"/>
      <c r="D119" s="49"/>
      <c r="E119" s="49"/>
      <c r="F119" s="49"/>
      <c r="G119" s="49"/>
      <c r="H119" s="39"/>
      <c r="I119" s="39"/>
      <c r="J119" s="182"/>
      <c r="K119" s="36"/>
      <c r="L119" s="182"/>
      <c r="M119" s="54"/>
    </row>
    <row r="120">
      <c r="A120" s="178"/>
      <c r="B120" s="179"/>
      <c r="C120" s="14"/>
      <c r="D120" s="49"/>
      <c r="E120" s="49"/>
      <c r="F120" s="49"/>
      <c r="G120" s="49"/>
      <c r="H120" s="39"/>
      <c r="I120" s="39">
        <f t="shared" ref="I120:I124" si="8">SUM(E120:H120)</f>
        <v>0</v>
      </c>
      <c r="J120" s="182"/>
      <c r="K120" s="36"/>
      <c r="L120" s="182"/>
      <c r="M120" s="54" t="str">
        <f>HYPERLINK("https://www.youtube.com/watch?v=2G7RzlxTNPo","Watch - Search Techniques - Binary Search")</f>
        <v>Watch - Search Techniques - Binary Search</v>
      </c>
    </row>
    <row r="121">
      <c r="A121" s="197" t="s">
        <v>452</v>
      </c>
      <c r="B121" s="147" t="str">
        <f>HYPERLINK("https://uva.onlinejudge.org/index.php?option=com_onlinejudge&amp;Itemid=8&amp;page=show_problem&amp;problem=1552","UVA 10611")</f>
        <v>UVA 10611</v>
      </c>
      <c r="C121" s="14"/>
      <c r="D121" s="49"/>
      <c r="E121" s="49"/>
      <c r="F121" s="49"/>
      <c r="G121" s="49"/>
      <c r="H121" s="39"/>
      <c r="I121" s="39">
        <f t="shared" si="8"/>
        <v>0</v>
      </c>
      <c r="J121" s="16"/>
      <c r="K121" s="36"/>
      <c r="L121" s="16"/>
      <c r="M121" s="148" t="str">
        <f>HYPERLINK("https://www.youtube.com/watch?v=OsfeunBJFzw","Video Solution - Eng Ayman Salah")</f>
        <v>Video Solution - Eng Ayman Salah</v>
      </c>
    </row>
    <row r="122">
      <c r="A122" s="149" t="s">
        <v>455</v>
      </c>
      <c r="B122" s="198" t="str">
        <f>HYPERLINK("http://codeforces.com/contest/287/problem/B","CF287-D2-B")</f>
        <v>CF287-D2-B</v>
      </c>
      <c r="C122" s="14"/>
      <c r="D122" s="49"/>
      <c r="E122" s="49"/>
      <c r="F122" s="49"/>
      <c r="G122" s="49"/>
      <c r="H122" s="39"/>
      <c r="I122" s="39">
        <f t="shared" si="8"/>
        <v>0</v>
      </c>
      <c r="J122" s="182"/>
      <c r="K122" s="36"/>
      <c r="L122" s="182"/>
      <c r="M122" s="185" t="str">
        <f>HYPERLINK("https://www.youtube.com/watch?v=mhrz7F01Vqs","Video Solution - Eng Mostafa Saad")</f>
        <v>Video Solution - Eng Mostafa Saad</v>
      </c>
    </row>
    <row r="123">
      <c r="A123" s="149" t="s">
        <v>458</v>
      </c>
      <c r="B123" s="181" t="str">
        <f>HYPERLINK("http://www.spoj.com/problems/AGGRCOW/","SPOJ AGGRCOW")</f>
        <v>SPOJ AGGRCOW</v>
      </c>
      <c r="C123" s="14"/>
      <c r="D123" s="49"/>
      <c r="E123" s="49"/>
      <c r="F123" s="49"/>
      <c r="G123" s="49"/>
      <c r="H123" s="39"/>
      <c r="I123" s="39">
        <f t="shared" si="8"/>
        <v>0</v>
      </c>
      <c r="J123" s="16"/>
      <c r="K123" s="36"/>
      <c r="L123" s="16"/>
      <c r="M123" s="75" t="str">
        <f>HYPERLINK("https://www.youtube.com/watch?v=2R9L6mVal9U","Video Solution - Eng Youssef El Ghareeb")</f>
        <v>Video Solution - Eng Youssef El Ghareeb</v>
      </c>
    </row>
    <row r="124">
      <c r="A124" s="121"/>
      <c r="B124" s="122"/>
      <c r="C124" s="14"/>
      <c r="D124" s="49"/>
      <c r="E124" s="49"/>
      <c r="F124" s="49"/>
      <c r="G124" s="49"/>
      <c r="H124" s="39"/>
      <c r="I124" s="39">
        <f t="shared" si="8"/>
        <v>0</v>
      </c>
      <c r="J124" s="49"/>
      <c r="K124" s="36"/>
      <c r="L124" s="49"/>
      <c r="M124" s="200" t="s">
        <v>461</v>
      </c>
    </row>
    <row r="125">
      <c r="A125" s="201"/>
      <c r="B125" s="202"/>
      <c r="C125" s="203"/>
      <c r="D125" s="204"/>
      <c r="E125" s="204"/>
      <c r="F125" s="204"/>
      <c r="G125" s="204"/>
      <c r="H125" s="205"/>
      <c r="I125" s="205">
        <f t="shared" ref="I125:I127" si="9">SUM(E125:G125)</f>
        <v>0</v>
      </c>
      <c r="J125" s="204"/>
      <c r="K125" s="204"/>
      <c r="L125" s="204"/>
      <c r="M125" s="201"/>
    </row>
    <row r="126">
      <c r="A126" s="121"/>
      <c r="B126" s="122"/>
      <c r="C126" s="14"/>
      <c r="D126" s="207" t="s">
        <v>468</v>
      </c>
      <c r="H126" s="39"/>
      <c r="I126" s="39">
        <f t="shared" si="9"/>
        <v>0</v>
      </c>
      <c r="J126" s="4" t="s">
        <v>472</v>
      </c>
    </row>
    <row r="127">
      <c r="A127" s="201"/>
      <c r="B127" s="202"/>
      <c r="C127" s="203"/>
      <c r="D127" s="204"/>
      <c r="E127" s="204"/>
      <c r="F127" s="204"/>
      <c r="G127" s="204"/>
      <c r="H127" s="205"/>
      <c r="I127" s="205">
        <f t="shared" si="9"/>
        <v>0</v>
      </c>
      <c r="J127" s="204"/>
      <c r="K127" s="204"/>
      <c r="L127" s="204"/>
      <c r="M127" s="201"/>
    </row>
    <row r="128">
      <c r="A128" s="59" t="s">
        <v>475</v>
      </c>
      <c r="B128" s="196" t="str">
        <f>HYPERLINK("http://codeforces.com/contest/950/problem/A","CF950-D2-A")</f>
        <v>CF950-D2-A</v>
      </c>
      <c r="C128" s="14"/>
      <c r="D128" s="49"/>
      <c r="E128" s="49"/>
      <c r="F128" s="49"/>
      <c r="G128" s="49"/>
      <c r="H128" s="39"/>
      <c r="I128" s="39">
        <f t="shared" ref="I128:I246" si="10">SUM(E128:H128)</f>
        <v>0</v>
      </c>
      <c r="J128" s="208"/>
      <c r="K128" s="36"/>
      <c r="L128" s="208"/>
      <c r="M128" s="185" t="str">
        <f>HYPERLINK("https://www.youtube.com/watch?v=YQ48TRf4-T8&amp;feature=youtu.be","Video Solution - Eng Hossam Yehia")</f>
        <v>Video Solution - Eng Hossam Yehia</v>
      </c>
    </row>
    <row r="129">
      <c r="A129" s="59" t="s">
        <v>480</v>
      </c>
      <c r="B129" s="209" t="str">
        <f>HYPERLINK("http://codeforces.com/contest/467/problem/A","CF467-D2-A")</f>
        <v>CF467-D2-A</v>
      </c>
      <c r="C129" s="14"/>
      <c r="D129" s="49"/>
      <c r="E129" s="49"/>
      <c r="F129" s="49"/>
      <c r="G129" s="49"/>
      <c r="H129" s="39"/>
      <c r="I129" s="39">
        <f t="shared" si="10"/>
        <v>0</v>
      </c>
      <c r="J129" s="208"/>
      <c r="K129" s="36"/>
      <c r="L129" s="208"/>
      <c r="M129" s="162" t="str">
        <f>HYPERLINK("https://www.youtube.com/watch?v=ueGooXZFeTE","Video Solution - Eng Ahmed Rafaat (Python)")</f>
        <v>Video Solution - Eng Ahmed Rafaat (Python)</v>
      </c>
    </row>
    <row r="130">
      <c r="A130" s="59" t="s">
        <v>483</v>
      </c>
      <c r="B130" s="209" t="str">
        <f>HYPERLINK("http://codeforces.com/contest/581/problem/A","CF581-D2-A")</f>
        <v>CF581-D2-A</v>
      </c>
      <c r="C130" s="14"/>
      <c r="D130" s="49"/>
      <c r="E130" s="49"/>
      <c r="F130" s="49"/>
      <c r="G130" s="49"/>
      <c r="H130" s="39"/>
      <c r="I130" s="39">
        <f t="shared" si="10"/>
        <v>0</v>
      </c>
      <c r="J130" s="208"/>
      <c r="K130" s="36"/>
      <c r="L130" s="208"/>
      <c r="M130" s="121"/>
    </row>
    <row r="131">
      <c r="A131" s="59" t="s">
        <v>485</v>
      </c>
      <c r="B131" s="209" t="str">
        <f>HYPERLINK("http://codeforces.com/contest/510/problem/A","CF510-D2-A")</f>
        <v>CF510-D2-A</v>
      </c>
      <c r="C131" s="14"/>
      <c r="D131" s="49"/>
      <c r="E131" s="49"/>
      <c r="F131" s="49"/>
      <c r="G131" s="49"/>
      <c r="H131" s="39"/>
      <c r="I131" s="39">
        <f t="shared" si="10"/>
        <v>0</v>
      </c>
      <c r="J131" s="208"/>
      <c r="K131" s="36"/>
      <c r="L131" s="208"/>
      <c r="M131" s="121"/>
    </row>
    <row r="132">
      <c r="A132" s="59" t="s">
        <v>486</v>
      </c>
      <c r="B132" s="209" t="str">
        <f>HYPERLINK("http://codeforces.com/contest/723/problem/A","CF723-D2-A")</f>
        <v>CF723-D2-A</v>
      </c>
      <c r="C132" s="14"/>
      <c r="D132" s="49"/>
      <c r="E132" s="49"/>
      <c r="F132" s="49"/>
      <c r="G132" s="49"/>
      <c r="H132" s="39"/>
      <c r="I132" s="39">
        <f t="shared" si="10"/>
        <v>0</v>
      </c>
      <c r="J132" s="208"/>
      <c r="K132" s="36"/>
      <c r="L132" s="208"/>
      <c r="M132" s="121"/>
    </row>
    <row r="133">
      <c r="A133" s="59" t="s">
        <v>489</v>
      </c>
      <c r="B133" s="209" t="str">
        <f>HYPERLINK("http://codeforces.com/contest/617/problem/A","CF617-D2-A")</f>
        <v>CF617-D2-A</v>
      </c>
      <c r="C133" s="14"/>
      <c r="D133" s="49"/>
      <c r="E133" s="49"/>
      <c r="F133" s="49"/>
      <c r="G133" s="49"/>
      <c r="H133" s="39"/>
      <c r="I133" s="39">
        <f t="shared" si="10"/>
        <v>0</v>
      </c>
      <c r="J133" s="208"/>
      <c r="K133" s="36"/>
      <c r="L133" s="208"/>
      <c r="M133" s="121"/>
    </row>
    <row r="134">
      <c r="A134" s="59" t="s">
        <v>492</v>
      </c>
      <c r="B134" s="209" t="str">
        <f>HYPERLINK("http://codeforces.com/contest/255/problem/A","CF255-D2-A")</f>
        <v>CF255-D2-A</v>
      </c>
      <c r="C134" s="14"/>
      <c r="D134" s="49"/>
      <c r="E134" s="49"/>
      <c r="F134" s="49"/>
      <c r="G134" s="49"/>
      <c r="H134" s="39"/>
      <c r="I134" s="39">
        <f t="shared" si="10"/>
        <v>0</v>
      </c>
      <c r="J134" s="208"/>
      <c r="K134" s="36"/>
      <c r="L134" s="208"/>
      <c r="M134" s="121"/>
    </row>
    <row r="135">
      <c r="A135" s="59" t="s">
        <v>494</v>
      </c>
      <c r="B135" s="209" t="str">
        <f>HYPERLINK("http://codeforces.com/contest/61/problem/A","CF61-D2-A")</f>
        <v>CF61-D2-A</v>
      </c>
      <c r="C135" s="14"/>
      <c r="D135" s="49"/>
      <c r="E135" s="49"/>
      <c r="F135" s="49"/>
      <c r="G135" s="49"/>
      <c r="H135" s="39"/>
      <c r="I135" s="39">
        <f t="shared" si="10"/>
        <v>0</v>
      </c>
      <c r="J135" s="208"/>
      <c r="K135" s="36"/>
      <c r="L135" s="208"/>
      <c r="M135" s="121"/>
    </row>
    <row r="136">
      <c r="A136" s="59" t="s">
        <v>497</v>
      </c>
      <c r="B136" s="209" t="str">
        <f>HYPERLINK("http://codeforces.com/contest/454/problem/A","CF454-D2-A")</f>
        <v>CF454-D2-A</v>
      </c>
      <c r="C136" s="14"/>
      <c r="D136" s="49"/>
      <c r="E136" s="49"/>
      <c r="F136" s="49"/>
      <c r="G136" s="49"/>
      <c r="H136" s="39"/>
      <c r="I136" s="39">
        <f t="shared" si="10"/>
        <v>0</v>
      </c>
      <c r="J136" s="208"/>
      <c r="K136" s="36"/>
      <c r="L136" s="208"/>
      <c r="M136" s="121"/>
    </row>
    <row r="137">
      <c r="A137" s="59" t="s">
        <v>498</v>
      </c>
      <c r="B137" s="209" t="str">
        <f>HYPERLINK("http://codeforces.com/contest/721/problem/A","CF721-D2-A")</f>
        <v>CF721-D2-A</v>
      </c>
      <c r="C137" s="14"/>
      <c r="D137" s="49"/>
      <c r="E137" s="49"/>
      <c r="F137" s="49"/>
      <c r="G137" s="49"/>
      <c r="H137" s="39"/>
      <c r="I137" s="39">
        <f t="shared" si="10"/>
        <v>0</v>
      </c>
      <c r="J137" s="208"/>
      <c r="K137" s="36"/>
      <c r="L137" s="208"/>
      <c r="M137" s="121"/>
    </row>
    <row r="138">
      <c r="A138" s="59" t="s">
        <v>500</v>
      </c>
      <c r="B138" s="209" t="str">
        <f>HYPERLINK("http://codeforces.com/contest/546/problem/A","CF546-D2-A")</f>
        <v>CF546-D2-A</v>
      </c>
      <c r="C138" s="14"/>
      <c r="D138" s="49"/>
      <c r="E138" s="49"/>
      <c r="F138" s="49"/>
      <c r="G138" s="49"/>
      <c r="H138" s="39"/>
      <c r="I138" s="39">
        <f t="shared" si="10"/>
        <v>0</v>
      </c>
      <c r="J138" s="208"/>
      <c r="K138" s="36"/>
      <c r="L138" s="208"/>
      <c r="M138" s="121"/>
    </row>
    <row r="139">
      <c r="A139" s="59"/>
      <c r="B139" s="179"/>
      <c r="C139" s="14"/>
      <c r="D139" s="49"/>
      <c r="E139" s="49"/>
      <c r="F139" s="49"/>
      <c r="G139" s="49"/>
      <c r="H139" s="39"/>
      <c r="I139" s="39">
        <f t="shared" si="10"/>
        <v>0</v>
      </c>
      <c r="J139" s="208"/>
      <c r="K139" s="36"/>
      <c r="L139" s="208"/>
      <c r="M139" s="121"/>
    </row>
    <row r="140">
      <c r="A140" s="59" t="s">
        <v>503</v>
      </c>
      <c r="B140" s="209" t="str">
        <f>HYPERLINK("http://codeforces.com/contest/711/problem/A","CF711-D2-A")</f>
        <v>CF711-D2-A</v>
      </c>
      <c r="C140" s="14"/>
      <c r="D140" s="49"/>
      <c r="E140" s="49"/>
      <c r="F140" s="49"/>
      <c r="G140" s="49"/>
      <c r="H140" s="39"/>
      <c r="I140" s="39">
        <f t="shared" si="10"/>
        <v>0</v>
      </c>
      <c r="J140" s="208"/>
      <c r="K140" s="36"/>
      <c r="L140" s="208"/>
      <c r="M140" s="121"/>
    </row>
    <row r="141">
      <c r="A141" s="174" t="s">
        <v>504</v>
      </c>
      <c r="B141" s="82" t="str">
        <f>HYPERLINK("http://codeforces.com/contest/129/problem/A","CF129-D2-A")</f>
        <v>CF129-D2-A</v>
      </c>
      <c r="C141" s="14"/>
      <c r="D141" s="49"/>
      <c r="E141" s="49"/>
      <c r="F141" s="49"/>
      <c r="G141" s="49"/>
      <c r="H141" s="39"/>
      <c r="I141" s="39">
        <f t="shared" si="10"/>
        <v>0</v>
      </c>
      <c r="J141" s="208"/>
      <c r="K141" s="36"/>
      <c r="L141" s="208"/>
      <c r="M141" s="121"/>
    </row>
    <row r="142">
      <c r="A142" s="113" t="s">
        <v>505</v>
      </c>
      <c r="B142" s="61" t="str">
        <f>HYPERLINK("http://codeforces.com/contest/22/problem/A","CF22-D2-A")</f>
        <v>CF22-D2-A</v>
      </c>
      <c r="C142" s="14"/>
      <c r="D142" s="49"/>
      <c r="E142" s="49"/>
      <c r="F142" s="49"/>
      <c r="G142" s="49"/>
      <c r="H142" s="39"/>
      <c r="I142" s="39">
        <f t="shared" si="10"/>
        <v>0</v>
      </c>
      <c r="J142" s="208"/>
      <c r="K142" s="36"/>
      <c r="L142" s="208"/>
      <c r="M142" s="121"/>
    </row>
    <row r="143">
      <c r="A143" s="113" t="s">
        <v>507</v>
      </c>
      <c r="B143" s="61" t="str">
        <f>HYPERLINK("http://codeforces.com/contest/110/problem/A","CF110-D2-A")</f>
        <v>CF110-D2-A</v>
      </c>
      <c r="C143" s="14"/>
      <c r="D143" s="49"/>
      <c r="E143" s="49"/>
      <c r="F143" s="49"/>
      <c r="G143" s="49"/>
      <c r="H143" s="39"/>
      <c r="I143" s="39">
        <f t="shared" si="10"/>
        <v>0</v>
      </c>
      <c r="J143" s="208"/>
      <c r="K143" s="36"/>
      <c r="L143" s="208"/>
      <c r="M143" s="121"/>
    </row>
    <row r="144">
      <c r="A144" s="59" t="s">
        <v>509</v>
      </c>
      <c r="B144" s="209" t="str">
        <f>HYPERLINK("http://codeforces.com/contest/378/problem/A","CF378-D2-A")</f>
        <v>CF378-D2-A</v>
      </c>
      <c r="C144" s="14"/>
      <c r="D144" s="49"/>
      <c r="E144" s="49"/>
      <c r="F144" s="49"/>
      <c r="G144" s="49"/>
      <c r="H144" s="39"/>
      <c r="I144" s="39">
        <f t="shared" si="10"/>
        <v>0</v>
      </c>
      <c r="J144" s="208"/>
      <c r="K144" s="36"/>
      <c r="L144" s="208"/>
      <c r="M144" s="121"/>
    </row>
    <row r="145">
      <c r="A145" s="113" t="s">
        <v>511</v>
      </c>
      <c r="B145" s="61" t="str">
        <f>HYPERLINK("http://codeforces.com/contest/681/problem/A","CF681-D2-A")</f>
        <v>CF681-D2-A</v>
      </c>
      <c r="C145" s="14"/>
      <c r="D145" s="49"/>
      <c r="E145" s="49"/>
      <c r="F145" s="49"/>
      <c r="G145" s="49"/>
      <c r="H145" s="39"/>
      <c r="I145" s="39">
        <f t="shared" si="10"/>
        <v>0</v>
      </c>
      <c r="J145" s="208"/>
      <c r="K145" s="36"/>
      <c r="L145" s="208"/>
      <c r="M145" s="121"/>
    </row>
    <row r="146">
      <c r="A146" s="59" t="s">
        <v>512</v>
      </c>
      <c r="B146" s="209" t="str">
        <f>HYPERLINK("http://codeforces.com/contest/271/problem/A","CF271-D2-A")</f>
        <v>CF271-D2-A</v>
      </c>
      <c r="C146" s="14"/>
      <c r="D146" s="49"/>
      <c r="E146" s="49"/>
      <c r="F146" s="49"/>
      <c r="G146" s="49"/>
      <c r="H146" s="39"/>
      <c r="I146" s="39">
        <f t="shared" si="10"/>
        <v>0</v>
      </c>
      <c r="J146" s="208"/>
      <c r="K146" s="36"/>
      <c r="L146" s="208"/>
      <c r="M146" s="121"/>
    </row>
    <row r="147">
      <c r="A147" s="59" t="s">
        <v>514</v>
      </c>
      <c r="B147" s="209" t="str">
        <f>HYPERLINK("http://codeforces.com/contest/629/problem/A","CF629-D2-A")</f>
        <v>CF629-D2-A</v>
      </c>
      <c r="C147" s="14"/>
      <c r="D147" s="49"/>
      <c r="E147" s="49"/>
      <c r="F147" s="49"/>
      <c r="G147" s="49"/>
      <c r="H147" s="39"/>
      <c r="I147" s="39">
        <f t="shared" si="10"/>
        <v>0</v>
      </c>
      <c r="J147" s="208"/>
      <c r="K147" s="36"/>
      <c r="L147" s="208"/>
      <c r="M147" s="121"/>
    </row>
    <row r="148">
      <c r="A148" s="59" t="s">
        <v>515</v>
      </c>
      <c r="B148" s="209" t="str">
        <f>HYPERLINK("http://codeforces.com/contest/415/problem/A","CF415-D2-A")</f>
        <v>CF415-D2-A</v>
      </c>
      <c r="C148" s="14"/>
      <c r="D148" s="49"/>
      <c r="E148" s="49"/>
      <c r="F148" s="49"/>
      <c r="G148" s="49"/>
      <c r="H148" s="39"/>
      <c r="I148" s="39">
        <f t="shared" si="10"/>
        <v>0</v>
      </c>
      <c r="J148" s="208"/>
      <c r="K148" s="36"/>
      <c r="L148" s="208"/>
      <c r="M148" s="121"/>
    </row>
    <row r="149">
      <c r="A149" s="59" t="s">
        <v>519</v>
      </c>
      <c r="B149" s="209" t="str">
        <f>HYPERLINK("http://codeforces.com/contest/47/problem/A","CF47-D2-A")</f>
        <v>CF47-D2-A</v>
      </c>
      <c r="C149" s="14"/>
      <c r="D149" s="49"/>
      <c r="E149" s="49"/>
      <c r="F149" s="49"/>
      <c r="G149" s="49"/>
      <c r="H149" s="39"/>
      <c r="I149" s="39">
        <f t="shared" si="10"/>
        <v>0</v>
      </c>
      <c r="J149" s="208"/>
      <c r="K149" s="36"/>
      <c r="L149" s="208"/>
      <c r="M149" s="111"/>
    </row>
    <row r="150">
      <c r="A150" s="59"/>
      <c r="B150" s="179"/>
      <c r="C150" s="14"/>
      <c r="D150" s="49"/>
      <c r="E150" s="49"/>
      <c r="F150" s="49"/>
      <c r="G150" s="49"/>
      <c r="H150" s="39"/>
      <c r="I150" s="39">
        <f t="shared" si="10"/>
        <v>0</v>
      </c>
      <c r="J150" s="208"/>
      <c r="K150" s="36"/>
      <c r="L150" s="208"/>
      <c r="M150" s="111"/>
    </row>
    <row r="151">
      <c r="A151" s="59" t="s">
        <v>521</v>
      </c>
      <c r="B151" s="209" t="str">
        <f>HYPERLINK("http://codeforces.com/contest/262/problem/A","CF262-D2-A")</f>
        <v>CF262-D2-A</v>
      </c>
      <c r="C151" s="14"/>
      <c r="D151" s="49"/>
      <c r="E151" s="49"/>
      <c r="F151" s="49"/>
      <c r="G151" s="49"/>
      <c r="H151" s="39"/>
      <c r="I151" s="39">
        <f t="shared" si="10"/>
        <v>0</v>
      </c>
      <c r="J151" s="208"/>
      <c r="K151" s="36"/>
      <c r="L151" s="208"/>
      <c r="M151" s="121"/>
    </row>
    <row r="152">
      <c r="A152" s="59" t="s">
        <v>523</v>
      </c>
      <c r="B152" s="209" t="str">
        <f>HYPERLINK("http://codeforces.com/contest/84/problem/A","CF84-D2-A")</f>
        <v>CF84-D2-A</v>
      </c>
      <c r="C152" s="14"/>
      <c r="D152" s="49"/>
      <c r="E152" s="49"/>
      <c r="F152" s="49"/>
      <c r="G152" s="49"/>
      <c r="H152" s="39"/>
      <c r="I152" s="39">
        <f t="shared" si="10"/>
        <v>0</v>
      </c>
      <c r="J152" s="208"/>
      <c r="K152" s="36"/>
      <c r="L152" s="208"/>
      <c r="M152" s="111"/>
    </row>
    <row r="153">
      <c r="A153" s="59" t="s">
        <v>524</v>
      </c>
      <c r="B153" s="209" t="str">
        <f>HYPERLINK("http://codeforces.com/contest/361/problem/A","CF361-D2-A")</f>
        <v>CF361-D2-A</v>
      </c>
      <c r="C153" s="14"/>
      <c r="D153" s="49"/>
      <c r="E153" s="49"/>
      <c r="F153" s="49"/>
      <c r="G153" s="49"/>
      <c r="H153" s="39"/>
      <c r="I153" s="39">
        <f t="shared" si="10"/>
        <v>0</v>
      </c>
      <c r="J153" s="208"/>
      <c r="K153" s="36"/>
      <c r="L153" s="208"/>
      <c r="M153" s="111"/>
    </row>
    <row r="154">
      <c r="A154" s="59" t="s">
        <v>526</v>
      </c>
      <c r="B154" s="209" t="str">
        <f>HYPERLINK("http://codeforces.com/contest/701/problem/A","CF701-D2-A")</f>
        <v>CF701-D2-A</v>
      </c>
      <c r="C154" s="14"/>
      <c r="D154" s="49"/>
      <c r="E154" s="49"/>
      <c r="F154" s="49"/>
      <c r="G154" s="49"/>
      <c r="H154" s="39"/>
      <c r="I154" s="39">
        <f t="shared" si="10"/>
        <v>0</v>
      </c>
      <c r="J154" s="208"/>
      <c r="K154" s="36"/>
      <c r="L154" s="208"/>
      <c r="M154" s="111"/>
    </row>
    <row r="155">
      <c r="A155" s="59" t="s">
        <v>529</v>
      </c>
      <c r="B155" s="209" t="str">
        <f>HYPERLINK("http://codeforces.com/contest/591/problem/A","CF591-D2-A")</f>
        <v>CF591-D2-A</v>
      </c>
      <c r="C155" s="14"/>
      <c r="D155" s="49"/>
      <c r="E155" s="49"/>
      <c r="F155" s="49"/>
      <c r="G155" s="49"/>
      <c r="H155" s="39"/>
      <c r="I155" s="39">
        <f t="shared" si="10"/>
        <v>0</v>
      </c>
      <c r="J155" s="208"/>
      <c r="K155" s="36"/>
      <c r="L155" s="208"/>
      <c r="M155" s="111"/>
    </row>
    <row r="156">
      <c r="A156" s="59" t="s">
        <v>530</v>
      </c>
      <c r="B156" s="209" t="str">
        <f>HYPERLINK("http://codeforces.com/contest/540/problem/A","CF540-D2-A")</f>
        <v>CF540-D2-A</v>
      </c>
      <c r="C156" s="14"/>
      <c r="D156" s="49"/>
      <c r="E156" s="49"/>
      <c r="F156" s="49"/>
      <c r="G156" s="49"/>
      <c r="H156" s="39"/>
      <c r="I156" s="39">
        <f t="shared" si="10"/>
        <v>0</v>
      </c>
      <c r="J156" s="208"/>
      <c r="K156" s="36"/>
      <c r="L156" s="208"/>
      <c r="M156" s="111"/>
    </row>
    <row r="157">
      <c r="A157" s="59" t="s">
        <v>532</v>
      </c>
      <c r="B157" s="209" t="str">
        <f>HYPERLINK("http://codeforces.com/contest/672/problem/A","CF672-D2-A")</f>
        <v>CF672-D2-A</v>
      </c>
      <c r="C157" s="14"/>
      <c r="D157" s="49"/>
      <c r="E157" s="49"/>
      <c r="F157" s="49"/>
      <c r="G157" s="49"/>
      <c r="H157" s="39"/>
      <c r="I157" s="39">
        <f t="shared" si="10"/>
        <v>0</v>
      </c>
      <c r="J157" s="208"/>
      <c r="K157" s="36"/>
      <c r="L157" s="208"/>
      <c r="M157" s="111"/>
    </row>
    <row r="158">
      <c r="A158" s="81" t="s">
        <v>533</v>
      </c>
      <c r="B158" s="82" t="str">
        <f>HYPERLINK("http://codeforces.com/contest/151/problem/A","CF151-D2-A")</f>
        <v>CF151-D2-A</v>
      </c>
      <c r="C158" s="14"/>
      <c r="D158" s="49"/>
      <c r="E158" s="49"/>
      <c r="F158" s="49"/>
      <c r="G158" s="49"/>
      <c r="H158" s="39"/>
      <c r="I158" s="39">
        <f t="shared" si="10"/>
        <v>0</v>
      </c>
      <c r="J158" s="208"/>
      <c r="K158" s="36"/>
      <c r="L158" s="208"/>
      <c r="M158" s="111"/>
    </row>
    <row r="159">
      <c r="A159" s="81" t="s">
        <v>535</v>
      </c>
      <c r="B159" s="82" t="str">
        <f>HYPERLINK("http://codeforces.com/contest/384/problem/A","CF384-D2-A")</f>
        <v>CF384-D2-A</v>
      </c>
      <c r="C159" s="14"/>
      <c r="D159" s="49"/>
      <c r="E159" s="49"/>
      <c r="F159" s="49"/>
      <c r="G159" s="49"/>
      <c r="H159" s="39"/>
      <c r="I159" s="39">
        <f t="shared" si="10"/>
        <v>0</v>
      </c>
      <c r="J159" s="208"/>
      <c r="K159" s="36"/>
      <c r="L159" s="208"/>
      <c r="M159" s="111"/>
    </row>
    <row r="160">
      <c r="A160" s="59" t="s">
        <v>536</v>
      </c>
      <c r="B160" s="209" t="str">
        <f>HYPERLINK("http://codeforces.com/contest/551/problem/A","CF551-D2-A")</f>
        <v>CF551-D2-A</v>
      </c>
      <c r="C160" s="14"/>
      <c r="D160" s="49"/>
      <c r="E160" s="49"/>
      <c r="F160" s="49"/>
      <c r="G160" s="49"/>
      <c r="H160" s="39"/>
      <c r="I160" s="39">
        <f t="shared" si="10"/>
        <v>0</v>
      </c>
      <c r="J160" s="208"/>
      <c r="K160" s="36"/>
      <c r="L160" s="208"/>
      <c r="M160" s="121"/>
    </row>
    <row r="161">
      <c r="A161" s="59"/>
      <c r="B161" s="179"/>
      <c r="C161" s="14"/>
      <c r="D161" s="49"/>
      <c r="E161" s="49"/>
      <c r="F161" s="49"/>
      <c r="G161" s="49"/>
      <c r="H161" s="39"/>
      <c r="I161" s="39">
        <f t="shared" si="10"/>
        <v>0</v>
      </c>
      <c r="J161" s="208"/>
      <c r="K161" s="36"/>
      <c r="L161" s="208"/>
      <c r="M161" s="121"/>
    </row>
    <row r="162">
      <c r="A162" s="81" t="s">
        <v>537</v>
      </c>
      <c r="B162" s="82" t="str">
        <f>HYPERLINK("http://codeforces.com/contest/278/problem/A","CF278-D2-A")</f>
        <v>CF278-D2-A</v>
      </c>
      <c r="C162" s="14"/>
      <c r="D162" s="49"/>
      <c r="E162" s="49"/>
      <c r="F162" s="49"/>
      <c r="G162" s="49"/>
      <c r="H162" s="39"/>
      <c r="I162" s="39">
        <f t="shared" si="10"/>
        <v>0</v>
      </c>
      <c r="J162" s="208"/>
      <c r="K162" s="36"/>
      <c r="L162" s="208"/>
      <c r="M162" s="121"/>
    </row>
    <row r="163">
      <c r="A163" s="59" t="s">
        <v>538</v>
      </c>
      <c r="B163" s="209" t="str">
        <f>HYPERLINK("http://codeforces.com/contest/599/problem/A","CF599-D2-A")</f>
        <v>CF599-D2-A</v>
      </c>
      <c r="C163" s="14"/>
      <c r="D163" s="49"/>
      <c r="E163" s="49"/>
      <c r="F163" s="49"/>
      <c r="G163" s="49"/>
      <c r="H163" s="39"/>
      <c r="I163" s="39">
        <f t="shared" si="10"/>
        <v>0</v>
      </c>
      <c r="J163" s="208"/>
      <c r="K163" s="36"/>
      <c r="L163" s="208"/>
      <c r="M163" s="121"/>
    </row>
    <row r="164">
      <c r="A164" s="59" t="s">
        <v>539</v>
      </c>
      <c r="B164" s="209" t="str">
        <f>HYPERLINK("http://codeforces.com/contest/432/problem/A","CF432-D2-A")</f>
        <v>CF432-D2-A</v>
      </c>
      <c r="C164" s="14"/>
      <c r="D164" s="49"/>
      <c r="E164" s="49"/>
      <c r="F164" s="49"/>
      <c r="G164" s="49"/>
      <c r="H164" s="39"/>
      <c r="I164" s="39">
        <f t="shared" si="10"/>
        <v>0</v>
      </c>
      <c r="J164" s="208"/>
      <c r="K164" s="36"/>
      <c r="L164" s="208"/>
      <c r="M164" s="121"/>
    </row>
    <row r="165">
      <c r="A165" s="59" t="s">
        <v>541</v>
      </c>
      <c r="B165" s="209" t="str">
        <f>HYPERLINK("http://codeforces.com/contest/492/problem/A","CF492-D2-A")</f>
        <v>CF492-D2-A</v>
      </c>
      <c r="C165" s="14"/>
      <c r="D165" s="49"/>
      <c r="E165" s="49"/>
      <c r="F165" s="49"/>
      <c r="G165" s="49"/>
      <c r="H165" s="39"/>
      <c r="I165" s="39">
        <f t="shared" si="10"/>
        <v>0</v>
      </c>
      <c r="J165" s="208"/>
      <c r="K165" s="36"/>
      <c r="L165" s="208"/>
      <c r="M165" s="121"/>
    </row>
    <row r="166">
      <c r="A166" s="81" t="s">
        <v>544</v>
      </c>
      <c r="B166" s="82" t="str">
        <f>HYPERLINK("http://codeforces.com/contest/148/problem/A","CF148-D2-A")</f>
        <v>CF148-D2-A</v>
      </c>
      <c r="C166" s="14"/>
      <c r="D166" s="49"/>
      <c r="E166" s="49"/>
      <c r="F166" s="49"/>
      <c r="G166" s="49"/>
      <c r="H166" s="39"/>
      <c r="I166" s="39">
        <f t="shared" si="10"/>
        <v>0</v>
      </c>
      <c r="J166" s="208"/>
      <c r="K166" s="36"/>
      <c r="L166" s="208"/>
      <c r="M166" s="121"/>
    </row>
    <row r="167">
      <c r="A167" s="59" t="s">
        <v>546</v>
      </c>
      <c r="B167" s="209" t="str">
        <f>HYPERLINK("http://codeforces.com/contest/330/problem/A","CF330-D2-A")</f>
        <v>CF330-D2-A</v>
      </c>
      <c r="C167" s="14"/>
      <c r="D167" s="49"/>
      <c r="E167" s="49"/>
      <c r="F167" s="49"/>
      <c r="G167" s="49"/>
      <c r="H167" s="39"/>
      <c r="I167" s="39">
        <f t="shared" si="10"/>
        <v>0</v>
      </c>
      <c r="J167" s="208"/>
      <c r="K167" s="36"/>
      <c r="L167" s="208"/>
      <c r="M167" s="121"/>
    </row>
    <row r="168">
      <c r="A168" s="81" t="s">
        <v>548</v>
      </c>
      <c r="B168" s="82" t="str">
        <f>HYPERLINK("http://codeforces.com/contest/16/problem/A","CF16-D2-A")</f>
        <v>CF16-D2-A</v>
      </c>
      <c r="C168" s="14"/>
      <c r="D168" s="49"/>
      <c r="E168" s="49"/>
      <c r="F168" s="49"/>
      <c r="G168" s="49"/>
      <c r="H168" s="39"/>
      <c r="I168" s="39">
        <f t="shared" si="10"/>
        <v>0</v>
      </c>
      <c r="J168" s="208"/>
      <c r="K168" s="36"/>
      <c r="L168" s="208"/>
      <c r="M168" s="16"/>
    </row>
    <row r="169">
      <c r="A169" s="59" t="s">
        <v>550</v>
      </c>
      <c r="B169" s="209" t="str">
        <f>HYPERLINK("http://codeforces.com/contest/248/problem/A","CF248-D2-A")</f>
        <v>CF248-D2-A</v>
      </c>
      <c r="C169" s="14"/>
      <c r="D169" s="49"/>
      <c r="E169" s="49"/>
      <c r="F169" s="49"/>
      <c r="G169" s="49"/>
      <c r="H169" s="39"/>
      <c r="I169" s="39">
        <f t="shared" si="10"/>
        <v>0</v>
      </c>
      <c r="J169" s="208"/>
      <c r="K169" s="36"/>
      <c r="L169" s="208"/>
      <c r="M169" s="16"/>
    </row>
    <row r="170">
      <c r="A170" s="59" t="s">
        <v>552</v>
      </c>
      <c r="B170" s="209" t="str">
        <f>HYPERLINK("http://codeforces.com/contest/363/problem/A","CF363-D2-A")</f>
        <v>CF363-D2-A</v>
      </c>
      <c r="C170" s="14"/>
      <c r="D170" s="49"/>
      <c r="E170" s="49"/>
      <c r="F170" s="49"/>
      <c r="G170" s="49"/>
      <c r="H170" s="39"/>
      <c r="I170" s="39">
        <f t="shared" si="10"/>
        <v>0</v>
      </c>
      <c r="J170" s="208"/>
      <c r="K170" s="36"/>
      <c r="L170" s="208"/>
      <c r="M170" s="16"/>
    </row>
    <row r="171">
      <c r="A171" s="59"/>
      <c r="B171" s="179"/>
      <c r="C171" s="14"/>
      <c r="D171" s="49"/>
      <c r="E171" s="49"/>
      <c r="F171" s="49"/>
      <c r="G171" s="49"/>
      <c r="H171" s="39"/>
      <c r="I171" s="39">
        <f t="shared" si="10"/>
        <v>0</v>
      </c>
      <c r="J171" s="208"/>
      <c r="K171" s="36"/>
      <c r="L171" s="208"/>
      <c r="M171" s="16"/>
    </row>
    <row r="172">
      <c r="A172" s="81" t="s">
        <v>555</v>
      </c>
      <c r="B172" s="82" t="str">
        <f>HYPERLINK("http://codeforces.com/contest/141/problem/A","CF141-D2-A")</f>
        <v>CF141-D2-A</v>
      </c>
      <c r="C172" s="14"/>
      <c r="D172" s="49"/>
      <c r="E172" s="49"/>
      <c r="F172" s="49"/>
      <c r="G172" s="49"/>
      <c r="H172" s="39"/>
      <c r="I172" s="39">
        <f t="shared" si="10"/>
        <v>0</v>
      </c>
      <c r="J172" s="208"/>
      <c r="K172" s="36"/>
      <c r="L172" s="208"/>
      <c r="M172" s="16"/>
    </row>
    <row r="173">
      <c r="A173" s="59" t="s">
        <v>558</v>
      </c>
      <c r="B173" s="209" t="str">
        <f>HYPERLINK("http://codeforces.com/contest/275/problem/A","CF275-D2-A")</f>
        <v>CF275-D2-A</v>
      </c>
      <c r="C173" s="14"/>
      <c r="D173" s="49"/>
      <c r="E173" s="49"/>
      <c r="F173" s="49"/>
      <c r="G173" s="49"/>
      <c r="H173" s="39"/>
      <c r="I173" s="39">
        <f t="shared" si="10"/>
        <v>0</v>
      </c>
      <c r="J173" s="208"/>
      <c r="K173" s="36"/>
      <c r="L173" s="208"/>
      <c r="M173" s="16"/>
    </row>
    <row r="174">
      <c r="A174" s="59" t="s">
        <v>560</v>
      </c>
      <c r="B174" s="209" t="str">
        <f>HYPERLINK("http://codeforces.com/contest/276/problem/A","CF276-D2-A")</f>
        <v>CF276-D2-A</v>
      </c>
      <c r="C174" s="14"/>
      <c r="D174" s="49"/>
      <c r="E174" s="49"/>
      <c r="F174" s="49"/>
      <c r="G174" s="49"/>
      <c r="H174" s="39"/>
      <c r="I174" s="39">
        <f t="shared" si="10"/>
        <v>0</v>
      </c>
      <c r="J174" s="208"/>
      <c r="K174" s="36"/>
      <c r="L174" s="208"/>
      <c r="M174" s="121"/>
    </row>
    <row r="175">
      <c r="A175" s="59" t="s">
        <v>563</v>
      </c>
      <c r="B175" s="209" t="str">
        <f>HYPERLINK("http://codeforces.com/contest/588/problem/A","CF588-D2-A")</f>
        <v>CF588-D2-A</v>
      </c>
      <c r="C175" s="14"/>
      <c r="D175" s="49"/>
      <c r="E175" s="49"/>
      <c r="F175" s="49"/>
      <c r="G175" s="49"/>
      <c r="H175" s="39"/>
      <c r="I175" s="39">
        <f t="shared" si="10"/>
        <v>0</v>
      </c>
      <c r="J175" s="208"/>
      <c r="K175" s="36"/>
      <c r="L175" s="208"/>
      <c r="M175" s="121"/>
    </row>
    <row r="176">
      <c r="A176" s="59" t="s">
        <v>565</v>
      </c>
      <c r="B176" s="209" t="str">
        <f>HYPERLINK("http://codeforces.com/contest/401/problem/A","CF401-D2-A")</f>
        <v>CF401-D2-A</v>
      </c>
      <c r="C176" s="14"/>
      <c r="D176" s="49"/>
      <c r="E176" s="49"/>
      <c r="F176" s="49"/>
      <c r="G176" s="49"/>
      <c r="H176" s="39"/>
      <c r="I176" s="39">
        <f t="shared" si="10"/>
        <v>0</v>
      </c>
      <c r="J176" s="208"/>
      <c r="K176" s="36"/>
      <c r="L176" s="208"/>
      <c r="M176" s="121"/>
    </row>
    <row r="177">
      <c r="A177" s="59" t="s">
        <v>567</v>
      </c>
      <c r="B177" s="209" t="str">
        <f>HYPERLINK("http://codeforces.com/contest/424/problem/A","CF424-D2-A")</f>
        <v>CF424-D2-A</v>
      </c>
      <c r="C177" s="14"/>
      <c r="D177" s="49"/>
      <c r="E177" s="49"/>
      <c r="F177" s="49"/>
      <c r="G177" s="49"/>
      <c r="H177" s="39"/>
      <c r="I177" s="39">
        <f t="shared" si="10"/>
        <v>0</v>
      </c>
      <c r="J177" s="208"/>
      <c r="K177" s="36"/>
      <c r="L177" s="208"/>
      <c r="M177" s="121"/>
    </row>
    <row r="178">
      <c r="A178" s="59" t="s">
        <v>570</v>
      </c>
      <c r="B178" s="209" t="str">
        <f>HYPERLINK("http://codeforces.com/contest/144/problem/A","CF144-D2-A")</f>
        <v>CF144-D2-A</v>
      </c>
      <c r="C178" s="14"/>
      <c r="D178" s="49"/>
      <c r="E178" s="49"/>
      <c r="F178" s="49"/>
      <c r="G178" s="49"/>
      <c r="H178" s="39"/>
      <c r="I178" s="39">
        <f t="shared" si="10"/>
        <v>0</v>
      </c>
      <c r="J178" s="208"/>
      <c r="K178" s="36"/>
      <c r="L178" s="208"/>
      <c r="M178" s="121"/>
    </row>
    <row r="179">
      <c r="A179" s="59" t="s">
        <v>572</v>
      </c>
      <c r="B179" s="209" t="str">
        <f>HYPERLINK("http://codeforces.com/contest/63/problem/A","CF63-D2-A")</f>
        <v>CF63-D2-A</v>
      </c>
      <c r="C179" s="14"/>
      <c r="D179" s="49"/>
      <c r="E179" s="49"/>
      <c r="F179" s="49"/>
      <c r="G179" s="49"/>
      <c r="H179" s="39"/>
      <c r="I179" s="39">
        <f t="shared" si="10"/>
        <v>0</v>
      </c>
      <c r="J179" s="208"/>
      <c r="K179" s="36"/>
      <c r="L179" s="208"/>
      <c r="M179" s="121"/>
    </row>
    <row r="180">
      <c r="A180" s="59" t="s">
        <v>573</v>
      </c>
      <c r="B180" s="209" t="str">
        <f>HYPERLINK("http://codeforces.com/contest/202/problem/A","CF202-D2-A")</f>
        <v>CF202-D2-A</v>
      </c>
      <c r="C180" s="14"/>
      <c r="D180" s="49"/>
      <c r="E180" s="49"/>
      <c r="F180" s="49"/>
      <c r="G180" s="49"/>
      <c r="H180" s="39"/>
      <c r="I180" s="39">
        <f t="shared" si="10"/>
        <v>0</v>
      </c>
      <c r="J180" s="208"/>
      <c r="K180" s="36"/>
      <c r="L180" s="208"/>
      <c r="M180" s="121"/>
    </row>
    <row r="181">
      <c r="A181" s="59" t="s">
        <v>576</v>
      </c>
      <c r="B181" s="209" t="str">
        <f>HYPERLINK("http://codeforces.com/contest/334/problem/A","CF334-D2-A")</f>
        <v>CF334-D2-A</v>
      </c>
      <c r="C181" s="14"/>
      <c r="D181" s="49"/>
      <c r="E181" s="49"/>
      <c r="F181" s="49"/>
      <c r="G181" s="49"/>
      <c r="H181" s="39"/>
      <c r="I181" s="39">
        <f t="shared" si="10"/>
        <v>0</v>
      </c>
      <c r="J181" s="208"/>
      <c r="K181" s="36"/>
      <c r="L181" s="208"/>
      <c r="M181" s="121"/>
    </row>
    <row r="182">
      <c r="A182" s="59"/>
      <c r="B182" s="179"/>
      <c r="C182" s="14"/>
      <c r="D182" s="49"/>
      <c r="E182" s="49"/>
      <c r="F182" s="49"/>
      <c r="G182" s="49"/>
      <c r="H182" s="39"/>
      <c r="I182" s="39">
        <f t="shared" si="10"/>
        <v>0</v>
      </c>
      <c r="J182" s="208"/>
      <c r="K182" s="36"/>
      <c r="L182" s="208"/>
      <c r="M182" s="121"/>
    </row>
    <row r="183">
      <c r="A183" s="105" t="s">
        <v>579</v>
      </c>
      <c r="B183" s="107" t="str">
        <f>HYPERLINK("http://codeforces.com/contest/451/problem/A","CF451-D2-A")</f>
        <v>CF451-D2-A</v>
      </c>
      <c r="C183" s="14"/>
      <c r="D183" s="49"/>
      <c r="E183" s="49"/>
      <c r="F183" s="49"/>
      <c r="G183" s="49"/>
      <c r="H183" s="39"/>
      <c r="I183" s="39">
        <f t="shared" si="10"/>
        <v>0</v>
      </c>
      <c r="J183" s="208"/>
      <c r="K183" s="36"/>
      <c r="L183" s="208"/>
      <c r="M183" s="121"/>
    </row>
    <row r="184">
      <c r="A184" s="105" t="s">
        <v>581</v>
      </c>
      <c r="B184" s="107" t="str">
        <f>HYPERLINK("http://codeforces.com/contest/460/problem/A","CF460-D2-A")</f>
        <v>CF460-D2-A</v>
      </c>
      <c r="C184" s="14"/>
      <c r="D184" s="49"/>
      <c r="E184" s="49"/>
      <c r="F184" s="49"/>
      <c r="G184" s="49"/>
      <c r="H184" s="39"/>
      <c r="I184" s="39">
        <f t="shared" si="10"/>
        <v>0</v>
      </c>
      <c r="J184" s="208"/>
      <c r="K184" s="36"/>
      <c r="L184" s="208"/>
      <c r="M184" s="121"/>
    </row>
    <row r="185">
      <c r="A185" s="59" t="s">
        <v>583</v>
      </c>
      <c r="B185" s="209" t="str">
        <f>HYPERLINK("http://codeforces.com/contest/272/problem/A","CF272-D2-A")</f>
        <v>CF272-D2-A</v>
      </c>
      <c r="C185" s="14"/>
      <c r="D185" s="49"/>
      <c r="E185" s="49"/>
      <c r="F185" s="49"/>
      <c r="G185" s="49"/>
      <c r="H185" s="39"/>
      <c r="I185" s="39">
        <f t="shared" si="10"/>
        <v>0</v>
      </c>
      <c r="J185" s="208"/>
      <c r="K185" s="36"/>
      <c r="L185" s="208"/>
      <c r="M185" s="121"/>
    </row>
    <row r="186">
      <c r="A186" s="59" t="s">
        <v>585</v>
      </c>
      <c r="B186" s="209" t="str">
        <f>HYPERLINK("http://codeforces.com/contest/676/problem/A","CF676-D2-A")</f>
        <v>CF676-D2-A</v>
      </c>
      <c r="C186" s="14"/>
      <c r="D186" s="49"/>
      <c r="E186" s="49"/>
      <c r="F186" s="49"/>
      <c r="G186" s="49"/>
      <c r="H186" s="39"/>
      <c r="I186" s="39">
        <f t="shared" si="10"/>
        <v>0</v>
      </c>
      <c r="J186" s="208"/>
      <c r="K186" s="36"/>
      <c r="L186" s="208"/>
      <c r="M186" s="121"/>
    </row>
    <row r="187">
      <c r="A187" s="105" t="s">
        <v>588</v>
      </c>
      <c r="B187" s="107" t="str">
        <f>HYPERLINK("http://codeforces.com/contest/545/problem/A","CF545-D2-A")</f>
        <v>CF545-D2-A</v>
      </c>
      <c r="C187" s="14"/>
      <c r="D187" s="49"/>
      <c r="E187" s="49"/>
      <c r="F187" s="49"/>
      <c r="G187" s="49"/>
      <c r="H187" s="39"/>
      <c r="I187" s="39">
        <f t="shared" si="10"/>
        <v>0</v>
      </c>
      <c r="J187" s="208"/>
      <c r="K187" s="36"/>
      <c r="L187" s="208"/>
      <c r="M187" s="121"/>
    </row>
    <row r="188">
      <c r="A188" s="59" t="s">
        <v>590</v>
      </c>
      <c r="B188" s="209" t="str">
        <f>HYPERLINK("http://codeforces.com/contest/447/problem/A","CF447-D2-A")</f>
        <v>CF447-D2-A</v>
      </c>
      <c r="C188" s="14"/>
      <c r="D188" s="49"/>
      <c r="E188" s="49"/>
      <c r="F188" s="49"/>
      <c r="G188" s="49"/>
      <c r="H188" s="39"/>
      <c r="I188" s="39">
        <f t="shared" si="10"/>
        <v>0</v>
      </c>
      <c r="J188" s="208"/>
      <c r="K188" s="36"/>
      <c r="L188" s="208"/>
      <c r="M188" s="121"/>
    </row>
    <row r="189">
      <c r="A189" s="105" t="s">
        <v>592</v>
      </c>
      <c r="B189" s="107" t="str">
        <f>HYPERLINK("http://codeforces.com/contest/133/problem/A","CF133-D2-A")</f>
        <v>CF133-D2-A</v>
      </c>
      <c r="C189" s="14"/>
      <c r="D189" s="49"/>
      <c r="E189" s="49"/>
      <c r="F189" s="49"/>
      <c r="G189" s="49"/>
      <c r="H189" s="39"/>
      <c r="I189" s="39">
        <f t="shared" si="10"/>
        <v>0</v>
      </c>
      <c r="J189" s="208"/>
      <c r="K189" s="36"/>
      <c r="L189" s="208"/>
      <c r="M189" s="121"/>
    </row>
    <row r="190">
      <c r="A190" s="105" t="s">
        <v>594</v>
      </c>
      <c r="B190" s="107" t="str">
        <f>HYPERLINK("http://codeforces.com/contest/670/problem/A","CF670-D2-A")</f>
        <v>CF670-D2-A</v>
      </c>
      <c r="C190" s="14"/>
      <c r="D190" s="49"/>
      <c r="E190" s="49"/>
      <c r="F190" s="49"/>
      <c r="G190" s="49"/>
      <c r="H190" s="39"/>
      <c r="I190" s="39">
        <f t="shared" si="10"/>
        <v>0</v>
      </c>
      <c r="J190" s="208"/>
      <c r="K190" s="36"/>
      <c r="L190" s="208"/>
      <c r="M190" s="121"/>
    </row>
    <row r="191">
      <c r="A191" s="59" t="s">
        <v>597</v>
      </c>
      <c r="B191" s="209" t="str">
        <f>HYPERLINK("http://codeforces.com/contest/244/problem/A","CF244-D2-A")</f>
        <v>CF244-D2-A</v>
      </c>
      <c r="C191" s="14"/>
      <c r="D191" s="49"/>
      <c r="E191" s="49"/>
      <c r="F191" s="49"/>
      <c r="G191" s="49"/>
      <c r="H191" s="39"/>
      <c r="I191" s="39">
        <f t="shared" si="10"/>
        <v>0</v>
      </c>
      <c r="J191" s="208"/>
      <c r="K191" s="36"/>
      <c r="L191" s="208"/>
      <c r="M191" s="121"/>
    </row>
    <row r="192">
      <c r="A192" s="105" t="s">
        <v>599</v>
      </c>
      <c r="B192" s="107" t="str">
        <f>HYPERLINK("http://codeforces.com/contest/78/problem/A","CF78-D2-A")</f>
        <v>CF78-D2-A</v>
      </c>
      <c r="C192" s="14"/>
      <c r="D192" s="49"/>
      <c r="E192" s="49"/>
      <c r="F192" s="49"/>
      <c r="G192" s="49"/>
      <c r="H192" s="39"/>
      <c r="I192" s="39">
        <f t="shared" si="10"/>
        <v>0</v>
      </c>
      <c r="J192" s="208"/>
      <c r="K192" s="36"/>
      <c r="L192" s="208"/>
      <c r="M192" s="121"/>
    </row>
    <row r="193">
      <c r="A193" s="105"/>
      <c r="B193" s="107"/>
      <c r="C193" s="14"/>
      <c r="D193" s="49"/>
      <c r="E193" s="49"/>
      <c r="F193" s="49"/>
      <c r="G193" s="49"/>
      <c r="H193" s="39"/>
      <c r="I193" s="39">
        <f t="shared" si="10"/>
        <v>0</v>
      </c>
      <c r="J193" s="208"/>
      <c r="K193" s="36"/>
      <c r="L193" s="208"/>
      <c r="M193" s="121"/>
    </row>
    <row r="194">
      <c r="A194" s="59" t="s">
        <v>603</v>
      </c>
      <c r="B194" s="209" t="str">
        <f>HYPERLINK("http://codeforces.com/contest/214/problem/A","CF214-D2-A")</f>
        <v>CF214-D2-A</v>
      </c>
      <c r="C194" s="14"/>
      <c r="D194" s="49"/>
      <c r="E194" s="49"/>
      <c r="F194" s="49"/>
      <c r="G194" s="49"/>
      <c r="H194" s="39"/>
      <c r="I194" s="39">
        <f t="shared" si="10"/>
        <v>0</v>
      </c>
      <c r="J194" s="208"/>
      <c r="K194" s="36"/>
      <c r="L194" s="208"/>
      <c r="M194" s="121"/>
    </row>
    <row r="195">
      <c r="A195" s="105" t="s">
        <v>605</v>
      </c>
      <c r="B195" s="107" t="str">
        <f>HYPERLINK("http://codeforces.com/contest/25/problem/A","CF25-D2-A")</f>
        <v>CF25-D2-A</v>
      </c>
      <c r="C195" s="14"/>
      <c r="D195" s="49"/>
      <c r="E195" s="49"/>
      <c r="F195" s="49"/>
      <c r="G195" s="49"/>
      <c r="H195" s="39"/>
      <c r="I195" s="39">
        <f t="shared" si="10"/>
        <v>0</v>
      </c>
      <c r="J195" s="208"/>
      <c r="K195" s="36"/>
      <c r="L195" s="208"/>
      <c r="M195" s="121"/>
    </row>
    <row r="196">
      <c r="A196" s="59" t="s">
        <v>607</v>
      </c>
      <c r="B196" s="209" t="str">
        <f>HYPERLINK("http://codeforces.com/contest/501/problem/A","CF501-D2-A")</f>
        <v>CF501-D2-A</v>
      </c>
      <c r="C196" s="14"/>
      <c r="D196" s="49"/>
      <c r="E196" s="49"/>
      <c r="F196" s="49"/>
      <c r="G196" s="49"/>
      <c r="H196" s="39"/>
      <c r="I196" s="39">
        <f t="shared" si="10"/>
        <v>0</v>
      </c>
      <c r="J196" s="208"/>
      <c r="K196" s="36"/>
      <c r="L196" s="208"/>
      <c r="M196" s="121"/>
    </row>
    <row r="197">
      <c r="A197" s="105" t="s">
        <v>609</v>
      </c>
      <c r="B197" s="107" t="str">
        <f>HYPERLINK("http://codeforces.com/contest/94/problem/A","CF94-D2-A")</f>
        <v>CF94-D2-A</v>
      </c>
      <c r="C197" s="14"/>
      <c r="D197" s="49"/>
      <c r="E197" s="49"/>
      <c r="F197" s="49"/>
      <c r="G197" s="49"/>
      <c r="H197" s="39"/>
      <c r="I197" s="39">
        <f t="shared" si="10"/>
        <v>0</v>
      </c>
      <c r="J197" s="208"/>
      <c r="K197" s="36"/>
      <c r="L197" s="208"/>
      <c r="M197" s="121"/>
    </row>
    <row r="198">
      <c r="A198" s="59" t="s">
        <v>611</v>
      </c>
      <c r="B198" s="209" t="str">
        <f>HYPERLINK("http://codeforces.com/contest/369/problem/A","CF369-D2-A")</f>
        <v>CF369-D2-A</v>
      </c>
      <c r="C198" s="14"/>
      <c r="D198" s="49"/>
      <c r="E198" s="49"/>
      <c r="F198" s="49"/>
      <c r="G198" s="49"/>
      <c r="H198" s="39"/>
      <c r="I198" s="39">
        <f t="shared" si="10"/>
        <v>0</v>
      </c>
      <c r="J198" s="208"/>
      <c r="K198" s="36"/>
      <c r="L198" s="208"/>
      <c r="M198" s="121"/>
    </row>
    <row r="199">
      <c r="A199" s="105" t="s">
        <v>613</v>
      </c>
      <c r="B199" s="107" t="str">
        <f>HYPERLINK("http://codeforces.com/contest/496/problem/A","CF496-D2-A")</f>
        <v>CF496-D2-A</v>
      </c>
      <c r="C199" s="14"/>
      <c r="D199" s="49"/>
      <c r="E199" s="49"/>
      <c r="F199" s="49"/>
      <c r="G199" s="49"/>
      <c r="H199" s="39"/>
      <c r="I199" s="39">
        <f t="shared" si="10"/>
        <v>0</v>
      </c>
      <c r="J199" s="208"/>
      <c r="K199" s="36"/>
      <c r="L199" s="208"/>
      <c r="M199" s="121"/>
    </row>
    <row r="200">
      <c r="A200" s="59" t="s">
        <v>615</v>
      </c>
      <c r="B200" s="209" t="str">
        <f>HYPERLINK("http://codeforces.com/contest/221/problem/A","CF221-D2-A")</f>
        <v>CF221-D2-A</v>
      </c>
      <c r="C200" s="14"/>
      <c r="D200" s="49"/>
      <c r="E200" s="49"/>
      <c r="F200" s="49"/>
      <c r="G200" s="49"/>
      <c r="H200" s="39"/>
      <c r="I200" s="39">
        <f t="shared" si="10"/>
        <v>0</v>
      </c>
      <c r="J200" s="208"/>
      <c r="K200" s="36"/>
      <c r="L200" s="208"/>
      <c r="M200" s="121"/>
    </row>
    <row r="201">
      <c r="A201" s="59" t="s">
        <v>617</v>
      </c>
      <c r="B201" s="209" t="str">
        <f>HYPERLINK("http://codeforces.com/contest/373/problem/A","CF373-D2-A")</f>
        <v>CF373-D2-A</v>
      </c>
      <c r="C201" s="14"/>
      <c r="D201" s="49"/>
      <c r="E201" s="49"/>
      <c r="F201" s="49"/>
      <c r="G201" s="49"/>
      <c r="H201" s="39"/>
      <c r="I201" s="39">
        <f t="shared" si="10"/>
        <v>0</v>
      </c>
      <c r="J201" s="208"/>
      <c r="K201" s="36"/>
      <c r="L201" s="208"/>
      <c r="M201" s="121"/>
    </row>
    <row r="202">
      <c r="A202" s="59" t="s">
        <v>619</v>
      </c>
      <c r="B202" s="209" t="str">
        <f>HYPERLINK("http://codeforces.com/contest/14/problem/A","CF14-D2-A")</f>
        <v>CF14-D2-A</v>
      </c>
      <c r="C202" s="14"/>
      <c r="D202" s="49"/>
      <c r="E202" s="49"/>
      <c r="F202" s="49"/>
      <c r="G202" s="49"/>
      <c r="H202" s="39"/>
      <c r="I202" s="39">
        <f t="shared" si="10"/>
        <v>0</v>
      </c>
      <c r="J202" s="208"/>
      <c r="K202" s="36"/>
      <c r="L202" s="208"/>
      <c r="M202" s="121"/>
    </row>
    <row r="203">
      <c r="A203" s="59" t="s">
        <v>623</v>
      </c>
      <c r="B203" s="209" t="str">
        <f>HYPERLINK("http://codeforces.com/contest/580/problem/A","CF580-D2-A")</f>
        <v>CF580-D2-A</v>
      </c>
      <c r="C203" s="14"/>
      <c r="D203" s="49"/>
      <c r="E203" s="49"/>
      <c r="F203" s="49"/>
      <c r="G203" s="49"/>
      <c r="H203" s="39"/>
      <c r="I203" s="39">
        <f t="shared" si="10"/>
        <v>0</v>
      </c>
      <c r="J203" s="208"/>
      <c r="K203" s="36"/>
      <c r="L203" s="208"/>
      <c r="M203" s="121"/>
    </row>
    <row r="204">
      <c r="A204" s="59"/>
      <c r="B204" s="179"/>
      <c r="C204" s="14"/>
      <c r="D204" s="49"/>
      <c r="E204" s="49"/>
      <c r="F204" s="49"/>
      <c r="G204" s="49"/>
      <c r="H204" s="39"/>
      <c r="I204" s="39">
        <f t="shared" si="10"/>
        <v>0</v>
      </c>
      <c r="J204" s="208"/>
      <c r="K204" s="36"/>
      <c r="L204" s="208"/>
      <c r="M204" s="121"/>
    </row>
    <row r="205">
      <c r="A205" s="59" t="s">
        <v>626</v>
      </c>
      <c r="B205" s="209" t="str">
        <f>HYPERLINK("http://codeforces.com/contest/313/problem/A","CF313-D2-A")</f>
        <v>CF313-D2-A</v>
      </c>
      <c r="C205" s="14"/>
      <c r="D205" s="49"/>
      <c r="E205" s="49"/>
      <c r="F205" s="49"/>
      <c r="G205" s="49"/>
      <c r="H205" s="39"/>
      <c r="I205" s="39">
        <f t="shared" si="10"/>
        <v>0</v>
      </c>
      <c r="J205" s="208"/>
      <c r="K205" s="36"/>
      <c r="L205" s="208"/>
      <c r="M205" s="121"/>
    </row>
    <row r="206">
      <c r="A206" s="59" t="s">
        <v>628</v>
      </c>
      <c r="B206" s="209" t="str">
        <f>HYPERLINK("http://codeforces.com/contest/604/problem/A","CF604-D2-A")</f>
        <v>CF604-D2-A</v>
      </c>
      <c r="C206" s="14"/>
      <c r="D206" s="49"/>
      <c r="E206" s="49"/>
      <c r="F206" s="49"/>
      <c r="G206" s="49"/>
      <c r="H206" s="39"/>
      <c r="I206" s="39">
        <f t="shared" si="10"/>
        <v>0</v>
      </c>
      <c r="J206" s="208"/>
      <c r="K206" s="36"/>
      <c r="L206" s="208"/>
      <c r="M206" s="121"/>
    </row>
    <row r="207">
      <c r="A207" s="59" t="s">
        <v>631</v>
      </c>
      <c r="B207" s="209" t="str">
        <f>HYPERLINK("http://codeforces.com/contest/34/problem/A","CF34-D2-A")</f>
        <v>CF34-D2-A</v>
      </c>
      <c r="C207" s="14"/>
      <c r="D207" s="49"/>
      <c r="E207" s="49"/>
      <c r="F207" s="49"/>
      <c r="G207" s="49"/>
      <c r="H207" s="39"/>
      <c r="I207" s="39">
        <f t="shared" si="10"/>
        <v>0</v>
      </c>
      <c r="J207" s="208"/>
      <c r="K207" s="36"/>
      <c r="L207" s="208"/>
      <c r="M207" s="121"/>
    </row>
    <row r="208">
      <c r="A208" s="59" t="s">
        <v>633</v>
      </c>
      <c r="B208" s="209" t="str">
        <f>HYPERLINK("http://codeforces.com/contest/146/problem/A","CF146-D2-A")</f>
        <v>CF146-D2-A</v>
      </c>
      <c r="C208" s="14"/>
      <c r="D208" s="49"/>
      <c r="E208" s="49"/>
      <c r="F208" s="49"/>
      <c r="G208" s="49"/>
      <c r="H208" s="39"/>
      <c r="I208" s="39">
        <f t="shared" si="10"/>
        <v>0</v>
      </c>
      <c r="J208" s="208"/>
      <c r="K208" s="36"/>
      <c r="L208" s="208"/>
      <c r="M208" s="121"/>
    </row>
    <row r="209">
      <c r="A209" s="59" t="s">
        <v>635</v>
      </c>
      <c r="B209" s="209" t="str">
        <f>HYPERLINK("http://codeforces.com/contest/58/problem/A","CF58-D2-A")</f>
        <v>CF58-D2-A</v>
      </c>
      <c r="C209" s="14"/>
      <c r="D209" s="49"/>
      <c r="E209" s="49"/>
      <c r="F209" s="49"/>
      <c r="G209" s="49"/>
      <c r="H209" s="39"/>
      <c r="I209" s="39">
        <f t="shared" si="10"/>
        <v>0</v>
      </c>
      <c r="J209" s="208"/>
      <c r="K209" s="36"/>
      <c r="L209" s="208"/>
      <c r="M209" s="121"/>
    </row>
    <row r="210">
      <c r="A210" s="59" t="s">
        <v>637</v>
      </c>
      <c r="B210" s="209" t="str">
        <f>HYPERLINK("http://codeforces.com/contest/387/problem/A","CF387-D2-A")</f>
        <v>CF387-D2-A</v>
      </c>
      <c r="C210" s="14"/>
      <c r="D210" s="49"/>
      <c r="E210" s="49"/>
      <c r="F210" s="49"/>
      <c r="G210" s="49"/>
      <c r="H210" s="39"/>
      <c r="I210" s="39">
        <f t="shared" si="10"/>
        <v>0</v>
      </c>
      <c r="J210" s="208"/>
      <c r="K210" s="36"/>
      <c r="L210" s="208"/>
      <c r="M210" s="121"/>
    </row>
    <row r="211">
      <c r="A211" s="59" t="s">
        <v>639</v>
      </c>
      <c r="B211" s="209" t="str">
        <f>HYPERLINK("http://codeforces.com/contest/735/problem/A","CF735-D2-A")</f>
        <v>CF735-D2-A</v>
      </c>
      <c r="C211" s="14"/>
      <c r="D211" s="49"/>
      <c r="E211" s="49"/>
      <c r="F211" s="49"/>
      <c r="G211" s="49"/>
      <c r="H211" s="39"/>
      <c r="I211" s="39">
        <f t="shared" si="10"/>
        <v>0</v>
      </c>
      <c r="J211" s="208"/>
      <c r="K211" s="36"/>
      <c r="L211" s="208"/>
      <c r="M211" s="121"/>
    </row>
    <row r="212">
      <c r="A212" s="105" t="s">
        <v>640</v>
      </c>
      <c r="B212" s="107" t="str">
        <f>HYPERLINK("http://codeforces.com/contest/124/problem/A","CF124-D2-A")</f>
        <v>CF124-D2-A</v>
      </c>
      <c r="C212" s="14"/>
      <c r="D212" s="49"/>
      <c r="E212" s="49"/>
      <c r="F212" s="49"/>
      <c r="G212" s="49"/>
      <c r="H212" s="39"/>
      <c r="I212" s="39">
        <f t="shared" si="10"/>
        <v>0</v>
      </c>
      <c r="J212" s="208"/>
      <c r="K212" s="36"/>
      <c r="L212" s="208"/>
      <c r="M212" s="121"/>
    </row>
    <row r="213">
      <c r="A213" s="59" t="s">
        <v>642</v>
      </c>
      <c r="B213" s="209" t="str">
        <f>HYPERLINK("http://codeforces.com/contest/359/problem/A","CF359-D2-A")</f>
        <v>CF359-D2-A</v>
      </c>
      <c r="C213" s="14"/>
      <c r="D213" s="49"/>
      <c r="E213" s="49"/>
      <c r="F213" s="49"/>
      <c r="G213" s="49"/>
      <c r="H213" s="39"/>
      <c r="I213" s="39">
        <f t="shared" si="10"/>
        <v>0</v>
      </c>
      <c r="J213" s="208"/>
      <c r="K213" s="36"/>
      <c r="L213" s="208"/>
      <c r="M213" s="121"/>
    </row>
    <row r="214">
      <c r="A214" s="59" t="s">
        <v>644</v>
      </c>
      <c r="B214" s="209" t="str">
        <f>HYPERLINK("http://codeforces.com/contest/535/problem/A","CF535-D2-A")</f>
        <v>CF535-D2-A</v>
      </c>
      <c r="C214" s="14"/>
      <c r="D214" s="49"/>
      <c r="E214" s="49"/>
      <c r="F214" s="49"/>
      <c r="G214" s="49"/>
      <c r="H214" s="39"/>
      <c r="I214" s="39">
        <f t="shared" si="10"/>
        <v>0</v>
      </c>
      <c r="J214" s="208"/>
      <c r="K214" s="36"/>
      <c r="L214" s="208"/>
      <c r="M214" s="121"/>
    </row>
    <row r="215">
      <c r="A215" s="59"/>
      <c r="B215" s="179"/>
      <c r="C215" s="14"/>
      <c r="D215" s="49"/>
      <c r="E215" s="49"/>
      <c r="F215" s="49"/>
      <c r="G215" s="49"/>
      <c r="H215" s="39"/>
      <c r="I215" s="39">
        <f t="shared" si="10"/>
        <v>0</v>
      </c>
      <c r="J215" s="208"/>
      <c r="K215" s="36"/>
      <c r="L215" s="208"/>
      <c r="M215" s="121"/>
    </row>
    <row r="216">
      <c r="A216" s="59" t="s">
        <v>646</v>
      </c>
      <c r="B216" s="209" t="str">
        <f>HYPERLINK("http://codeforces.com/contest/4/problem/A","CF4-D2-A")</f>
        <v>CF4-D2-A</v>
      </c>
      <c r="C216" s="14"/>
      <c r="D216" s="49"/>
      <c r="E216" s="49"/>
      <c r="F216" s="49"/>
      <c r="G216" s="49"/>
      <c r="H216" s="39"/>
      <c r="I216" s="39">
        <f t="shared" si="10"/>
        <v>0</v>
      </c>
      <c r="J216" s="208"/>
      <c r="K216" s="36"/>
      <c r="L216" s="208"/>
      <c r="M216" s="121"/>
    </row>
    <row r="217">
      <c r="A217" s="59" t="s">
        <v>648</v>
      </c>
      <c r="B217" s="209" t="str">
        <f>HYPERLINK("http://codeforces.com/contest/195/problem/A","CF195-D2-A")</f>
        <v>CF195-D2-A</v>
      </c>
      <c r="C217" s="14"/>
      <c r="D217" s="49"/>
      <c r="E217" s="49"/>
      <c r="F217" s="49"/>
      <c r="G217" s="49"/>
      <c r="H217" s="39"/>
      <c r="I217" s="39">
        <f t="shared" si="10"/>
        <v>0</v>
      </c>
      <c r="J217" s="208"/>
      <c r="K217" s="36"/>
      <c r="L217" s="208"/>
      <c r="M217" s="121"/>
    </row>
    <row r="218">
      <c r="A218" s="59" t="s">
        <v>650</v>
      </c>
      <c r="B218" s="209" t="str">
        <f>HYPERLINK("http://codeforces.com/contest/478/problem/A","CF478-D2-A")</f>
        <v>CF478-D2-A</v>
      </c>
      <c r="C218" s="14"/>
      <c r="D218" s="49"/>
      <c r="E218" s="49"/>
      <c r="F218" s="49"/>
      <c r="G218" s="49"/>
      <c r="H218" s="39"/>
      <c r="I218" s="39">
        <f t="shared" si="10"/>
        <v>0</v>
      </c>
      <c r="J218" s="208"/>
      <c r="K218" s="36"/>
      <c r="L218" s="208"/>
      <c r="M218" s="121"/>
    </row>
    <row r="219">
      <c r="A219" s="59" t="s">
        <v>652</v>
      </c>
      <c r="B219" s="209" t="str">
        <f>HYPERLINK("http://codeforces.com/contest/608/problem/A","CF608-D2-A")</f>
        <v>CF608-D2-A</v>
      </c>
      <c r="C219" s="14"/>
      <c r="D219" s="49"/>
      <c r="E219" s="49"/>
      <c r="F219" s="49"/>
      <c r="G219" s="49"/>
      <c r="H219" s="39"/>
      <c r="I219" s="39">
        <f t="shared" si="10"/>
        <v>0</v>
      </c>
      <c r="J219" s="208"/>
      <c r="K219" s="36"/>
      <c r="L219" s="208"/>
      <c r="M219" s="121"/>
    </row>
    <row r="220">
      <c r="A220" s="59" t="s">
        <v>654</v>
      </c>
      <c r="B220" s="209" t="str">
        <f>HYPERLINK("http://codeforces.com/contest/435/problem/A","CF435-D2-A")</f>
        <v>CF435-D2-A</v>
      </c>
      <c r="C220" s="14"/>
      <c r="D220" s="49"/>
      <c r="E220" s="49"/>
      <c r="F220" s="49"/>
      <c r="G220" s="49"/>
      <c r="H220" s="39"/>
      <c r="I220" s="39">
        <f t="shared" si="10"/>
        <v>0</v>
      </c>
      <c r="J220" s="208"/>
      <c r="K220" s="36"/>
      <c r="L220" s="208"/>
      <c r="M220" s="121"/>
    </row>
    <row r="221">
      <c r="A221" s="59" t="s">
        <v>656</v>
      </c>
      <c r="B221" s="209" t="str">
        <f>HYPERLINK("http://codeforces.com/contest/215/problem/A","CF215-D2-A")</f>
        <v>CF215-D2-A</v>
      </c>
      <c r="C221" s="14"/>
      <c r="D221" s="49"/>
      <c r="E221" s="49"/>
      <c r="F221" s="49"/>
      <c r="G221" s="49"/>
      <c r="H221" s="39"/>
      <c r="I221" s="39">
        <f t="shared" si="10"/>
        <v>0</v>
      </c>
      <c r="J221" s="208"/>
      <c r="K221" s="36"/>
      <c r="L221" s="208"/>
      <c r="M221" s="121"/>
    </row>
    <row r="222">
      <c r="A222" s="59" t="s">
        <v>658</v>
      </c>
      <c r="B222" s="209" t="str">
        <f>HYPERLINK("http://codeforces.com/contest/205/problem/A","CF205-D2-A")</f>
        <v>CF205-D2-A</v>
      </c>
      <c r="C222" s="14"/>
      <c r="D222" s="49"/>
      <c r="E222" s="49"/>
      <c r="F222" s="49"/>
      <c r="G222" s="49"/>
      <c r="H222" s="39"/>
      <c r="I222" s="39">
        <f t="shared" si="10"/>
        <v>0</v>
      </c>
      <c r="J222" s="208"/>
      <c r="K222" s="36"/>
      <c r="L222" s="208"/>
      <c r="M222" s="121"/>
    </row>
    <row r="223">
      <c r="A223" s="59" t="s">
        <v>659</v>
      </c>
      <c r="B223" s="209" t="str">
        <f>HYPERLINK("http://codeforces.com/contest/507/problem/A","CF507-D2-A")</f>
        <v>CF507-D2-A</v>
      </c>
      <c r="C223" s="14"/>
      <c r="D223" s="49"/>
      <c r="E223" s="49"/>
      <c r="F223" s="49"/>
      <c r="G223" s="49"/>
      <c r="H223" s="39"/>
      <c r="I223" s="39">
        <f t="shared" si="10"/>
        <v>0</v>
      </c>
      <c r="J223" s="208"/>
      <c r="K223" s="36"/>
      <c r="L223" s="208"/>
      <c r="M223" s="121"/>
    </row>
    <row r="224">
      <c r="A224" s="59" t="s">
        <v>661</v>
      </c>
      <c r="B224" s="209" t="str">
        <f>HYPERLINK("http://codeforces.com/contest/152/problem/A","CF152-D2-A")</f>
        <v>CF152-D2-A</v>
      </c>
      <c r="C224" s="14"/>
      <c r="D224" s="49"/>
      <c r="E224" s="49"/>
      <c r="F224" s="49"/>
      <c r="G224" s="49"/>
      <c r="H224" s="39"/>
      <c r="I224" s="39">
        <f t="shared" si="10"/>
        <v>0</v>
      </c>
      <c r="J224" s="208"/>
      <c r="K224" s="36"/>
      <c r="L224" s="208"/>
      <c r="M224" s="121"/>
    </row>
    <row r="225">
      <c r="A225" s="59" t="s">
        <v>663</v>
      </c>
      <c r="B225" s="209" t="str">
        <f>HYPERLINK("http://codeforces.com/contest/137/problem/A","CF137-D2-A")</f>
        <v>CF137-D2-A</v>
      </c>
      <c r="C225" s="14"/>
      <c r="D225" s="49"/>
      <c r="E225" s="49"/>
      <c r="F225" s="49"/>
      <c r="G225" s="49"/>
      <c r="H225" s="39"/>
      <c r="I225" s="39">
        <f t="shared" si="10"/>
        <v>0</v>
      </c>
      <c r="J225" s="208"/>
      <c r="K225" s="36"/>
      <c r="L225" s="208"/>
      <c r="M225" s="121"/>
    </row>
    <row r="226">
      <c r="A226" s="59"/>
      <c r="B226" s="179"/>
      <c r="C226" s="14"/>
      <c r="D226" s="49"/>
      <c r="E226" s="49"/>
      <c r="F226" s="49"/>
      <c r="G226" s="49"/>
      <c r="H226" s="39"/>
      <c r="I226" s="39">
        <f t="shared" si="10"/>
        <v>0</v>
      </c>
      <c r="J226" s="208"/>
      <c r="K226" s="36"/>
      <c r="L226" s="208"/>
      <c r="M226" s="121"/>
    </row>
    <row r="227">
      <c r="A227" s="59" t="s">
        <v>666</v>
      </c>
      <c r="B227" s="209" t="str">
        <f>HYPERLINK("http://codeforces.com/contest/149/problem/A","CF149-D2-A")</f>
        <v>CF149-D2-A</v>
      </c>
      <c r="C227" s="14"/>
      <c r="D227" s="49"/>
      <c r="E227" s="49"/>
      <c r="F227" s="49"/>
      <c r="G227" s="49"/>
      <c r="H227" s="39"/>
      <c r="I227" s="39">
        <f t="shared" si="10"/>
        <v>0</v>
      </c>
      <c r="J227" s="208"/>
      <c r="K227" s="36"/>
      <c r="L227" s="208"/>
      <c r="M227" s="121"/>
    </row>
    <row r="228">
      <c r="A228" s="105" t="s">
        <v>668</v>
      </c>
      <c r="B228" s="107" t="str">
        <f>HYPERLINK("http://codeforces.com/contest/515/problem/A","CF515-D2-A")</f>
        <v>CF515-D2-A</v>
      </c>
      <c r="C228" s="14"/>
      <c r="D228" s="49"/>
      <c r="E228" s="49"/>
      <c r="F228" s="49"/>
      <c r="G228" s="49"/>
      <c r="H228" s="39"/>
      <c r="I228" s="39">
        <f t="shared" si="10"/>
        <v>0</v>
      </c>
      <c r="J228" s="208"/>
      <c r="K228" s="36"/>
      <c r="L228" s="208"/>
      <c r="M228" s="121"/>
    </row>
    <row r="229">
      <c r="A229" s="105" t="s">
        <v>670</v>
      </c>
      <c r="B229" s="107" t="str">
        <f>HYPERLINK("http://codeforces.com/contest/577/problem/A","CF577-D2-A")</f>
        <v>CF577-D2-A</v>
      </c>
      <c r="C229" s="14"/>
      <c r="D229" s="49"/>
      <c r="E229" s="49"/>
      <c r="F229" s="49"/>
      <c r="G229" s="49"/>
      <c r="H229" s="39"/>
      <c r="I229" s="39">
        <f t="shared" si="10"/>
        <v>0</v>
      </c>
      <c r="J229" s="208"/>
      <c r="K229" s="36"/>
      <c r="L229" s="208"/>
      <c r="M229" s="121"/>
    </row>
    <row r="230">
      <c r="A230" s="59" t="s">
        <v>672</v>
      </c>
      <c r="B230" s="209" t="str">
        <f>HYPERLINK("http://codeforces.com/contest/534/problem/A","CF534-D2-A")</f>
        <v>CF534-D2-A</v>
      </c>
      <c r="C230" s="14"/>
      <c r="D230" s="49"/>
      <c r="E230" s="49"/>
      <c r="F230" s="49"/>
      <c r="G230" s="49"/>
      <c r="H230" s="39"/>
      <c r="I230" s="39">
        <f t="shared" si="10"/>
        <v>0</v>
      </c>
      <c r="J230" s="208"/>
      <c r="K230" s="36"/>
      <c r="L230" s="208"/>
      <c r="M230" s="121"/>
    </row>
    <row r="231">
      <c r="A231" s="59" t="s">
        <v>674</v>
      </c>
      <c r="B231" s="209" t="str">
        <f>HYPERLINK("http://codeforces.com/contest/586/problem/A","CF586-D2-A")</f>
        <v>CF586-D2-A</v>
      </c>
      <c r="C231" s="14"/>
      <c r="D231" s="49"/>
      <c r="E231" s="49"/>
      <c r="F231" s="49"/>
      <c r="G231" s="49"/>
      <c r="H231" s="39"/>
      <c r="I231" s="39">
        <f t="shared" si="10"/>
        <v>0</v>
      </c>
      <c r="J231" s="208"/>
      <c r="K231" s="36"/>
      <c r="L231" s="208"/>
      <c r="M231" s="121"/>
    </row>
    <row r="232">
      <c r="A232" s="59" t="s">
        <v>676</v>
      </c>
      <c r="B232" s="209" t="str">
        <f>HYPERLINK("http://codeforces.com/contest/631/problem/A","CF631-D2-A")</f>
        <v>CF631-D2-A</v>
      </c>
      <c r="C232" s="14"/>
      <c r="D232" s="49"/>
      <c r="E232" s="49"/>
      <c r="F232" s="49"/>
      <c r="G232" s="49"/>
      <c r="H232" s="39"/>
      <c r="I232" s="39">
        <f t="shared" si="10"/>
        <v>0</v>
      </c>
      <c r="J232" s="208"/>
      <c r="K232" s="36"/>
      <c r="L232" s="208"/>
      <c r="M232" s="121"/>
    </row>
    <row r="233">
      <c r="A233" s="59" t="s">
        <v>677</v>
      </c>
      <c r="B233" s="209" t="str">
        <f>HYPERLINK("http://codeforces.com/contest/122/problem/A","CF122-D2-A")</f>
        <v>CF122-D2-A</v>
      </c>
      <c r="C233" s="14"/>
      <c r="D233" s="49"/>
      <c r="E233" s="49"/>
      <c r="F233" s="49"/>
      <c r="G233" s="49"/>
      <c r="H233" s="39"/>
      <c r="I233" s="39">
        <f t="shared" si="10"/>
        <v>0</v>
      </c>
      <c r="J233" s="208"/>
      <c r="K233" s="36"/>
      <c r="L233" s="208"/>
      <c r="M233" s="121"/>
    </row>
    <row r="234">
      <c r="A234" s="59" t="s">
        <v>679</v>
      </c>
      <c r="B234" s="209" t="str">
        <f>HYPERLINK("http://codeforces.com/contest/462/problem/A","CF462-D2-A")</f>
        <v>CF462-D2-A</v>
      </c>
      <c r="C234" s="14"/>
      <c r="D234" s="49"/>
      <c r="E234" s="49"/>
      <c r="F234" s="49"/>
      <c r="G234" s="49"/>
      <c r="H234" s="39"/>
      <c r="I234" s="39">
        <f t="shared" si="10"/>
        <v>0</v>
      </c>
      <c r="J234" s="208"/>
      <c r="K234" s="36"/>
      <c r="L234" s="208"/>
      <c r="M234" s="121"/>
    </row>
    <row r="235">
      <c r="A235" s="59" t="s">
        <v>681</v>
      </c>
      <c r="B235" s="209" t="str">
        <f>HYPERLINK("http://codeforces.com/contest/355/problem/A","CF355-D2-A")</f>
        <v>CF355-D2-A</v>
      </c>
      <c r="C235" s="14"/>
      <c r="D235" s="49"/>
      <c r="E235" s="49"/>
      <c r="F235" s="49"/>
      <c r="G235" s="49"/>
      <c r="H235" s="39"/>
      <c r="I235" s="39">
        <f t="shared" si="10"/>
        <v>0</v>
      </c>
      <c r="J235" s="208"/>
      <c r="K235" s="36"/>
      <c r="L235" s="208"/>
      <c r="M235" s="121"/>
    </row>
    <row r="236">
      <c r="A236" s="59" t="s">
        <v>682</v>
      </c>
      <c r="B236" s="209" t="str">
        <f>HYPERLINK("http://codeforces.com/contest/224/problem/A","CF224-D2-A")</f>
        <v>CF224-D2-A</v>
      </c>
      <c r="C236" s="14"/>
      <c r="D236" s="49"/>
      <c r="E236" s="49"/>
      <c r="F236" s="49"/>
      <c r="G236" s="49"/>
      <c r="H236" s="39"/>
      <c r="I236" s="39">
        <f t="shared" si="10"/>
        <v>0</v>
      </c>
      <c r="J236" s="208"/>
      <c r="K236" s="36"/>
      <c r="L236" s="208"/>
      <c r="M236" s="121"/>
    </row>
    <row r="237">
      <c r="A237" s="59"/>
      <c r="B237" s="179"/>
      <c r="C237" s="14"/>
      <c r="D237" s="49"/>
      <c r="E237" s="49"/>
      <c r="F237" s="49"/>
      <c r="G237" s="49"/>
      <c r="H237" s="39"/>
      <c r="I237" s="39">
        <f t="shared" si="10"/>
        <v>0</v>
      </c>
      <c r="J237" s="208"/>
      <c r="K237" s="36"/>
      <c r="L237" s="208"/>
      <c r="M237" s="121"/>
    </row>
    <row r="238">
      <c r="A238" s="59" t="s">
        <v>685</v>
      </c>
      <c r="B238" s="209" t="str">
        <f>HYPERLINK("http://codeforces.com/contest/357/problem/A","CF357-D2-A")</f>
        <v>CF357-D2-A</v>
      </c>
      <c r="C238" s="14"/>
      <c r="D238" s="49"/>
      <c r="E238" s="49"/>
      <c r="F238" s="49"/>
      <c r="G238" s="49"/>
      <c r="H238" s="39"/>
      <c r="I238" s="39">
        <f t="shared" si="10"/>
        <v>0</v>
      </c>
      <c r="J238" s="208"/>
      <c r="K238" s="36"/>
      <c r="L238" s="208"/>
      <c r="M238" s="121"/>
    </row>
    <row r="239">
      <c r="A239" s="59" t="s">
        <v>687</v>
      </c>
      <c r="B239" s="209" t="str">
        <f>HYPERLINK("http://codeforces.com/contest/651/problem/A","CF651-D2-A")</f>
        <v>CF651-D2-A</v>
      </c>
      <c r="C239" s="14"/>
      <c r="D239" s="49"/>
      <c r="E239" s="49"/>
      <c r="F239" s="49"/>
      <c r="G239" s="49"/>
      <c r="H239" s="39"/>
      <c r="I239" s="39">
        <f t="shared" si="10"/>
        <v>0</v>
      </c>
      <c r="J239" s="208"/>
      <c r="K239" s="36"/>
      <c r="L239" s="208"/>
      <c r="M239" s="121"/>
    </row>
    <row r="240">
      <c r="A240" s="59" t="s">
        <v>688</v>
      </c>
      <c r="B240" s="209" t="str">
        <f>HYPERLINK("http://codeforces.com/contest/300/problem/A","CF300-D2-A")</f>
        <v>CF300-D2-A</v>
      </c>
      <c r="C240" s="14"/>
      <c r="D240" s="49"/>
      <c r="E240" s="49"/>
      <c r="F240" s="49"/>
      <c r="G240" s="49"/>
      <c r="H240" s="39"/>
      <c r="I240" s="39">
        <f t="shared" si="10"/>
        <v>0</v>
      </c>
      <c r="J240" s="208"/>
      <c r="K240" s="36"/>
      <c r="L240" s="208"/>
      <c r="M240" s="121"/>
    </row>
    <row r="241">
      <c r="A241" s="105" t="s">
        <v>689</v>
      </c>
      <c r="B241" s="107" t="str">
        <f>HYPERLINK("http://codeforces.com/contest/659/problem/A","CF659-D2-A")</f>
        <v>CF659-D2-A</v>
      </c>
      <c r="C241" s="14"/>
      <c r="D241" s="49"/>
      <c r="E241" s="49"/>
      <c r="F241" s="49"/>
      <c r="G241" s="49"/>
      <c r="H241" s="39"/>
      <c r="I241" s="39">
        <f t="shared" si="10"/>
        <v>0</v>
      </c>
      <c r="J241" s="208"/>
      <c r="K241" s="36"/>
      <c r="L241" s="208"/>
      <c r="M241" s="121"/>
    </row>
    <row r="242">
      <c r="A242" s="59" t="s">
        <v>690</v>
      </c>
      <c r="B242" s="209" t="str">
        <f>HYPERLINK("http://codeforces.com/contest/558/problem/A","CF558-D2-A")</f>
        <v>CF558-D2-A</v>
      </c>
      <c r="C242" s="14"/>
      <c r="D242" s="49"/>
      <c r="E242" s="49"/>
      <c r="F242" s="49"/>
      <c r="G242" s="49"/>
      <c r="H242" s="39"/>
      <c r="I242" s="39">
        <f t="shared" si="10"/>
        <v>0</v>
      </c>
      <c r="J242" s="208"/>
      <c r="K242" s="36"/>
      <c r="L242" s="208"/>
      <c r="M242" s="121"/>
    </row>
    <row r="243">
      <c r="A243" s="59" t="s">
        <v>691</v>
      </c>
      <c r="B243" s="209" t="str">
        <f>HYPERLINK("http://codeforces.com/contest/53/problem/A","CF53-D2-A")</f>
        <v>CF53-D2-A</v>
      </c>
      <c r="C243" s="14"/>
      <c r="D243" s="49"/>
      <c r="E243" s="49"/>
      <c r="F243" s="49"/>
      <c r="G243" s="49"/>
      <c r="H243" s="39"/>
      <c r="I243" s="39">
        <f t="shared" si="10"/>
        <v>0</v>
      </c>
      <c r="J243" s="208"/>
      <c r="K243" s="36"/>
      <c r="L243" s="208"/>
      <c r="M243" s="121"/>
    </row>
    <row r="244">
      <c r="A244" s="59" t="s">
        <v>692</v>
      </c>
      <c r="B244" s="209" t="str">
        <f>HYPERLINK("http://codeforces.com/contest/495/problem/A","CF495-D2-A")</f>
        <v>CF495-D2-A</v>
      </c>
      <c r="C244" s="14"/>
      <c r="D244" s="49"/>
      <c r="E244" s="49"/>
      <c r="F244" s="49"/>
      <c r="G244" s="49"/>
      <c r="H244" s="39"/>
      <c r="I244" s="39">
        <f t="shared" si="10"/>
        <v>0</v>
      </c>
      <c r="J244" s="208"/>
      <c r="K244" s="36"/>
      <c r="L244" s="208"/>
      <c r="M244" s="121"/>
    </row>
    <row r="245">
      <c r="A245" s="59" t="s">
        <v>693</v>
      </c>
      <c r="B245" s="209" t="str">
        <f>HYPERLINK("http://codeforces.com/contest/525/problem/A","CF525-D2-A")</f>
        <v>CF525-D2-A</v>
      </c>
      <c r="C245" s="14"/>
      <c r="D245" s="49"/>
      <c r="E245" s="49"/>
      <c r="F245" s="49"/>
      <c r="G245" s="49"/>
      <c r="H245" s="39"/>
      <c r="I245" s="39">
        <f t="shared" si="10"/>
        <v>0</v>
      </c>
      <c r="J245" s="208"/>
      <c r="K245" s="36"/>
      <c r="L245" s="208"/>
      <c r="M245" s="121"/>
    </row>
    <row r="246">
      <c r="A246" s="59" t="s">
        <v>694</v>
      </c>
      <c r="B246" s="209" t="str">
        <f>HYPERLINK("http://codeforces.com/contest/75/problem/A","CF75-D2-A")</f>
        <v>CF75-D2-A</v>
      </c>
      <c r="C246" s="14"/>
      <c r="D246" s="49"/>
      <c r="E246" s="49"/>
      <c r="F246" s="49"/>
      <c r="G246" s="49"/>
      <c r="H246" s="39"/>
      <c r="I246" s="39">
        <f t="shared" si="10"/>
        <v>0</v>
      </c>
      <c r="J246" s="208"/>
      <c r="K246" s="36"/>
      <c r="L246" s="208"/>
      <c r="M246" s="121"/>
    </row>
  </sheetData>
  <mergeCells count="2">
    <mergeCell ref="D126:G126"/>
    <mergeCell ref="J126:M126"/>
  </mergeCells>
  <conditionalFormatting sqref="C3:C282">
    <cfRule type="cellIs" dxfId="1" priority="1" operator="equal">
      <formula>"AC"</formula>
    </cfRule>
  </conditionalFormatting>
  <conditionalFormatting sqref="C3:C282">
    <cfRule type="containsText" dxfId="2" priority="2" operator="containsText" text="WA">
      <formula>NOT(ISERROR(SEARCH(("WA"),(C3))))</formula>
    </cfRule>
  </conditionalFormatting>
  <conditionalFormatting sqref="C3:C282">
    <cfRule type="containsText" dxfId="2" priority="3" operator="containsText" text="WA">
      <formula>NOT(ISERROR(SEARCH(("WA"),(C3))))</formula>
    </cfRule>
  </conditionalFormatting>
  <conditionalFormatting sqref="C3:C282">
    <cfRule type="containsText" dxfId="3" priority="4" operator="containsText" text="TLE">
      <formula>NOT(ISERROR(SEARCH(("TLE"),(C3))))</formula>
    </cfRule>
  </conditionalFormatting>
  <conditionalFormatting sqref="C3:C282">
    <cfRule type="containsText" dxfId="3" priority="5" operator="containsText" text="TLE">
      <formula>NOT(ISERROR(SEARCH(("TLE"),(C3))))</formula>
    </cfRule>
  </conditionalFormatting>
  <conditionalFormatting sqref="C3:C282">
    <cfRule type="containsText" dxfId="4" priority="6" operator="containsText" text="RTE">
      <formula>NOT(ISERROR(SEARCH(("RTE"),(C3))))</formula>
    </cfRule>
  </conditionalFormatting>
  <conditionalFormatting sqref="C3:C282">
    <cfRule type="containsText" dxfId="4" priority="7" operator="containsText" text="RTE">
      <formula>NOT(ISERROR(SEARCH(("RTE"),(C3))))</formula>
    </cfRule>
  </conditionalFormatting>
  <conditionalFormatting sqref="C3:C282">
    <cfRule type="containsText" dxfId="5" priority="8" operator="containsText" text="CS">
      <formula>NOT(ISERROR(SEARCH(("CS"),(C3))))</formula>
    </cfRule>
  </conditionalFormatting>
  <conditionalFormatting sqref="C3:C282">
    <cfRule type="containsText" dxfId="5" priority="9" operator="containsText" text="CS">
      <formula>NOT(ISERROR(SEARCH(("CS"),(C3))))</formula>
    </cfRule>
  </conditionalFormatting>
  <conditionalFormatting sqref="K3:K124 K128:K246">
    <cfRule type="cellIs" dxfId="0" priority="10" operator="equal">
      <formula>"No"</formula>
    </cfRule>
  </conditionalFormatting>
  <conditionalFormatting sqref="K3:K124 K128:K246">
    <cfRule type="cellIs" dxfId="0" priority="11" operator="equal">
      <formula>"no"</formula>
    </cfRule>
  </conditionalFormatting>
  <conditionalFormatting sqref="K3:K124 K128:K246">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69" t="s">
        <v>0</v>
      </c>
      <c r="B1" s="72" t="s">
        <v>3</v>
      </c>
      <c r="C1" s="8" t="s">
        <v>9</v>
      </c>
      <c r="D1" s="9" t="s">
        <v>10</v>
      </c>
      <c r="E1" s="9" t="s">
        <v>11</v>
      </c>
      <c r="F1" s="8" t="s">
        <v>12</v>
      </c>
      <c r="G1" s="9" t="s">
        <v>13</v>
      </c>
      <c r="H1" s="9" t="s">
        <v>14</v>
      </c>
      <c r="I1" s="9" t="s">
        <v>15</v>
      </c>
      <c r="J1" s="8" t="s">
        <v>16</v>
      </c>
      <c r="K1" s="8" t="s">
        <v>17</v>
      </c>
      <c r="L1" s="8" t="s">
        <v>18</v>
      </c>
      <c r="M1" s="11" t="s">
        <v>19</v>
      </c>
    </row>
    <row r="2">
      <c r="A2" s="74"/>
      <c r="B2" s="77" t="s">
        <v>30</v>
      </c>
      <c r="C2" s="18">
        <f>countif(C5:C10513, "AC")</f>
        <v>0</v>
      </c>
      <c r="D2" s="21">
        <f>ROUND(SUMPRODUCT(D5:D10513,INT(EQ(C5:C10513, "AC")))/MAX(1, C2),1)</f>
        <v>0</v>
      </c>
      <c r="E2" s="21">
        <f>ROUND(SUMPRODUCT(E5:E10535,INT(EQ(C5:C10535, "AC")))/MAX(1, C2))</f>
        <v>0</v>
      </c>
      <c r="F2" s="21">
        <f>ROUND(SUMPRODUCT(F5:F10538,INT(EQ(C5:C10538, "AC")))/MAX(1, C2))</f>
        <v>0</v>
      </c>
      <c r="G2" s="21">
        <f>ROUND(SUMPRODUCT(G5:G10538,INT(EQ(C5:C10538, "AC")))/MAX(1, C2))</f>
        <v>0</v>
      </c>
      <c r="H2" s="21">
        <f>ROUND(SUMPRODUCT(H5:H10538,INT(EQ(C5:C10538, "AC")))/MAX(1, C2))</f>
        <v>0</v>
      </c>
      <c r="I2" s="21">
        <f>ROUND(SUMPRODUCT(I5:I10510,INT(EQ(C5:C10510, "AC")))/MAX(1, C2))</f>
        <v>0</v>
      </c>
      <c r="J2" s="21">
        <f>ROUND(SUMPRODUCT(J5:J10508,INT(EQ(C5:C10508, "AC")))/MAX(1, C2),1)</f>
        <v>0</v>
      </c>
      <c r="K2" s="21">
        <f>SUMPRODUCT(EQ(K5:K10513, "YES"),INT(EQ(C5:C10538, "AC")))</f>
        <v>0</v>
      </c>
      <c r="L2" s="30">
        <f>IFERROR(__xludf.DUMMYFUNCTION("COUNTA(FILTER(C5:C10005, NOT(REGEXMATCH(C5:C10005, ""AC""))))"),0.0)</f>
        <v>0</v>
      </c>
      <c r="M2" s="32">
        <f>IFERROR(__xludf.DUMMYFUNCTION("COUNTA(FILTER(C5:C9999, NOT(REGEXMATCH(C5:C9999, ""AC""))))"),0.0)</f>
        <v>0</v>
      </c>
    </row>
    <row r="3">
      <c r="A3" s="92"/>
      <c r="B3" s="94"/>
      <c r="C3" s="95"/>
      <c r="D3" s="95"/>
      <c r="E3" s="95"/>
      <c r="F3" s="95"/>
      <c r="G3" s="95"/>
      <c r="H3" s="97"/>
      <c r="I3" s="39"/>
      <c r="J3" s="49"/>
      <c r="K3" s="36"/>
      <c r="L3" s="95"/>
      <c r="M3" s="87" t="s">
        <v>161</v>
      </c>
    </row>
    <row r="4">
      <c r="A4" s="92"/>
      <c r="B4" s="94"/>
      <c r="C4" s="95"/>
      <c r="D4" s="95"/>
      <c r="E4" s="95"/>
      <c r="F4" s="95"/>
      <c r="G4" s="95"/>
      <c r="H4" s="97"/>
      <c r="I4" s="39"/>
      <c r="J4" s="49"/>
      <c r="K4" s="36"/>
      <c r="L4" s="95"/>
      <c r="M4" s="100" t="s">
        <v>162</v>
      </c>
    </row>
    <row r="5">
      <c r="A5" s="92" t="s">
        <v>163</v>
      </c>
      <c r="B5" s="102" t="str">
        <f>HYPERLINK("http://codeforces.com/contest/515/problem/C","CF515-D2-C")</f>
        <v>CF515-D2-C</v>
      </c>
      <c r="C5" s="95"/>
      <c r="D5" s="95"/>
      <c r="E5" s="95"/>
      <c r="F5" s="95"/>
      <c r="G5" s="95"/>
      <c r="H5" s="97"/>
      <c r="I5" s="39">
        <f t="shared" ref="I5:I178" si="1">SUM(E5:H5)</f>
        <v>0</v>
      </c>
      <c r="J5" s="49"/>
      <c r="K5" s="36"/>
      <c r="L5" s="95"/>
      <c r="M5" s="85" t="str">
        <f>HYPERLINK("https://www.youtube.com/watch?v=QEh0ugyYPUw","Video Solution - Eng Mostafa Saad")</f>
        <v>Video Solution - Eng Mostafa Saad</v>
      </c>
    </row>
    <row r="6">
      <c r="A6" s="106" t="s">
        <v>170</v>
      </c>
      <c r="B6" s="108" t="str">
        <f>HYPERLINK("http://codeforces.com/contest/812/problem/C","CF812-D2-C")</f>
        <v>CF812-D2-C</v>
      </c>
      <c r="C6" s="95"/>
      <c r="D6" s="95"/>
      <c r="E6" s="95"/>
      <c r="F6" s="95"/>
      <c r="G6" s="95"/>
      <c r="H6" s="97"/>
      <c r="I6" s="39">
        <f t="shared" si="1"/>
        <v>0</v>
      </c>
      <c r="J6" s="49"/>
      <c r="K6" s="36"/>
      <c r="L6" s="80"/>
      <c r="M6" s="85" t="str">
        <f>HYPERLINK("https://www.youtube.com/watch?v=SDEpB87Uxpg","Video Solution - Solver to be (Java)")</f>
        <v>Video Solution - Solver to be (Java)</v>
      </c>
    </row>
    <row r="7">
      <c r="A7" s="105" t="s">
        <v>174</v>
      </c>
      <c r="B7" s="110" t="str">
        <f>HYPERLINK("http://codeforces.com/contest/304/problem/C","CF304-D2-C")</f>
        <v>CF304-D2-C</v>
      </c>
      <c r="C7" s="95"/>
      <c r="D7" s="95"/>
      <c r="E7" s="95"/>
      <c r="F7" s="95"/>
      <c r="G7" s="95"/>
      <c r="H7" s="97"/>
      <c r="I7" s="39">
        <f t="shared" si="1"/>
        <v>0</v>
      </c>
      <c r="J7" s="111"/>
      <c r="K7" s="112"/>
      <c r="L7" s="80"/>
      <c r="M7" s="80"/>
    </row>
    <row r="8">
      <c r="A8" s="105" t="s">
        <v>176</v>
      </c>
      <c r="B8" s="110" t="str">
        <f>HYPERLINK("http://codeforces.com/contest/546/problem/C","CF546-D2-C")</f>
        <v>CF546-D2-C</v>
      </c>
      <c r="C8" s="95"/>
      <c r="D8" s="95"/>
      <c r="E8" s="95"/>
      <c r="F8" s="95"/>
      <c r="G8" s="95"/>
      <c r="H8" s="97"/>
      <c r="I8" s="39">
        <f t="shared" si="1"/>
        <v>0</v>
      </c>
      <c r="J8" s="111"/>
      <c r="K8" s="112"/>
      <c r="L8" s="80"/>
      <c r="M8" s="80"/>
    </row>
    <row r="9">
      <c r="A9" s="105" t="s">
        <v>178</v>
      </c>
      <c r="B9" s="110" t="str">
        <f>HYPERLINK("http://codeforces.com/contest/651/problem/C","CF651-D2-C")</f>
        <v>CF651-D2-C</v>
      </c>
      <c r="C9" s="95"/>
      <c r="D9" s="95"/>
      <c r="E9" s="95"/>
      <c r="F9" s="95"/>
      <c r="G9" s="95"/>
      <c r="H9" s="97"/>
      <c r="I9" s="39">
        <f t="shared" si="1"/>
        <v>0</v>
      </c>
      <c r="J9" s="111"/>
      <c r="K9" s="112"/>
      <c r="L9" s="80"/>
      <c r="M9" s="80"/>
    </row>
    <row r="10">
      <c r="A10" s="105"/>
      <c r="B10" s="110"/>
      <c r="C10" s="95"/>
      <c r="D10" s="95"/>
      <c r="E10" s="95"/>
      <c r="F10" s="95"/>
      <c r="G10" s="95"/>
      <c r="H10" s="97"/>
      <c r="I10" s="39">
        <f t="shared" si="1"/>
        <v>0</v>
      </c>
      <c r="J10" s="49"/>
      <c r="K10" s="36"/>
      <c r="L10" s="80"/>
      <c r="M10" s="114"/>
    </row>
    <row r="11">
      <c r="A11" s="51"/>
      <c r="B11" s="51"/>
      <c r="C11" s="95"/>
      <c r="D11" s="95"/>
      <c r="E11" s="95"/>
      <c r="F11" s="95"/>
      <c r="G11" s="95"/>
      <c r="H11" s="97"/>
      <c r="I11" s="39">
        <f t="shared" si="1"/>
        <v>0</v>
      </c>
      <c r="J11" s="49"/>
      <c r="K11" s="36"/>
      <c r="L11" s="95"/>
      <c r="M11" s="115" t="str">
        <f>HYPERLINK("https://www.youtube.com/watch?v=Tm_Vlkv4mOo","Watch - Thinking - Concretely - Symbolically - Pictorially ")</f>
        <v>Watch - Thinking - Concretely - Symbolically - Pictorially </v>
      </c>
    </row>
    <row r="12">
      <c r="A12" s="51"/>
      <c r="B12" s="51"/>
      <c r="C12" s="95"/>
      <c r="D12" s="95"/>
      <c r="E12" s="95"/>
      <c r="F12" s="95"/>
      <c r="G12" s="95"/>
      <c r="H12" s="97"/>
      <c r="I12" s="39">
        <f t="shared" si="1"/>
        <v>0</v>
      </c>
      <c r="J12" s="49"/>
      <c r="K12" s="36"/>
      <c r="L12" s="95"/>
      <c r="M12" s="116" t="str">
        <f>HYPERLINK("https://www.youtube.com/watch?v=6Fx8T_NBA7Q","Watch - Thinking - Problem Constraints ")</f>
        <v>Watch - Thinking - Problem Constraints </v>
      </c>
    </row>
    <row r="13">
      <c r="A13" s="51"/>
      <c r="B13" s="51"/>
      <c r="C13" s="95"/>
      <c r="D13" s="95"/>
      <c r="E13" s="95"/>
      <c r="F13" s="95"/>
      <c r="G13" s="95"/>
      <c r="H13" s="97"/>
      <c r="I13" s="39">
        <f t="shared" si="1"/>
        <v>0</v>
      </c>
      <c r="J13" s="49"/>
      <c r="K13" s="36"/>
      <c r="L13" s="95"/>
      <c r="M13" s="116" t="str">
        <f>HYPERLINK("https://www.youtube.com/watch?v=VZBfW08ECgA","Watch - Number Theory - Primes")</f>
        <v>Watch - Number Theory - Primes</v>
      </c>
    </row>
    <row r="14">
      <c r="A14" s="117" t="s">
        <v>182</v>
      </c>
      <c r="B14" s="118" t="str">
        <f>HYPERLINK("http://codeforces.com/contest/371/problem/B","CF371-D2-B")</f>
        <v>CF371-D2-B</v>
      </c>
      <c r="C14" s="95"/>
      <c r="D14" s="95"/>
      <c r="E14" s="95"/>
      <c r="F14" s="95"/>
      <c r="G14" s="95"/>
      <c r="H14" s="97"/>
      <c r="I14" s="39">
        <f t="shared" si="1"/>
        <v>0</v>
      </c>
      <c r="J14" s="49"/>
      <c r="K14" s="36"/>
      <c r="L14" s="80"/>
      <c r="M14" s="80"/>
    </row>
    <row r="15">
      <c r="A15" s="117" t="s">
        <v>185</v>
      </c>
      <c r="B15" s="118" t="str">
        <f>HYPERLINK("http://codeforces.com/contest/588/problem/B","CF588-D2-B")</f>
        <v>CF588-D2-B</v>
      </c>
      <c r="C15" s="95"/>
      <c r="D15" s="95"/>
      <c r="E15" s="95"/>
      <c r="F15" s="95"/>
      <c r="G15" s="95"/>
      <c r="H15" s="97"/>
      <c r="I15" s="39">
        <f t="shared" si="1"/>
        <v>0</v>
      </c>
      <c r="J15" s="49"/>
      <c r="K15" s="36"/>
      <c r="L15" s="80"/>
      <c r="M15" s="80"/>
    </row>
    <row r="16">
      <c r="A16" s="117" t="s">
        <v>186</v>
      </c>
      <c r="B16" s="118" t="str">
        <f>HYPERLINK("https://uva.onlinejudge.org/index.php?option=onlinejudge&amp;page=show_problem&amp;problem=1335","UVA 10394")</f>
        <v>UVA 10394</v>
      </c>
      <c r="C16" s="95"/>
      <c r="D16" s="95"/>
      <c r="E16" s="95"/>
      <c r="F16" s="95"/>
      <c r="G16" s="95"/>
      <c r="H16" s="97"/>
      <c r="I16" s="39">
        <f t="shared" si="1"/>
        <v>0</v>
      </c>
      <c r="J16" s="49"/>
      <c r="K16" s="36"/>
      <c r="L16" s="95"/>
      <c r="M16" s="119"/>
    </row>
    <row r="17">
      <c r="A17" s="117" t="s">
        <v>188</v>
      </c>
      <c r="B17" s="118" t="str">
        <f>HYPERLINK("https://uva.onlinejudge.org/index.php?option=onlinejudge&amp;page=show_problem&amp;problem=1109","UVA 10168")</f>
        <v>UVA 10168</v>
      </c>
      <c r="C17" s="95"/>
      <c r="D17" s="95"/>
      <c r="E17" s="95"/>
      <c r="F17" s="95"/>
      <c r="G17" s="95"/>
      <c r="H17" s="97"/>
      <c r="I17" s="39">
        <f t="shared" si="1"/>
        <v>0</v>
      </c>
      <c r="J17" s="49"/>
      <c r="K17" s="36"/>
      <c r="L17" s="95"/>
      <c r="M17" s="123" t="str">
        <f>HYPERLINK("https://www.youtube.com/watch?v=BztjeBZmzco&amp;feature=youtu.be","Video Solution - Eng Moaz Rashad")</f>
        <v>Video Solution - Eng Moaz Rashad</v>
      </c>
    </row>
    <row r="18">
      <c r="A18" s="124" t="s">
        <v>189</v>
      </c>
      <c r="B18" s="125" t="str">
        <f>HYPERLINK("https://uva.onlinejudge.org/index.php?option=onlinejudge&amp;page=show_problem&amp;problem=1266","UVA 10325")</f>
        <v>UVA 10325</v>
      </c>
      <c r="C18" s="95"/>
      <c r="D18" s="95"/>
      <c r="E18" s="95"/>
      <c r="F18" s="95"/>
      <c r="G18" s="95"/>
      <c r="H18" s="97"/>
      <c r="I18" s="39">
        <f t="shared" si="1"/>
        <v>0</v>
      </c>
      <c r="J18" s="49"/>
      <c r="K18" s="36"/>
      <c r="L18" s="95"/>
      <c r="M18" s="126" t="str">
        <f>HYPERLINK("https://github.com/ilyesG/Competitive-Programming/blob/master/UVA/UVA%2010325.cpp","Sol")</f>
        <v>Sol</v>
      </c>
    </row>
    <row r="19">
      <c r="A19" s="124" t="s">
        <v>192</v>
      </c>
      <c r="B19" s="125" t="str">
        <f>HYPERLINK("https://uva.onlinejudge.org/index.php?option=onlinejudge&amp;page=show_problem&amp;problem=1658","UVA 10717")</f>
        <v>UVA 10717</v>
      </c>
      <c r="C19" s="95"/>
      <c r="D19" s="95"/>
      <c r="E19" s="95"/>
      <c r="F19" s="95"/>
      <c r="G19" s="95"/>
      <c r="H19" s="97"/>
      <c r="I19" s="39">
        <f t="shared" si="1"/>
        <v>0</v>
      </c>
      <c r="J19" s="49"/>
      <c r="K19" s="36"/>
      <c r="L19" s="95"/>
      <c r="M19" s="126" t="str">
        <f>HYPERLINK("https://github.com/magdy-hasan/competitive-programming/blob/master/uva-/uva%2010717%20-%20Mint.cpp","Sol")</f>
        <v>Sol</v>
      </c>
    </row>
    <row r="20">
      <c r="A20" s="129" t="s">
        <v>195</v>
      </c>
      <c r="B20" s="132" t="str">
        <f>HYPERLINK("http://www.spoj.com/problems/BITMAP/","SPOJ BITMAP")</f>
        <v>SPOJ BITMAP</v>
      </c>
      <c r="C20" s="95"/>
      <c r="D20" s="95"/>
      <c r="E20" s="95"/>
      <c r="F20" s="95"/>
      <c r="G20" s="95"/>
      <c r="H20" s="97"/>
      <c r="I20" s="39">
        <f t="shared" si="1"/>
        <v>0</v>
      </c>
      <c r="J20" s="111"/>
      <c r="K20" s="112"/>
      <c r="L20" s="80"/>
      <c r="M20" s="51"/>
    </row>
    <row r="21">
      <c r="A21" s="129" t="s">
        <v>200</v>
      </c>
      <c r="B21" s="132" t="str">
        <f>HYPERLINK("http://www.spoj.com/problems/CERC07K/","SPOJ CERC07K")</f>
        <v>SPOJ CERC07K</v>
      </c>
      <c r="C21" s="95"/>
      <c r="D21" s="95"/>
      <c r="E21" s="95"/>
      <c r="F21" s="95"/>
      <c r="G21" s="95"/>
      <c r="H21" s="97"/>
      <c r="I21" s="39">
        <f t="shared" si="1"/>
        <v>0</v>
      </c>
      <c r="J21" s="111"/>
      <c r="K21" s="112"/>
      <c r="L21" s="80"/>
      <c r="M21" s="51"/>
    </row>
    <row r="22">
      <c r="A22" s="129"/>
      <c r="B22" s="124" t="s">
        <v>203</v>
      </c>
      <c r="C22" s="95"/>
      <c r="D22" s="95"/>
      <c r="E22" s="95"/>
      <c r="F22" s="95"/>
      <c r="G22" s="95"/>
      <c r="H22" s="97"/>
      <c r="I22" s="39">
        <f t="shared" si="1"/>
        <v>0</v>
      </c>
      <c r="J22" s="111"/>
      <c r="K22" s="112"/>
      <c r="L22" s="80"/>
      <c r="M22" s="126" t="str">
        <f>HYPERLINK("https://www.probabilitycourse.com/","Revise Probability")</f>
        <v>Revise Probability</v>
      </c>
    </row>
    <row r="23">
      <c r="A23" s="129"/>
      <c r="B23" s="124" t="s">
        <v>204</v>
      </c>
      <c r="C23" s="95"/>
      <c r="D23" s="95"/>
      <c r="E23" s="95"/>
      <c r="F23" s="95"/>
      <c r="G23" s="95"/>
      <c r="H23" s="97"/>
      <c r="I23" s="39">
        <f t="shared" si="1"/>
        <v>0</v>
      </c>
      <c r="J23" s="111"/>
      <c r="K23" s="112"/>
      <c r="L23" s="80"/>
      <c r="M23" s="51"/>
    </row>
    <row r="24">
      <c r="A24" s="129"/>
      <c r="B24" s="125" t="str">
        <f>HYPERLINK("https://www.codechef.com/problems/GCDMOD", "CODECHEF GCDMOD")</f>
        <v>CODECHEF GCDMOD</v>
      </c>
      <c r="C24" s="95"/>
      <c r="D24" s="95"/>
      <c r="E24" s="95"/>
      <c r="F24" s="95"/>
      <c r="G24" s="95"/>
      <c r="H24" s="97"/>
      <c r="I24" s="39">
        <f t="shared" si="1"/>
        <v>0</v>
      </c>
      <c r="J24" s="111"/>
      <c r="K24" s="112"/>
      <c r="L24" s="80"/>
      <c r="M24" s="102" t="str">
        <f>HYPERLINK("https://github.com/tmwilliamlin168/CompetitiveProgramming/blob/master/CodeChef/GCDMOD.cpp","Sol uses __int128 to avoid overflow")</f>
        <v>Sol uses __int128 to avoid overflow</v>
      </c>
    </row>
    <row r="25">
      <c r="A25" s="129"/>
      <c r="B25" s="136" t="s">
        <v>209</v>
      </c>
      <c r="C25" s="95"/>
      <c r="D25" s="95"/>
      <c r="E25" s="95"/>
      <c r="F25" s="95"/>
      <c r="G25" s="95"/>
      <c r="H25" s="97"/>
      <c r="I25" s="39">
        <f t="shared" si="1"/>
        <v>0</v>
      </c>
      <c r="J25" s="111"/>
      <c r="K25" s="112"/>
      <c r="L25" s="80"/>
      <c r="M25" s="126" t="str">
        <f>HYPERLINK("https://www.geeksforgeeks.org/total-number-spanning-trees-graph/","Theory result to read")</f>
        <v>Theory result to read</v>
      </c>
    </row>
    <row r="26">
      <c r="A26" s="137" t="s">
        <v>211</v>
      </c>
      <c r="B26" s="78" t="str">
        <f>HYPERLINK("http://codeforces.com/contest/437/problem/B","CF437-D2-B")</f>
        <v>CF437-D2-B</v>
      </c>
      <c r="C26" s="95"/>
      <c r="D26" s="95"/>
      <c r="E26" s="95"/>
      <c r="F26" s="95"/>
      <c r="G26" s="95"/>
      <c r="H26" s="97"/>
      <c r="I26" s="39">
        <f t="shared" si="1"/>
        <v>0</v>
      </c>
      <c r="J26" s="111"/>
      <c r="K26" s="112"/>
      <c r="L26" s="80"/>
      <c r="M26" s="80"/>
    </row>
    <row r="27">
      <c r="A27" s="137" t="s">
        <v>215</v>
      </c>
      <c r="B27" s="78" t="str">
        <f>HYPERLINK("http://codeforces.com/contest/518/problem/B","CF518-D2-B")</f>
        <v>CF518-D2-B</v>
      </c>
      <c r="C27" s="95"/>
      <c r="D27" s="95"/>
      <c r="E27" s="95"/>
      <c r="F27" s="95"/>
      <c r="G27" s="95"/>
      <c r="H27" s="97"/>
      <c r="I27" s="39">
        <f t="shared" si="1"/>
        <v>0</v>
      </c>
      <c r="J27" s="111"/>
      <c r="K27" s="112"/>
      <c r="L27" s="80"/>
      <c r="M27" s="80"/>
    </row>
    <row r="28">
      <c r="A28" s="137" t="s">
        <v>217</v>
      </c>
      <c r="B28" s="78" t="str">
        <f>HYPERLINK("http://codeforces.com/contest/548/problem/B","CF548-D2-B")</f>
        <v>CF548-D2-B</v>
      </c>
      <c r="C28" s="95"/>
      <c r="D28" s="95"/>
      <c r="E28" s="95"/>
      <c r="F28" s="95"/>
      <c r="G28" s="95"/>
      <c r="H28" s="97"/>
      <c r="I28" s="39">
        <f t="shared" si="1"/>
        <v>0</v>
      </c>
      <c r="J28" s="111"/>
      <c r="K28" s="112"/>
      <c r="L28" s="80"/>
      <c r="M28" s="80"/>
    </row>
    <row r="29">
      <c r="A29" s="51"/>
      <c r="B29" s="51"/>
      <c r="C29" s="95"/>
      <c r="D29" s="95"/>
      <c r="E29" s="95"/>
      <c r="F29" s="95"/>
      <c r="G29" s="95"/>
      <c r="H29" s="97"/>
      <c r="I29" s="39">
        <f t="shared" si="1"/>
        <v>0</v>
      </c>
      <c r="J29" s="49"/>
      <c r="K29" s="36"/>
      <c r="L29" s="95"/>
      <c r="M29" s="120"/>
    </row>
    <row r="30">
      <c r="A30" s="105" t="s">
        <v>221</v>
      </c>
      <c r="B30" s="110" t="str">
        <f>HYPERLINK("http://codeforces.com/contest/296/problem/C","CF296-D2-C")</f>
        <v>CF296-D2-C</v>
      </c>
      <c r="C30" s="80"/>
      <c r="D30" s="80"/>
      <c r="E30" s="80"/>
      <c r="F30" s="80"/>
      <c r="G30" s="80"/>
      <c r="H30" s="80"/>
      <c r="I30" s="140">
        <f t="shared" si="1"/>
        <v>0</v>
      </c>
      <c r="J30" s="111"/>
      <c r="K30" s="112"/>
      <c r="L30" s="80"/>
      <c r="M30" s="16"/>
    </row>
    <row r="31">
      <c r="A31" s="92" t="s">
        <v>222</v>
      </c>
      <c r="B31" s="126" t="str">
        <f>HYPERLINK("http://codeforces.com/contest/278/problem/C","CF278-D2-C")</f>
        <v>CF278-D2-C</v>
      </c>
      <c r="C31" s="95"/>
      <c r="D31" s="95"/>
      <c r="E31" s="95"/>
      <c r="F31" s="95"/>
      <c r="G31" s="95"/>
      <c r="H31" s="97"/>
      <c r="I31" s="39">
        <f t="shared" si="1"/>
        <v>0</v>
      </c>
      <c r="J31" s="49"/>
      <c r="K31" s="36"/>
      <c r="L31" s="95"/>
      <c r="M31" s="51"/>
    </row>
    <row r="32">
      <c r="A32" s="92" t="s">
        <v>225</v>
      </c>
      <c r="B32" s="126" t="str">
        <f>HYPERLINK("http://codeforces.com/contest/268/problem/C","CF268-D2-C")</f>
        <v>CF268-D2-C</v>
      </c>
      <c r="C32" s="95"/>
      <c r="D32" s="95"/>
      <c r="E32" s="95"/>
      <c r="F32" s="95"/>
      <c r="G32" s="95"/>
      <c r="H32" s="97"/>
      <c r="I32" s="39">
        <f t="shared" si="1"/>
        <v>0</v>
      </c>
      <c r="J32" s="49"/>
      <c r="K32" s="36"/>
      <c r="L32" s="95"/>
      <c r="M32" s="51"/>
    </row>
    <row r="33">
      <c r="A33" s="105" t="s">
        <v>227</v>
      </c>
      <c r="B33" s="110" t="str">
        <f>HYPERLINK("http://codeforces.com/contest/746/problem/C","CF746-D2-C")</f>
        <v>CF746-D2-C</v>
      </c>
      <c r="C33" s="95"/>
      <c r="D33" s="95"/>
      <c r="E33" s="95"/>
      <c r="F33" s="95"/>
      <c r="G33" s="95"/>
      <c r="H33" s="97"/>
      <c r="I33" s="39">
        <f t="shared" si="1"/>
        <v>0</v>
      </c>
      <c r="J33" s="49"/>
      <c r="K33" s="36"/>
      <c r="L33" s="80"/>
      <c r="M33" s="87"/>
    </row>
    <row r="34">
      <c r="A34" s="105" t="s">
        <v>228</v>
      </c>
      <c r="B34" s="110" t="str">
        <f>HYPERLINK("http://codeforces.com/contest/131/problem/C","CF131-D2-C")</f>
        <v>CF131-D2-C</v>
      </c>
      <c r="C34" s="95"/>
      <c r="D34" s="95"/>
      <c r="E34" s="95"/>
      <c r="F34" s="95"/>
      <c r="G34" s="95"/>
      <c r="H34" s="97"/>
      <c r="I34" s="39">
        <f t="shared" si="1"/>
        <v>0</v>
      </c>
      <c r="J34" s="111"/>
      <c r="K34" s="112"/>
      <c r="L34" s="80"/>
      <c r="M34" s="145" t="str">
        <f>HYPERLINK("https://www.youtube.com/watch?v=96OYl0On3hc","Video Solution - Eng Youssef Ali")</f>
        <v>Video Solution - Eng Youssef Ali</v>
      </c>
    </row>
    <row r="35">
      <c r="A35" s="105" t="s">
        <v>230</v>
      </c>
      <c r="B35" s="110" t="str">
        <f>HYPERLINK("http://codeforces.com/contest/88/problem/C","CF88-D2-C")</f>
        <v>CF88-D2-C</v>
      </c>
      <c r="C35" s="95"/>
      <c r="D35" s="95"/>
      <c r="E35" s="95"/>
      <c r="F35" s="95"/>
      <c r="G35" s="95"/>
      <c r="H35" s="97"/>
      <c r="I35" s="39">
        <f t="shared" si="1"/>
        <v>0</v>
      </c>
      <c r="J35" s="111"/>
      <c r="K35" s="112"/>
      <c r="L35" s="80"/>
      <c r="M35" s="114" t="str">
        <f>HYPERLINK("https://www.youtube.com/watch?v=YiM38hyILmc","Video Solution - Solver to be (Java)")</f>
        <v>Video Solution - Solver to be (Java)</v>
      </c>
    </row>
    <row r="36">
      <c r="A36" s="137" t="s">
        <v>231</v>
      </c>
      <c r="B36" s="78" t="str">
        <f>HYPERLINK("http://codeforces.com/contest/378/problem/B","CF378-D2-B")</f>
        <v>CF378-D2-B</v>
      </c>
      <c r="C36" s="95"/>
      <c r="D36" s="95"/>
      <c r="E36" s="95"/>
      <c r="F36" s="95"/>
      <c r="G36" s="95"/>
      <c r="H36" s="97"/>
      <c r="I36" s="39">
        <f t="shared" si="1"/>
        <v>0</v>
      </c>
      <c r="J36" s="111"/>
      <c r="K36" s="112"/>
      <c r="L36" s="80"/>
      <c r="M36" s="114"/>
    </row>
    <row r="37">
      <c r="A37" s="137" t="s">
        <v>232</v>
      </c>
      <c r="B37" s="78" t="str">
        <f>HYPERLINK("http://codeforces.com/contest/479/problem/B","CF479-D2-B")</f>
        <v>CF479-D2-B</v>
      </c>
      <c r="C37" s="95"/>
      <c r="D37" s="95"/>
      <c r="E37" s="95"/>
      <c r="F37" s="95"/>
      <c r="G37" s="95"/>
      <c r="H37" s="97"/>
      <c r="I37" s="39">
        <f t="shared" si="1"/>
        <v>0</v>
      </c>
      <c r="J37" s="111"/>
      <c r="K37" s="112"/>
      <c r="L37" s="80"/>
      <c r="M37" s="114"/>
    </row>
    <row r="38">
      <c r="A38" s="137" t="s">
        <v>234</v>
      </c>
      <c r="B38" s="78" t="str">
        <f>HYPERLINK("http://codeforces.com/contest/560/problem/B","CF560-D2-B")</f>
        <v>CF560-D2-B</v>
      </c>
      <c r="C38" s="95"/>
      <c r="D38" s="95"/>
      <c r="E38" s="95"/>
      <c r="F38" s="95"/>
      <c r="G38" s="95"/>
      <c r="H38" s="97"/>
      <c r="I38" s="39">
        <f t="shared" si="1"/>
        <v>0</v>
      </c>
      <c r="J38" s="111"/>
      <c r="K38" s="112"/>
      <c r="L38" s="80"/>
      <c r="M38" s="114"/>
    </row>
    <row r="39">
      <c r="A39" s="51"/>
      <c r="B39" s="51"/>
      <c r="C39" s="95"/>
      <c r="D39" s="95"/>
      <c r="E39" s="95"/>
      <c r="F39" s="95"/>
      <c r="G39" s="95"/>
      <c r="H39" s="97"/>
      <c r="I39" s="39">
        <f t="shared" si="1"/>
        <v>0</v>
      </c>
      <c r="J39" s="49"/>
      <c r="K39" s="36"/>
      <c r="L39" s="95"/>
      <c r="M39" s="116" t="str">
        <f>HYPERLINK("https://www.youtube.com/watch?v=jxvaNAthWRI","Watch - Algebra - Number Bases and Polynomials")</f>
        <v>Watch - Algebra - Number Bases and Polynomials</v>
      </c>
    </row>
    <row r="40">
      <c r="A40" s="149" t="s">
        <v>235</v>
      </c>
      <c r="B40" s="151" t="str">
        <f>HYPERLINK("https://uva.onlinejudge.org/index.php?option=onlinejudge&amp;page=show_problem&amp;problem=1410","UVA 10469")</f>
        <v>UVA 10469</v>
      </c>
      <c r="C40" s="95"/>
      <c r="D40" s="95"/>
      <c r="E40" s="95"/>
      <c r="F40" s="95"/>
      <c r="G40" s="95"/>
      <c r="H40" s="97"/>
      <c r="I40" s="39">
        <f t="shared" si="1"/>
        <v>0</v>
      </c>
      <c r="J40" s="49"/>
      <c r="K40" s="36"/>
      <c r="L40" s="49"/>
      <c r="M40" s="126" t="str">
        <f>HYPERLINK("https://github.com/Diusrex/UVA-Solutions/blob/master/10469%20To%20Carry%20or%20not%20to%20Carry.cpp","Sol")</f>
        <v>Sol</v>
      </c>
    </row>
    <row r="41">
      <c r="A41" s="117" t="s">
        <v>241</v>
      </c>
      <c r="B41" s="118" t="str">
        <f>HYPERLINK("https://uva.onlinejudge.org/index.php?option=onlinejudge&amp;page=show_problem&amp;problem=1753","UVA 10812")</f>
        <v>UVA 10812</v>
      </c>
      <c r="C41" s="95"/>
      <c r="D41" s="95"/>
      <c r="E41" s="95"/>
      <c r="F41" s="95"/>
      <c r="G41" s="95"/>
      <c r="H41" s="97"/>
      <c r="I41" s="39">
        <f t="shared" si="1"/>
        <v>0</v>
      </c>
      <c r="J41" s="49"/>
      <c r="K41" s="36"/>
      <c r="L41" s="95"/>
      <c r="M41" s="51"/>
    </row>
    <row r="42">
      <c r="A42" s="117" t="s">
        <v>242</v>
      </c>
      <c r="B42" s="118" t="str">
        <f>HYPERLINK("https://uva.onlinejudge.org/index.php?option=onlinejudge&amp;page=show_problem&amp;problem=1243","UVA 10302")</f>
        <v>UVA 10302</v>
      </c>
      <c r="C42" s="95"/>
      <c r="D42" s="95"/>
      <c r="E42" s="95"/>
      <c r="F42" s="95"/>
      <c r="G42" s="95"/>
      <c r="H42" s="97"/>
      <c r="I42" s="39">
        <f t="shared" si="1"/>
        <v>0</v>
      </c>
      <c r="J42" s="49"/>
      <c r="K42" s="36"/>
      <c r="L42" s="95"/>
      <c r="M42" s="51"/>
    </row>
    <row r="43">
      <c r="A43" s="117" t="s">
        <v>243</v>
      </c>
      <c r="B43" s="153" t="str">
        <f>HYPERLINK("https://uva.onlinejudge.org/index.php?option=com_onlinejudge&amp;Itemid=8&amp;page=show_problem&amp;problem=439","UVA 498")</f>
        <v>UVA 498</v>
      </c>
      <c r="C43" s="95"/>
      <c r="D43" s="95"/>
      <c r="E43" s="95"/>
      <c r="F43" s="95"/>
      <c r="G43" s="95"/>
      <c r="H43" s="97"/>
      <c r="I43" s="39">
        <f t="shared" si="1"/>
        <v>0</v>
      </c>
      <c r="J43" s="49"/>
      <c r="K43" s="36"/>
      <c r="L43" s="95"/>
      <c r="M43" s="105"/>
    </row>
    <row r="44">
      <c r="A44" s="132"/>
      <c r="B44" s="156" t="str">
        <f>HYPERLINK("https://uva.onlinejudge.org/index.php?option=onlinejudge&amp;page=show_problem&amp;problem=1994","UVA 11053")</f>
        <v>UVA 11053</v>
      </c>
      <c r="C44" s="95"/>
      <c r="D44" s="95"/>
      <c r="E44" s="95"/>
      <c r="F44" s="95"/>
      <c r="G44" s="95"/>
      <c r="H44" s="97"/>
      <c r="I44" s="39">
        <f t="shared" si="1"/>
        <v>0</v>
      </c>
      <c r="J44" s="49"/>
      <c r="K44" s="36"/>
      <c r="L44" s="95"/>
      <c r="M44" s="126" t="str">
        <f>HYPERLINK("https://en.wikipedia.org/wiki/Cycle_detection#Floyd.27s_Tortoise_and_Hare","Find O(n) Solution")</f>
        <v>Find O(n) Solution</v>
      </c>
    </row>
    <row r="45">
      <c r="A45" s="159"/>
      <c r="B45" s="159"/>
      <c r="C45" s="95"/>
      <c r="D45" s="95"/>
      <c r="E45" s="95"/>
      <c r="F45" s="95"/>
      <c r="G45" s="95"/>
      <c r="H45" s="97"/>
      <c r="I45" s="39">
        <f t="shared" si="1"/>
        <v>0</v>
      </c>
      <c r="J45" s="49"/>
      <c r="K45" s="36"/>
      <c r="L45" s="95"/>
      <c r="M45" s="116" t="str">
        <f>HYPERLINK("https://www.youtube.com/watch?v=O2SPaQXYHFc","Watch - Algebra - Patterns in Sequences")</f>
        <v>Watch - Algebra - Patterns in Sequences</v>
      </c>
    </row>
    <row r="46">
      <c r="A46" s="117" t="s">
        <v>247</v>
      </c>
      <c r="B46" s="118" t="str">
        <f>HYPERLINK("https://uva.onlinejudge.org/index.php?option=com_onlinejudge&amp;Itemid=8&amp;page=show_problem&amp;problem=1724","UVA 10783")</f>
        <v>UVA 10783</v>
      </c>
      <c r="C46" s="95"/>
      <c r="D46" s="95"/>
      <c r="E46" s="95"/>
      <c r="F46" s="95"/>
      <c r="G46" s="95"/>
      <c r="H46" s="97"/>
      <c r="I46" s="39">
        <f t="shared" si="1"/>
        <v>0</v>
      </c>
      <c r="J46" s="49"/>
      <c r="K46" s="36"/>
      <c r="L46" s="95"/>
      <c r="M46" s="161"/>
    </row>
    <row r="47">
      <c r="A47" s="117" t="s">
        <v>251</v>
      </c>
      <c r="B47" s="118" t="str">
        <f>HYPERLINK("https://uva.onlinejudge.org/index.php?option=onlinejudge&amp;page=show_problem&amp;problem=1450","UVA 10509")</f>
        <v>UVA 10509</v>
      </c>
      <c r="C47" s="95"/>
      <c r="D47" s="95"/>
      <c r="E47" s="95"/>
      <c r="F47" s="95"/>
      <c r="G47" s="95"/>
      <c r="H47" s="97"/>
      <c r="I47" s="39">
        <f t="shared" si="1"/>
        <v>0</v>
      </c>
      <c r="J47" s="49"/>
      <c r="K47" s="36"/>
      <c r="L47" s="95"/>
      <c r="M47" s="161"/>
    </row>
    <row r="48">
      <c r="A48" s="129" t="s">
        <v>254</v>
      </c>
      <c r="B48" s="132" t="str">
        <f>HYPERLINK("http://www.spoj.com/problems/CLEANRBT/","SPOJ CLEANRBT")</f>
        <v>SPOJ CLEANRBT</v>
      </c>
      <c r="C48" s="95"/>
      <c r="D48" s="95"/>
      <c r="E48" s="95"/>
      <c r="F48" s="95"/>
      <c r="G48" s="95"/>
      <c r="H48" s="97"/>
      <c r="I48" s="39">
        <f t="shared" si="1"/>
        <v>0</v>
      </c>
      <c r="J48" s="111"/>
      <c r="K48" s="112"/>
      <c r="L48" s="80"/>
      <c r="M48" s="16"/>
    </row>
    <row r="49">
      <c r="A49" s="129" t="s">
        <v>256</v>
      </c>
      <c r="B49" s="132" t="str">
        <f>HYPERLINK("http://www.spoj.com/problems/QUEEN/","SPOJ QUEEN")</f>
        <v>SPOJ QUEEN</v>
      </c>
      <c r="C49" s="95"/>
      <c r="D49" s="95"/>
      <c r="E49" s="95"/>
      <c r="F49" s="95"/>
      <c r="G49" s="95"/>
      <c r="H49" s="97"/>
      <c r="I49" s="39">
        <f t="shared" si="1"/>
        <v>0</v>
      </c>
      <c r="J49" s="111"/>
      <c r="K49" s="112"/>
      <c r="L49" s="80"/>
      <c r="M49" s="83" t="str">
        <f>HYPERLINK("https://github.com/magdy-hasan/competitive-programming/blob/master/SPOJ/SPOJ%20QUEEN%20-%20Wandering%20Queen.cpp","Sol to read")</f>
        <v>Sol to read</v>
      </c>
    </row>
    <row r="50">
      <c r="A50" s="163" t="s">
        <v>260</v>
      </c>
      <c r="B50" s="165" t="str">
        <f>HYPERLINK("https://uva.onlinejudge.org/index.php?option=com_onlinejudge&amp;Itemid=8&amp;page=show_problem&amp;problem=132","UVA 196")</f>
        <v>UVA 196</v>
      </c>
      <c r="C50" s="95"/>
      <c r="D50" s="95"/>
      <c r="E50" s="95"/>
      <c r="F50" s="95"/>
      <c r="G50" s="95"/>
      <c r="H50" s="97"/>
      <c r="I50" s="39">
        <f t="shared" si="1"/>
        <v>0</v>
      </c>
      <c r="J50" s="111"/>
      <c r="K50" s="112"/>
      <c r="L50" s="80"/>
      <c r="M50" s="16"/>
    </row>
    <row r="51">
      <c r="A51" s="163"/>
      <c r="B51" s="167" t="str">
        <f>HYPERLINK("https://www.hackerrank.com/challenges/sherlock-and-probability","HACKR sherlock-and-probability")</f>
        <v>HACKR sherlock-and-probability</v>
      </c>
      <c r="C51" s="95"/>
      <c r="D51" s="95"/>
      <c r="E51" s="95"/>
      <c r="F51" s="95"/>
      <c r="G51" s="95"/>
      <c r="H51" s="97"/>
      <c r="I51" s="39">
        <f t="shared" si="1"/>
        <v>0</v>
      </c>
      <c r="J51" s="111"/>
      <c r="K51" s="112"/>
      <c r="L51" s="80"/>
      <c r="M51" s="126" t="str">
        <f>HYPERLINK("https://github.com/MohamedNabil97/CompetitiveProgramming/blob/master/Hackerrank/sherlock-and-probability.cpp","Sol")</f>
        <v>Sol</v>
      </c>
    </row>
    <row r="52">
      <c r="A52" s="163"/>
      <c r="B52" s="163" t="s">
        <v>265</v>
      </c>
      <c r="C52" s="95"/>
      <c r="D52" s="95"/>
      <c r="E52" s="95"/>
      <c r="F52" s="95"/>
      <c r="G52" s="95"/>
      <c r="H52" s="97"/>
      <c r="I52" s="39">
        <f t="shared" si="1"/>
        <v>0</v>
      </c>
      <c r="J52" s="111"/>
      <c r="K52" s="112"/>
      <c r="L52" s="80"/>
      <c r="M52" s="16"/>
    </row>
    <row r="53">
      <c r="A53" s="163" t="s">
        <v>266</v>
      </c>
      <c r="B53" s="167" t="str">
        <f>HYPERLINK("https://uva.onlinejudge.org/index.php?option=com_onlinejudge&amp;Itemid=8&amp;page=show_problem&amp;problem=1541","UVA 10600")</f>
        <v>UVA 10600</v>
      </c>
      <c r="C53" s="95"/>
      <c r="D53" s="95"/>
      <c r="E53" s="95"/>
      <c r="F53" s="95"/>
      <c r="G53" s="95"/>
      <c r="H53" s="97"/>
      <c r="I53" s="39">
        <f t="shared" si="1"/>
        <v>0</v>
      </c>
      <c r="J53" s="49"/>
      <c r="K53" s="36"/>
      <c r="L53" s="95"/>
      <c r="M53" s="83" t="str">
        <f>HYPERLINK("https://www.youtube.com/watch?v=94EApxauQQE&amp;feature=youtu.be","Video Solution - Eng Moaz Rashad")</f>
        <v>Video Solution - Eng Moaz Rashad</v>
      </c>
    </row>
    <row r="54">
      <c r="A54" s="159"/>
      <c r="B54" s="168"/>
      <c r="C54" s="95"/>
      <c r="D54" s="95"/>
      <c r="E54" s="95"/>
      <c r="F54" s="95"/>
      <c r="G54" s="95"/>
      <c r="H54" s="97"/>
      <c r="I54" s="39">
        <f t="shared" si="1"/>
        <v>0</v>
      </c>
      <c r="J54" s="49"/>
      <c r="K54" s="36"/>
      <c r="L54" s="95"/>
      <c r="M54" s="116" t="str">
        <f>HYPERLINK("https://www.youtube.com/watch?v=xY8To84R87Y","Watch - Algebra - Summations")</f>
        <v>Watch - Algebra - Summations</v>
      </c>
    </row>
    <row r="55">
      <c r="A55" s="159"/>
      <c r="B55" s="168"/>
      <c r="C55" s="95"/>
      <c r="D55" s="95"/>
      <c r="E55" s="95"/>
      <c r="F55" s="95"/>
      <c r="G55" s="95"/>
      <c r="H55" s="97"/>
      <c r="I55" s="39">
        <f t="shared" si="1"/>
        <v>0</v>
      </c>
      <c r="J55" s="49"/>
      <c r="K55" s="36"/>
      <c r="L55" s="95"/>
      <c r="M55" s="116" t="str">
        <f>HYPERLINK("https://www.youtube.com/watch?v=OcqD14kI3Wk","Watch - Algebra - Basic Matrix Operations")</f>
        <v>Watch - Algebra - Basic Matrix Operations</v>
      </c>
    </row>
    <row r="56">
      <c r="A56" s="92" t="s">
        <v>274</v>
      </c>
      <c r="B56" s="126" t="str">
        <f>HYPERLINK("http://codeforces.com/contest/276/problem/C","CF276-D2-C")</f>
        <v>CF276-D2-C</v>
      </c>
      <c r="C56" s="95"/>
      <c r="D56" s="95"/>
      <c r="E56" s="95"/>
      <c r="F56" s="95"/>
      <c r="G56" s="95"/>
      <c r="H56" s="97"/>
      <c r="I56" s="39">
        <f t="shared" si="1"/>
        <v>0</v>
      </c>
      <c r="J56" s="49"/>
      <c r="K56" s="36"/>
      <c r="L56" s="95"/>
      <c r="M56" s="51"/>
    </row>
    <row r="57">
      <c r="A57" s="92" t="s">
        <v>276</v>
      </c>
      <c r="B57" s="126" t="str">
        <f>HYPERLINK("http://codeforces.com/contest/402/problem/C","CF402-D2-C")</f>
        <v>CF402-D2-C</v>
      </c>
      <c r="C57" s="95"/>
      <c r="D57" s="95"/>
      <c r="E57" s="95"/>
      <c r="F57" s="95"/>
      <c r="G57" s="95"/>
      <c r="H57" s="97"/>
      <c r="I57" s="39">
        <f t="shared" si="1"/>
        <v>0</v>
      </c>
      <c r="J57" s="49"/>
      <c r="K57" s="36"/>
      <c r="L57" s="95"/>
      <c r="M57" s="51"/>
    </row>
    <row r="58">
      <c r="A58" s="92" t="s">
        <v>279</v>
      </c>
      <c r="B58" s="126" t="str">
        <f>HYPERLINK("http://codeforces.com/contest/368/problem/C","CF368-D2-C")</f>
        <v>CF368-D2-C</v>
      </c>
      <c r="C58" s="95"/>
      <c r="D58" s="95"/>
      <c r="E58" s="95"/>
      <c r="F58" s="95"/>
      <c r="G58" s="95"/>
      <c r="H58" s="97"/>
      <c r="I58" s="39">
        <f t="shared" si="1"/>
        <v>0</v>
      </c>
      <c r="J58" s="49"/>
      <c r="K58" s="36"/>
      <c r="L58" s="95"/>
      <c r="M58" s="51"/>
    </row>
    <row r="59">
      <c r="A59" s="92" t="s">
        <v>281</v>
      </c>
      <c r="B59" s="126" t="str">
        <f>HYPERLINK("http://codeforces.com/contest/570/problem/C","CF570-D2-C")</f>
        <v>CF570-D2-C</v>
      </c>
      <c r="C59" s="95"/>
      <c r="D59" s="95"/>
      <c r="E59" s="95"/>
      <c r="F59" s="95"/>
      <c r="G59" s="95"/>
      <c r="H59" s="97"/>
      <c r="I59" s="39">
        <f t="shared" si="1"/>
        <v>0</v>
      </c>
      <c r="J59" s="49"/>
      <c r="K59" s="36"/>
      <c r="L59" s="95"/>
      <c r="M59" s="51"/>
    </row>
    <row r="60">
      <c r="A60" s="105" t="s">
        <v>284</v>
      </c>
      <c r="B60" s="110" t="str">
        <f>HYPERLINK("http://codeforces.com/contest/227/problem/C","CF227-D2-C")</f>
        <v>CF227-D2-C</v>
      </c>
      <c r="C60" s="95"/>
      <c r="D60" s="95"/>
      <c r="E60" s="95"/>
      <c r="F60" s="95"/>
      <c r="G60" s="95"/>
      <c r="H60" s="97"/>
      <c r="I60" s="39">
        <f t="shared" si="1"/>
        <v>0</v>
      </c>
      <c r="J60" s="49"/>
      <c r="K60" s="36"/>
      <c r="L60" s="80"/>
      <c r="M60" s="16"/>
    </row>
    <row r="61">
      <c r="A61" s="105" t="s">
        <v>287</v>
      </c>
      <c r="B61" s="110" t="str">
        <f>HYPERLINK("http://codeforces.com/contest/577/problem/C","CF577-D2-C")</f>
        <v>CF577-D2-C</v>
      </c>
      <c r="C61" s="95"/>
      <c r="D61" s="95"/>
      <c r="E61" s="95"/>
      <c r="F61" s="95"/>
      <c r="G61" s="95"/>
      <c r="H61" s="97"/>
      <c r="I61" s="39">
        <f t="shared" si="1"/>
        <v>0</v>
      </c>
      <c r="J61" s="49"/>
      <c r="K61" s="36"/>
      <c r="L61" s="80"/>
      <c r="M61" s="16"/>
    </row>
    <row r="62">
      <c r="A62" s="92" t="s">
        <v>289</v>
      </c>
      <c r="B62" s="126" t="str">
        <f>HYPERLINK("http://codeforces.com/contest/71/problem/C","CF71-D2-C")</f>
        <v>CF71-D2-C</v>
      </c>
      <c r="C62" s="95"/>
      <c r="D62" s="95"/>
      <c r="E62" s="95"/>
      <c r="F62" s="95"/>
      <c r="G62" s="95"/>
      <c r="H62" s="97"/>
      <c r="I62" s="39">
        <f t="shared" si="1"/>
        <v>0</v>
      </c>
      <c r="J62" s="49"/>
      <c r="K62" s="36"/>
      <c r="L62" s="95"/>
      <c r="M62" s="51"/>
    </row>
    <row r="63">
      <c r="A63" s="92" t="s">
        <v>290</v>
      </c>
      <c r="B63" s="126" t="str">
        <f>HYPERLINK("http://codeforces.com/contest/580/problem/C","CF580-D2-C")</f>
        <v>CF580-D2-C</v>
      </c>
      <c r="C63" s="95"/>
      <c r="D63" s="95"/>
      <c r="E63" s="95"/>
      <c r="F63" s="95"/>
      <c r="G63" s="95"/>
      <c r="H63" s="97"/>
      <c r="I63" s="39">
        <f t="shared" si="1"/>
        <v>0</v>
      </c>
      <c r="J63" s="49"/>
      <c r="K63" s="36"/>
      <c r="L63" s="95"/>
      <c r="M63" s="85" t="str">
        <f>HYPERLINK("https://www.youtube.com/watch?v=ebC3c-YJDIk","Video Solution - Solver to be (Java)")</f>
        <v>Video Solution - Solver to be (Java)</v>
      </c>
    </row>
    <row r="64">
      <c r="A64" s="137" t="s">
        <v>293</v>
      </c>
      <c r="B64" s="78" t="str">
        <f>HYPERLINK("http://codeforces.com/contest/71/problem/B","CF71-D2-B")</f>
        <v>CF71-D2-B</v>
      </c>
      <c r="C64" s="95"/>
      <c r="D64" s="95"/>
      <c r="E64" s="95"/>
      <c r="F64" s="95"/>
      <c r="G64" s="95"/>
      <c r="H64" s="97"/>
      <c r="I64" s="39">
        <f t="shared" si="1"/>
        <v>0</v>
      </c>
      <c r="J64" s="49"/>
      <c r="K64" s="36"/>
      <c r="L64" s="95"/>
      <c r="M64" s="87"/>
    </row>
    <row r="65">
      <c r="A65" s="137" t="s">
        <v>294</v>
      </c>
      <c r="B65" s="78" t="str">
        <f>HYPERLINK("http://codeforces.com/contest/219/problem/B","CF219-D2-B")</f>
        <v>CF219-D2-B</v>
      </c>
      <c r="C65" s="95"/>
      <c r="D65" s="95"/>
      <c r="E65" s="95"/>
      <c r="F65" s="95"/>
      <c r="G65" s="95"/>
      <c r="H65" s="97"/>
      <c r="I65" s="39">
        <f t="shared" si="1"/>
        <v>0</v>
      </c>
      <c r="J65" s="49"/>
      <c r="K65" s="36"/>
      <c r="L65" s="95"/>
      <c r="M65" s="87"/>
    </row>
    <row r="66">
      <c r="A66" s="137" t="s">
        <v>297</v>
      </c>
      <c r="B66" s="78" t="str">
        <f>HYPERLINK("http://codeforces.com/contest/254/problem/B","CF254-D2-B")</f>
        <v>CF254-D2-B</v>
      </c>
      <c r="C66" s="95"/>
      <c r="D66" s="95"/>
      <c r="E66" s="95"/>
      <c r="F66" s="95"/>
      <c r="G66" s="95"/>
      <c r="H66" s="97"/>
      <c r="I66" s="39">
        <f t="shared" si="1"/>
        <v>0</v>
      </c>
      <c r="J66" s="49"/>
      <c r="K66" s="36"/>
      <c r="L66" s="95"/>
      <c r="M66" s="87"/>
    </row>
    <row r="67">
      <c r="A67" s="120"/>
      <c r="B67" s="120"/>
      <c r="C67" s="95"/>
      <c r="D67" s="95"/>
      <c r="E67" s="95"/>
      <c r="F67" s="95"/>
      <c r="G67" s="95"/>
      <c r="H67" s="97"/>
      <c r="I67" s="39">
        <f t="shared" si="1"/>
        <v>0</v>
      </c>
      <c r="J67" s="49"/>
      <c r="K67" s="36"/>
      <c r="L67" s="95"/>
      <c r="M67" s="116" t="str">
        <f>HYPERLINK("https://www.youtube.com/watch?v=F0hmrbOW8nw","Watch - Thinking - Problem Abstraction ")</f>
        <v>Watch - Thinking - Problem Abstraction </v>
      </c>
    </row>
    <row r="68">
      <c r="A68" s="120"/>
      <c r="B68" s="120"/>
      <c r="C68" s="95"/>
      <c r="D68" s="95"/>
      <c r="E68" s="95"/>
      <c r="F68" s="95"/>
      <c r="G68" s="95"/>
      <c r="H68" s="97"/>
      <c r="I68" s="39">
        <f t="shared" si="1"/>
        <v>0</v>
      </c>
      <c r="J68" s="49"/>
      <c r="K68" s="36"/>
      <c r="L68" s="95"/>
      <c r="M68" s="116" t="str">
        <f>HYPERLINK("https://www.youtube.com/watch?v=0wlc8Rhyybo","Watch - Thinking - Problem Reverse")</f>
        <v>Watch - Thinking - Problem Reverse</v>
      </c>
    </row>
    <row r="69">
      <c r="A69" s="120"/>
      <c r="B69" s="120"/>
      <c r="C69" s="95"/>
      <c r="D69" s="95"/>
      <c r="E69" s="95"/>
      <c r="F69" s="95"/>
      <c r="G69" s="95"/>
      <c r="H69" s="97"/>
      <c r="I69" s="39">
        <f t="shared" si="1"/>
        <v>0</v>
      </c>
      <c r="J69" s="49"/>
      <c r="K69" s="36"/>
      <c r="L69" s="95"/>
      <c r="M69" s="115" t="str">
        <f>HYPERLINK("https://www.youtube.com/watch?v=hLXVhRzqq18","Watch - Search Techniques - Backtracking")</f>
        <v>Watch - Search Techniques - Backtracking</v>
      </c>
    </row>
    <row r="70">
      <c r="A70" s="171" t="s">
        <v>301</v>
      </c>
      <c r="B70" s="172" t="str">
        <f>HYPERLINK("https://uva.onlinejudge.org/index.php?option=com_onlinejudge&amp;Itemid=8&amp;page=show_problem&amp;problem=129","UVA 193")</f>
        <v>UVA 193</v>
      </c>
      <c r="C70" s="95"/>
      <c r="D70" s="95"/>
      <c r="E70" s="95"/>
      <c r="F70" s="95"/>
      <c r="G70" s="95"/>
      <c r="H70" s="97"/>
      <c r="I70" s="39">
        <f t="shared" si="1"/>
        <v>0</v>
      </c>
      <c r="J70" s="49"/>
      <c r="K70" s="36"/>
      <c r="L70" s="95"/>
      <c r="M70" s="102" t="str">
        <f>HYPERLINK("https://www.youtube.com/watch?v=0hOK2hgqNE4","Video Solution - Eng Mostafa Saad")</f>
        <v>Video Solution - Eng Mostafa Saad</v>
      </c>
    </row>
    <row r="71">
      <c r="A71" s="117" t="s">
        <v>307</v>
      </c>
      <c r="B71" s="118" t="str">
        <f>HYPERLINK("https://uva.onlinejudge.org/index.php?option=com_onlinejudge&amp;Itemid=8&amp;page=show_problem&amp;problem=1285","UVA 10344")</f>
        <v>UVA 10344</v>
      </c>
      <c r="C71" s="95"/>
      <c r="D71" s="95"/>
      <c r="E71" s="95"/>
      <c r="F71" s="95"/>
      <c r="G71" s="95"/>
      <c r="H71" s="97"/>
      <c r="I71" s="39">
        <f t="shared" si="1"/>
        <v>0</v>
      </c>
      <c r="J71" s="49"/>
      <c r="K71" s="36"/>
      <c r="L71" s="95"/>
      <c r="M71" s="102" t="str">
        <f>HYPERLINK("https://www.youtube.com/watch?v=WX7rIgcgnBs","Video Solution - Eng Mohamed Nasser")</f>
        <v>Video Solution - Eng Mohamed Nasser</v>
      </c>
    </row>
    <row r="72">
      <c r="A72" s="117" t="s">
        <v>309</v>
      </c>
      <c r="B72" s="118" t="str">
        <f>HYPERLINK("https://uva.onlinejudge.org/index.php?option=com_onlinejudge&amp;Itemid=8&amp;page=show_problem&amp;problem=691","UVA 750")</f>
        <v>UVA 750</v>
      </c>
      <c r="C72" s="95"/>
      <c r="D72" s="95"/>
      <c r="E72" s="95"/>
      <c r="F72" s="95"/>
      <c r="G72" s="95"/>
      <c r="H72" s="97"/>
      <c r="I72" s="39">
        <f t="shared" si="1"/>
        <v>0</v>
      </c>
      <c r="J72" s="49"/>
      <c r="K72" s="36"/>
      <c r="L72" s="95"/>
      <c r="M72" s="102" t="str">
        <f>HYPERLINK("https://www.youtube.com/watch?v=3jMlUYEVgL0","Video Solution - Eng Ayman Salah")</f>
        <v>Video Solution - Eng Ayman Salah</v>
      </c>
    </row>
    <row r="73">
      <c r="A73" s="124" t="s">
        <v>310</v>
      </c>
      <c r="B73" s="125" t="str">
        <f>HYPERLINK("https://uva.onlinejudge.org/index.php?option=onlinejudge&amp;page=show_problem&amp;problem=3276","UVA 12124")</f>
        <v>UVA 12124</v>
      </c>
      <c r="C73" s="95"/>
      <c r="D73" s="95"/>
      <c r="E73" s="95"/>
      <c r="F73" s="95"/>
      <c r="G73" s="95"/>
      <c r="H73" s="97"/>
      <c r="I73" s="39">
        <f t="shared" si="1"/>
        <v>0</v>
      </c>
      <c r="J73" s="49"/>
      <c r="K73" s="36"/>
      <c r="L73" s="95"/>
      <c r="M73" s="126" t="str">
        <f>HYPERLINK("https://github.com/mostafa-saad/MyCompetitiveProgramming/blob/master/UVA/UVA_12124.txt","Sol")</f>
        <v>Sol</v>
      </c>
    </row>
    <row r="74">
      <c r="A74" s="124"/>
      <c r="B74" s="124" t="s">
        <v>313</v>
      </c>
      <c r="C74" s="95"/>
      <c r="D74" s="95"/>
      <c r="E74" s="95"/>
      <c r="F74" s="95"/>
      <c r="G74" s="95"/>
      <c r="H74" s="97"/>
      <c r="I74" s="39">
        <f t="shared" si="1"/>
        <v>0</v>
      </c>
      <c r="J74" s="49"/>
      <c r="K74" s="36"/>
      <c r="L74" s="95"/>
      <c r="M74" s="126" t="str">
        <f>HYPERLINK("https://stackoverflow.com/questions/25281005/calculating-probability-for-funprob","Sol")</f>
        <v>Sol</v>
      </c>
    </row>
    <row r="75">
      <c r="A75" s="51"/>
      <c r="B75" s="51"/>
      <c r="C75" s="95"/>
      <c r="D75" s="95"/>
      <c r="E75" s="95"/>
      <c r="F75" s="95"/>
      <c r="G75" s="95"/>
      <c r="H75" s="97"/>
      <c r="I75" s="39">
        <f t="shared" si="1"/>
        <v>0</v>
      </c>
      <c r="J75" s="49"/>
      <c r="K75" s="36"/>
      <c r="L75" s="95"/>
      <c r="M75" s="51"/>
    </row>
    <row r="76">
      <c r="A76" s="92" t="s">
        <v>317</v>
      </c>
      <c r="B76" s="126" t="str">
        <f>HYPERLINK("http://codeforces.com/contest/424/problem/C","CF424-D2-C")</f>
        <v>CF424-D2-C</v>
      </c>
      <c r="C76" s="95"/>
      <c r="D76" s="95"/>
      <c r="E76" s="95"/>
      <c r="F76" s="95"/>
      <c r="G76" s="95"/>
      <c r="H76" s="97"/>
      <c r="I76" s="39">
        <f t="shared" si="1"/>
        <v>0</v>
      </c>
      <c r="J76" s="49"/>
      <c r="K76" s="36"/>
      <c r="L76" s="95"/>
      <c r="M76" s="120"/>
    </row>
    <row r="77">
      <c r="A77" s="92" t="s">
        <v>320</v>
      </c>
      <c r="B77" s="126" t="str">
        <f>HYPERLINK("http://codeforces.com/contest/707/problem/C","CF707-D2-C")</f>
        <v>CF707-D2-C</v>
      </c>
      <c r="C77" s="95"/>
      <c r="D77" s="95"/>
      <c r="E77" s="95"/>
      <c r="F77" s="95"/>
      <c r="G77" s="95"/>
      <c r="H77" s="97"/>
      <c r="I77" s="39">
        <f t="shared" si="1"/>
        <v>0</v>
      </c>
      <c r="J77" s="49"/>
      <c r="K77" s="36"/>
      <c r="L77" s="95"/>
      <c r="M77" s="120"/>
    </row>
    <row r="78">
      <c r="A78" s="92" t="s">
        <v>322</v>
      </c>
      <c r="B78" s="126" t="str">
        <f>HYPERLINK("http://codeforces.com/contest/560/problem/C","CF560-D2-C")</f>
        <v>CF560-D2-C</v>
      </c>
      <c r="C78" s="95"/>
      <c r="D78" s="95"/>
      <c r="E78" s="95"/>
      <c r="F78" s="95"/>
      <c r="G78" s="95"/>
      <c r="H78" s="97"/>
      <c r="I78" s="39">
        <f t="shared" si="1"/>
        <v>0</v>
      </c>
      <c r="J78" s="49"/>
      <c r="K78" s="36"/>
      <c r="L78" s="95"/>
      <c r="M78" s="168"/>
    </row>
    <row r="79">
      <c r="A79" s="105" t="s">
        <v>325</v>
      </c>
      <c r="B79" s="110" t="str">
        <f>HYPERLINK("http://codeforces.com/contest/252/problem/C","CF252-D2-C")</f>
        <v>CF252-D2-C</v>
      </c>
      <c r="C79" s="95"/>
      <c r="D79" s="95"/>
      <c r="E79" s="95"/>
      <c r="F79" s="95"/>
      <c r="G79" s="95"/>
      <c r="H79" s="97"/>
      <c r="I79" s="39">
        <f t="shared" si="1"/>
        <v>0</v>
      </c>
      <c r="J79" s="49"/>
      <c r="K79" s="36"/>
      <c r="L79" s="80"/>
      <c r="M79" s="16"/>
    </row>
    <row r="80">
      <c r="A80" s="105" t="s">
        <v>328</v>
      </c>
      <c r="B80" s="110" t="str">
        <f>HYPERLINK("http://codeforces.com/contest/353/problem/C","CF353-D2-C")</f>
        <v>CF353-D2-C</v>
      </c>
      <c r="C80" s="95"/>
      <c r="D80" s="95"/>
      <c r="E80" s="95"/>
      <c r="F80" s="95"/>
      <c r="G80" s="95"/>
      <c r="H80" s="97"/>
      <c r="I80" s="39">
        <f t="shared" si="1"/>
        <v>0</v>
      </c>
      <c r="J80" s="49"/>
      <c r="K80" s="36"/>
      <c r="L80" s="80"/>
      <c r="M80" s="16"/>
    </row>
    <row r="81">
      <c r="A81" s="92" t="s">
        <v>330</v>
      </c>
      <c r="B81" s="126" t="str">
        <f>HYPERLINK("http://codeforces.com/contest/334/problem/C","CF334-D2-C")</f>
        <v>CF334-D2-C</v>
      </c>
      <c r="C81" s="95"/>
      <c r="D81" s="95"/>
      <c r="E81" s="95"/>
      <c r="F81" s="95"/>
      <c r="G81" s="95"/>
      <c r="H81" s="97"/>
      <c r="I81" s="39">
        <f t="shared" si="1"/>
        <v>0</v>
      </c>
      <c r="J81" s="49"/>
      <c r="K81" s="36"/>
      <c r="L81" s="95"/>
      <c r="M81" s="51"/>
    </row>
    <row r="82">
      <c r="A82" s="137" t="s">
        <v>333</v>
      </c>
      <c r="B82" s="78" t="str">
        <f>HYPERLINK("http://codeforces.com/contest/450/problem/B","CF450-D2-B")</f>
        <v>CF450-D2-B</v>
      </c>
      <c r="C82" s="95"/>
      <c r="D82" s="95"/>
      <c r="E82" s="95"/>
      <c r="F82" s="95"/>
      <c r="G82" s="95"/>
      <c r="H82" s="97"/>
      <c r="I82" s="39">
        <f t="shared" si="1"/>
        <v>0</v>
      </c>
      <c r="J82" s="49"/>
      <c r="K82" s="36"/>
      <c r="L82" s="95"/>
      <c r="M82" s="51"/>
    </row>
    <row r="83">
      <c r="A83" s="137" t="s">
        <v>335</v>
      </c>
      <c r="B83" s="78" t="str">
        <f>HYPERLINK("http://codeforces.com/contest/570/problem/B","CF570-D2-B")</f>
        <v>CF570-D2-B</v>
      </c>
      <c r="C83" s="95"/>
      <c r="D83" s="95"/>
      <c r="E83" s="95"/>
      <c r="F83" s="95"/>
      <c r="G83" s="95"/>
      <c r="H83" s="97"/>
      <c r="I83" s="39">
        <f t="shared" si="1"/>
        <v>0</v>
      </c>
      <c r="J83" s="49"/>
      <c r="K83" s="36"/>
      <c r="L83" s="95"/>
      <c r="M83" s="51"/>
    </row>
    <row r="84">
      <c r="A84" s="137" t="s">
        <v>337</v>
      </c>
      <c r="B84" s="78" t="str">
        <f>HYPERLINK("http://codeforces.com/contest/271/problem/B","CF271-D2-B")</f>
        <v>CF271-D2-B</v>
      </c>
      <c r="C84" s="95"/>
      <c r="D84" s="95"/>
      <c r="E84" s="95"/>
      <c r="F84" s="95"/>
      <c r="G84" s="95"/>
      <c r="H84" s="97"/>
      <c r="I84" s="39">
        <f t="shared" si="1"/>
        <v>0</v>
      </c>
      <c r="J84" s="49"/>
      <c r="K84" s="36"/>
      <c r="L84" s="95"/>
      <c r="M84" s="51"/>
    </row>
    <row r="85">
      <c r="A85" s="159"/>
      <c r="B85" s="168"/>
      <c r="C85" s="95"/>
      <c r="D85" s="95"/>
      <c r="E85" s="95"/>
      <c r="F85" s="95"/>
      <c r="G85" s="95"/>
      <c r="H85" s="97"/>
      <c r="I85" s="39">
        <f t="shared" si="1"/>
        <v>0</v>
      </c>
      <c r="J85" s="49"/>
      <c r="K85" s="36"/>
      <c r="L85" s="95"/>
      <c r="M85" s="115" t="str">
        <f>HYPERLINK("https://www.youtube.com/watch?v=vAqaki1BhS0","Watch - DP - Subset Style")</f>
        <v>Watch - DP - Subset Style</v>
      </c>
    </row>
    <row r="86">
      <c r="A86" s="117" t="s">
        <v>339</v>
      </c>
      <c r="B86" s="160" t="str">
        <f>HYPERLINK("https://uva.onlinejudge.org/index.php?option=onlinejudge&amp;page=show_problem&amp;problem=1133","UVA 10192")</f>
        <v>UVA 10192</v>
      </c>
      <c r="C86" s="95"/>
      <c r="D86" s="95"/>
      <c r="E86" s="95"/>
      <c r="F86" s="95"/>
      <c r="G86" s="95"/>
      <c r="H86" s="97"/>
      <c r="I86" s="39">
        <f t="shared" si="1"/>
        <v>0</v>
      </c>
      <c r="J86" s="49"/>
      <c r="K86" s="36"/>
      <c r="L86" s="80"/>
      <c r="M86" s="175" t="s">
        <v>341</v>
      </c>
    </row>
    <row r="87">
      <c r="A87" s="117" t="s">
        <v>344</v>
      </c>
      <c r="B87" s="160" t="str">
        <f>HYPERLINK("https://uva.onlinejudge.org/index.php?option=com_onlinejudge&amp;Itemid=8&amp;page=show_problem&amp;problem=438","UVA 497")</f>
        <v>UVA 497</v>
      </c>
      <c r="C87" s="95"/>
      <c r="D87" s="95"/>
      <c r="E87" s="95"/>
      <c r="F87" s="95"/>
      <c r="G87" s="95"/>
      <c r="H87" s="97"/>
      <c r="I87" s="39">
        <f t="shared" si="1"/>
        <v>0</v>
      </c>
      <c r="J87" s="49"/>
      <c r="K87" s="36"/>
      <c r="L87" s="80"/>
      <c r="M87" s="175" t="s">
        <v>341</v>
      </c>
    </row>
    <row r="88">
      <c r="A88" s="117" t="s">
        <v>346</v>
      </c>
      <c r="B88" s="160" t="str">
        <f>HYPERLINK("https://uva.onlinejudge.org/index.php?option=com_onlinejudge&amp;Itemid=8&amp;page=show_problem&amp;problem=503","UVA 562")</f>
        <v>UVA 562</v>
      </c>
      <c r="C88" s="95"/>
      <c r="D88" s="95"/>
      <c r="E88" s="95"/>
      <c r="F88" s="95"/>
      <c r="G88" s="95"/>
      <c r="H88" s="97"/>
      <c r="I88" s="39">
        <f t="shared" si="1"/>
        <v>0</v>
      </c>
      <c r="J88" s="49"/>
      <c r="K88" s="36"/>
      <c r="L88" s="80"/>
      <c r="M88" s="102" t="str">
        <f>HYPERLINK("https://www.youtube.com/watch?v=HN-oKkysTmc","Video Solution - Eng Ayman Salah")</f>
        <v>Video Solution - Eng Ayman Salah</v>
      </c>
    </row>
    <row r="89">
      <c r="A89" s="159"/>
      <c r="B89" s="168"/>
      <c r="C89" s="95"/>
      <c r="D89" s="95"/>
      <c r="E89" s="95"/>
      <c r="F89" s="95"/>
      <c r="G89" s="95"/>
      <c r="H89" s="97"/>
      <c r="I89" s="39">
        <f t="shared" si="1"/>
        <v>0</v>
      </c>
      <c r="J89" s="49"/>
      <c r="K89" s="36"/>
      <c r="L89" s="95"/>
      <c r="M89" s="115" t="str">
        <f>HYPERLINK("https://www.youtube.com/watch?v=bDlAqeWsKsg","Watch - DP - Consecutive Ranges Style")</f>
        <v>Watch - DP - Consecutive Ranges Style</v>
      </c>
    </row>
    <row r="90">
      <c r="A90" s="117"/>
      <c r="B90" s="117" t="s">
        <v>351</v>
      </c>
      <c r="C90" s="95"/>
      <c r="D90" s="95"/>
      <c r="E90" s="95"/>
      <c r="F90" s="95"/>
      <c r="G90" s="95"/>
      <c r="H90" s="97"/>
      <c r="I90" s="39">
        <f t="shared" si="1"/>
        <v>0</v>
      </c>
      <c r="J90" s="49"/>
      <c r="K90" s="36"/>
      <c r="L90" s="95"/>
      <c r="M90" s="115"/>
    </row>
    <row r="91">
      <c r="A91" s="117"/>
      <c r="B91" s="117" t="s">
        <v>352</v>
      </c>
      <c r="C91" s="95"/>
      <c r="D91" s="95"/>
      <c r="E91" s="95"/>
      <c r="F91" s="95"/>
      <c r="G91" s="95"/>
      <c r="H91" s="97"/>
      <c r="I91" s="39">
        <f t="shared" si="1"/>
        <v>0</v>
      </c>
      <c r="J91" s="49"/>
      <c r="K91" s="36"/>
      <c r="L91" s="95"/>
      <c r="M91" s="115"/>
    </row>
    <row r="92">
      <c r="A92" s="124" t="s">
        <v>353</v>
      </c>
      <c r="B92" s="125" t="str">
        <f>HYPERLINK("https://uva.onlinejudge.org/index.php?option=com_onlinejudge&amp;Itemid=8&amp;page=show_problem&amp;problem=37","UVA 101")</f>
        <v>UVA 101</v>
      </c>
      <c r="C92" s="95"/>
      <c r="D92" s="95"/>
      <c r="E92" s="95"/>
      <c r="F92" s="95"/>
      <c r="G92" s="95"/>
      <c r="H92" s="97"/>
      <c r="I92" s="39">
        <f t="shared" si="1"/>
        <v>0</v>
      </c>
      <c r="J92" s="49"/>
      <c r="K92" s="36"/>
      <c r="L92" s="95"/>
      <c r="M92" s="51"/>
    </row>
    <row r="93">
      <c r="A93" s="124" t="s">
        <v>355</v>
      </c>
      <c r="B93" s="125" t="str">
        <f>HYPERLINK("https://uva.onlinejudge.org/index.php?option=com_onlinejudge&amp;Itemid=8&amp;page=show_problem&amp;problem=977","UVA 10036")</f>
        <v>UVA 10036</v>
      </c>
      <c r="C93" s="95"/>
      <c r="D93" s="95"/>
      <c r="E93" s="95"/>
      <c r="F93" s="95"/>
      <c r="G93" s="95"/>
      <c r="H93" s="97"/>
      <c r="I93" s="39">
        <f t="shared" si="1"/>
        <v>0</v>
      </c>
      <c r="J93" s="49"/>
      <c r="K93" s="36"/>
      <c r="L93" s="95"/>
      <c r="M93" s="51"/>
    </row>
    <row r="94">
      <c r="A94" s="124"/>
      <c r="B94" s="124" t="s">
        <v>357</v>
      </c>
      <c r="C94" s="95"/>
      <c r="D94" s="95"/>
      <c r="E94" s="95"/>
      <c r="F94" s="95"/>
      <c r="G94" s="95"/>
      <c r="H94" s="97"/>
      <c r="I94" s="39">
        <f t="shared" si="1"/>
        <v>0</v>
      </c>
      <c r="J94" s="49"/>
      <c r="K94" s="36"/>
      <c r="L94" s="95"/>
      <c r="M94" s="126" t="str">
        <f>HYPERLINK("https://github.com/mostafa-saad/MyCompetitiveProgramming/blob/master/UVA/UVA_11628.txt","Sol")</f>
        <v>Sol</v>
      </c>
    </row>
    <row r="95">
      <c r="A95" s="124"/>
      <c r="B95" s="125" t="str">
        <f>HYPERLINK("https://uva.onlinejudge.org/index.php?option=com_onlinejudge&amp;Itemid=8&amp;page=show_problem&amp;problem=2122","UVa 11181")</f>
        <v>UVa 11181</v>
      </c>
      <c r="C95" s="95"/>
      <c r="D95" s="95"/>
      <c r="E95" s="95"/>
      <c r="F95" s="95"/>
      <c r="G95" s="95"/>
      <c r="H95" s="97"/>
      <c r="I95" s="39">
        <f t="shared" si="1"/>
        <v>0</v>
      </c>
      <c r="J95" s="49"/>
      <c r="K95" s="36"/>
      <c r="L95" s="95"/>
      <c r="M95" s="126" t="str">
        <f>HYPERLINK("https://github.com/MohamedNabil97/CompetitiveProgramming/blob/master/UVA/1181.cpp","Sol")</f>
        <v>Sol</v>
      </c>
    </row>
    <row r="96">
      <c r="A96" s="51"/>
      <c r="B96" s="51"/>
      <c r="C96" s="95"/>
      <c r="D96" s="95"/>
      <c r="E96" s="95"/>
      <c r="F96" s="95"/>
      <c r="G96" s="95"/>
      <c r="H96" s="97"/>
      <c r="I96" s="39">
        <f t="shared" si="1"/>
        <v>0</v>
      </c>
      <c r="J96" s="49"/>
      <c r="K96" s="36"/>
      <c r="L96" s="95"/>
      <c r="M96" s="51"/>
    </row>
    <row r="97">
      <c r="A97" s="105" t="s">
        <v>362</v>
      </c>
      <c r="B97" s="110" t="str">
        <f>HYPERLINK("http://codeforces.com/contest/344/problem/C","CF344-D2-C")</f>
        <v>CF344-D2-C</v>
      </c>
      <c r="C97" s="95"/>
      <c r="D97" s="95"/>
      <c r="E97" s="95"/>
      <c r="F97" s="95"/>
      <c r="G97" s="95"/>
      <c r="H97" s="97"/>
      <c r="I97" s="39">
        <f t="shared" si="1"/>
        <v>0</v>
      </c>
      <c r="J97" s="111"/>
      <c r="K97" s="112"/>
      <c r="L97" s="80"/>
      <c r="M97" s="51"/>
    </row>
    <row r="98">
      <c r="A98" s="105" t="s">
        <v>364</v>
      </c>
      <c r="B98" s="110" t="str">
        <f>HYPERLINK("http://codeforces.com/contest/462/problem/C","CF462-D2-C")</f>
        <v>CF462-D2-C</v>
      </c>
      <c r="C98" s="95"/>
      <c r="D98" s="95"/>
      <c r="E98" s="95"/>
      <c r="F98" s="95"/>
      <c r="G98" s="95"/>
      <c r="H98" s="97"/>
      <c r="I98" s="39">
        <f t="shared" si="1"/>
        <v>0</v>
      </c>
      <c r="J98" s="111"/>
      <c r="K98" s="112"/>
      <c r="L98" s="80"/>
      <c r="M98" s="126" t="str">
        <f>HYPERLINK("https://github.com/MedoN11/CompetitiveProgramming/blob/master/Atcoder/CF_462C.java","Sol")</f>
        <v>Sol</v>
      </c>
    </row>
    <row r="99">
      <c r="A99" s="92" t="s">
        <v>365</v>
      </c>
      <c r="B99" s="126" t="str">
        <f>HYPERLINK("http://codeforces.com/contest/275/problem/C","CF275-D2-C")</f>
        <v>CF275-D2-C</v>
      </c>
      <c r="C99" s="95"/>
      <c r="D99" s="95"/>
      <c r="E99" s="95"/>
      <c r="F99" s="95"/>
      <c r="G99" s="95"/>
      <c r="H99" s="97"/>
      <c r="I99" s="39">
        <f t="shared" si="1"/>
        <v>0</v>
      </c>
      <c r="J99" s="49"/>
      <c r="K99" s="36"/>
      <c r="L99" s="95"/>
      <c r="M99" s="120"/>
    </row>
    <row r="100">
      <c r="A100" s="105" t="s">
        <v>367</v>
      </c>
      <c r="B100" s="110" t="str">
        <f>HYPERLINK("http://codeforces.com/contest/454/problem/C","CF454-D2-C")</f>
        <v>CF454-D2-C</v>
      </c>
      <c r="C100" s="95"/>
      <c r="D100" s="95"/>
      <c r="E100" s="95"/>
      <c r="F100" s="95"/>
      <c r="G100" s="95"/>
      <c r="H100" s="97"/>
      <c r="I100" s="39">
        <f t="shared" si="1"/>
        <v>0</v>
      </c>
      <c r="J100" s="49"/>
      <c r="K100" s="36"/>
      <c r="L100" s="80"/>
      <c r="M100" s="16"/>
    </row>
    <row r="101">
      <c r="A101" s="92" t="s">
        <v>368</v>
      </c>
      <c r="B101" s="126" t="str">
        <f>HYPERLINK("http://codeforces.com/contest/456/problem/C","CF456-D2-C")</f>
        <v>CF456-D2-C</v>
      </c>
      <c r="C101" s="95"/>
      <c r="D101" s="95"/>
      <c r="E101" s="95"/>
      <c r="F101" s="95"/>
      <c r="G101" s="95"/>
      <c r="H101" s="97"/>
      <c r="I101" s="39">
        <f t="shared" si="1"/>
        <v>0</v>
      </c>
      <c r="J101" s="49"/>
      <c r="K101" s="36"/>
      <c r="L101" s="95"/>
      <c r="M101" s="161"/>
    </row>
    <row r="102">
      <c r="A102" s="92" t="s">
        <v>370</v>
      </c>
      <c r="B102" s="126" t="str">
        <f>HYPERLINK("http://codeforces.com/contest/168/problem/C","CF168-D2-C")</f>
        <v>CF168-D2-C</v>
      </c>
      <c r="C102" s="95"/>
      <c r="D102" s="95"/>
      <c r="E102" s="95"/>
      <c r="F102" s="95"/>
      <c r="G102" s="95"/>
      <c r="H102" s="97"/>
      <c r="I102" s="39">
        <f t="shared" si="1"/>
        <v>0</v>
      </c>
      <c r="J102" s="49"/>
      <c r="K102" s="36"/>
      <c r="L102" s="95"/>
      <c r="M102" s="161"/>
    </row>
    <row r="103">
      <c r="A103" s="92" t="s">
        <v>373</v>
      </c>
      <c r="B103" s="126" t="str">
        <f>HYPERLINK("http://codeforces.com/contest/518/problem/C","CF518-D2-C")</f>
        <v>CF518-D2-C</v>
      </c>
      <c r="C103" s="95"/>
      <c r="D103" s="95"/>
      <c r="E103" s="95"/>
      <c r="F103" s="95"/>
      <c r="G103" s="95"/>
      <c r="H103" s="97"/>
      <c r="I103" s="39">
        <f t="shared" si="1"/>
        <v>0</v>
      </c>
      <c r="J103" s="49"/>
      <c r="K103" s="36"/>
      <c r="L103" s="95"/>
      <c r="M103" s="51"/>
    </row>
    <row r="104">
      <c r="A104" s="105" t="s">
        <v>376</v>
      </c>
      <c r="B104" s="110" t="str">
        <f>HYPERLINK("http://codeforces.com/contest/534/problem/C","CF534-D2-C")</f>
        <v>CF534-D2-C</v>
      </c>
      <c r="C104" s="95"/>
      <c r="D104" s="95"/>
      <c r="E104" s="95"/>
      <c r="F104" s="95"/>
      <c r="G104" s="95"/>
      <c r="H104" s="97"/>
      <c r="I104" s="39">
        <f t="shared" si="1"/>
        <v>0</v>
      </c>
      <c r="J104" s="49"/>
      <c r="K104" s="36"/>
      <c r="L104" s="80"/>
      <c r="M104" s="16"/>
    </row>
    <row r="105">
      <c r="A105" s="137" t="s">
        <v>377</v>
      </c>
      <c r="B105" s="78" t="str">
        <f>HYPERLINK("http://codeforces.com/contest/631/problem/B","CF631-D2-B")</f>
        <v>CF631-D2-B</v>
      </c>
      <c r="C105" s="95"/>
      <c r="D105" s="95"/>
      <c r="E105" s="95"/>
      <c r="F105" s="95"/>
      <c r="G105" s="95"/>
      <c r="H105" s="97"/>
      <c r="I105" s="39">
        <f t="shared" si="1"/>
        <v>0</v>
      </c>
      <c r="J105" s="49"/>
      <c r="K105" s="36"/>
      <c r="L105" s="80"/>
      <c r="M105" s="16"/>
    </row>
    <row r="106">
      <c r="A106" s="137" t="s">
        <v>380</v>
      </c>
      <c r="B106" s="78" t="str">
        <f>HYPERLINK("http://codeforces.com/contest/257/problem/B","CF257-D2-B")</f>
        <v>CF257-D2-B</v>
      </c>
      <c r="C106" s="95"/>
      <c r="D106" s="95"/>
      <c r="E106" s="95"/>
      <c r="F106" s="95"/>
      <c r="G106" s="95"/>
      <c r="H106" s="97"/>
      <c r="I106" s="39">
        <f t="shared" si="1"/>
        <v>0</v>
      </c>
      <c r="J106" s="49"/>
      <c r="K106" s="36"/>
      <c r="L106" s="80"/>
      <c r="M106" s="16"/>
    </row>
    <row r="107">
      <c r="A107" s="137" t="s">
        <v>384</v>
      </c>
      <c r="B107" s="78" t="str">
        <f>HYPERLINK("http://codeforces.com/contest/230/problem/B","CF230-D2-B")</f>
        <v>CF230-D2-B</v>
      </c>
      <c r="C107" s="95"/>
      <c r="D107" s="95"/>
      <c r="E107" s="95"/>
      <c r="F107" s="95"/>
      <c r="G107" s="95"/>
      <c r="H107" s="97"/>
      <c r="I107" s="39">
        <f t="shared" si="1"/>
        <v>0</v>
      </c>
      <c r="J107" s="49"/>
      <c r="K107" s="36"/>
      <c r="L107" s="80"/>
      <c r="M107" s="16"/>
    </row>
    <row r="108">
      <c r="A108" s="159"/>
      <c r="B108" s="168"/>
      <c r="C108" s="95"/>
      <c r="D108" s="95"/>
      <c r="E108" s="95"/>
      <c r="F108" s="95"/>
      <c r="G108" s="95"/>
      <c r="H108" s="97"/>
      <c r="I108" s="39">
        <f t="shared" si="1"/>
        <v>0</v>
      </c>
      <c r="J108" s="49"/>
      <c r="K108" s="36"/>
      <c r="L108" s="95"/>
      <c r="M108" s="115" t="str">
        <f>HYPERLINK("https://www.youtube.com/watch?v=b4AC2jGNGEM","Watch - DP - Nested Ranges Style")</f>
        <v>Watch - DP - Nested Ranges Style</v>
      </c>
    </row>
    <row r="109">
      <c r="A109" s="159"/>
      <c r="B109" s="168"/>
      <c r="C109" s="95"/>
      <c r="D109" s="95"/>
      <c r="E109" s="95"/>
      <c r="F109" s="95"/>
      <c r="G109" s="95"/>
      <c r="H109" s="97"/>
      <c r="I109" s="39">
        <f t="shared" si="1"/>
        <v>0</v>
      </c>
      <c r="J109" s="49"/>
      <c r="K109" s="36"/>
      <c r="L109" s="95"/>
      <c r="M109" s="116" t="str">
        <f>HYPERLINK("https://www.youtube.com/watch?v=pJbeTrSKl3Y","Watch - DP - General Ranges Style")</f>
        <v>Watch - DP - General Ranges Style</v>
      </c>
    </row>
    <row r="110">
      <c r="A110" s="117" t="s">
        <v>392</v>
      </c>
      <c r="B110" s="118" t="str">
        <f>HYPERLINK("https://uva.onlinejudge.org/index.php?option=com_onlinejudge&amp;Itemid=8&amp;page=show_problem&amp;problem=1680","UVA 10739")</f>
        <v>UVA 10739</v>
      </c>
      <c r="C110" s="95"/>
      <c r="D110" s="95"/>
      <c r="E110" s="95"/>
      <c r="F110" s="95"/>
      <c r="G110" s="95"/>
      <c r="H110" s="97"/>
      <c r="I110" s="39">
        <f t="shared" si="1"/>
        <v>0</v>
      </c>
      <c r="J110" s="49"/>
      <c r="K110" s="36"/>
      <c r="L110" s="95"/>
      <c r="M110" s="190" t="s">
        <v>341</v>
      </c>
    </row>
    <row r="111">
      <c r="A111" s="117" t="s">
        <v>396</v>
      </c>
      <c r="B111" s="118" t="str">
        <f>HYPERLINK("https://uva.onlinejudge.org/index.php?option=com_onlinejudge&amp;Itemid=8&amp;page=show_problem&amp;problem=2853","UVA 11753")</f>
        <v>UVA 11753</v>
      </c>
      <c r="C111" s="95"/>
      <c r="D111" s="95"/>
      <c r="E111" s="95"/>
      <c r="F111" s="95"/>
      <c r="G111" s="95"/>
      <c r="H111" s="97"/>
      <c r="I111" s="39">
        <f t="shared" si="1"/>
        <v>0</v>
      </c>
      <c r="J111" s="49"/>
      <c r="K111" s="36"/>
      <c r="L111" s="95"/>
      <c r="M111" s="123" t="str">
        <f>HYPERLINK("https://www.youtube.com/watch?v=1fP2Rl0-rWk","Video Solution - Eng Aya Elymany")</f>
        <v>Video Solution - Eng Aya Elymany</v>
      </c>
    </row>
    <row r="112">
      <c r="A112" s="117" t="s">
        <v>400</v>
      </c>
      <c r="B112" s="118" t="str">
        <f>HYPERLINK("https://uva.onlinejudge.org/index.php?option=com_onlinejudge&amp;Itemid=8&amp;page=show_problem&amp;problem=1558","UVA 10617")</f>
        <v>UVA 10617</v>
      </c>
      <c r="C112" s="95"/>
      <c r="D112" s="95"/>
      <c r="E112" s="95"/>
      <c r="F112" s="95"/>
      <c r="G112" s="95"/>
      <c r="H112" s="97"/>
      <c r="I112" s="39">
        <f t="shared" si="1"/>
        <v>0</v>
      </c>
      <c r="J112" s="49"/>
      <c r="K112" s="36"/>
      <c r="L112" s="80"/>
      <c r="M112" s="83" t="str">
        <f>HYPERLINK("https://github.com/magdy-hasan/competitive-programming/blob/master/uva-/uva%2010617%20-%20Again%20Palindrome.cpp","Sol to read")</f>
        <v>Sol to read</v>
      </c>
    </row>
    <row r="113">
      <c r="A113" s="117" t="s">
        <v>403</v>
      </c>
      <c r="B113" s="118" t="str">
        <f>HYPERLINK("https://uva.onlinejudge.org/index.php?option=com_onlinejudge&amp;Itemid=8&amp;page=show_problem&amp;problem=4108","UVA 1362")</f>
        <v>UVA 1362</v>
      </c>
      <c r="C113" s="95"/>
      <c r="D113" s="95"/>
      <c r="E113" s="95"/>
      <c r="F113" s="95"/>
      <c r="G113" s="95"/>
      <c r="H113" s="97"/>
      <c r="I113" s="39">
        <f t="shared" si="1"/>
        <v>0</v>
      </c>
      <c r="J113" s="49"/>
      <c r="K113" s="36"/>
      <c r="L113" s="95"/>
      <c r="M113" s="123" t="str">
        <f>HYPERLINK("https://www.youtube.com/watch?v=NTxsccxXCW0","Video Solution - Eng Ayman Salah")</f>
        <v>Video Solution - Eng Ayman Salah</v>
      </c>
    </row>
    <row r="114">
      <c r="A114" s="117" t="s">
        <v>405</v>
      </c>
      <c r="B114" s="118" t="str">
        <f>HYPERLINK("https://uva.onlinejudge.org/index.php?option=com_onlinejudge&amp;Itemid=8&amp;page=show_problem&amp;problem=944","UVA 10003")</f>
        <v>UVA 10003</v>
      </c>
      <c r="C114" s="95"/>
      <c r="D114" s="95"/>
      <c r="E114" s="95"/>
      <c r="F114" s="95"/>
      <c r="G114" s="95"/>
      <c r="H114" s="97"/>
      <c r="I114" s="39">
        <f t="shared" si="1"/>
        <v>0</v>
      </c>
      <c r="J114" s="49"/>
      <c r="K114" s="36"/>
      <c r="L114" s="80"/>
      <c r="M114" s="16"/>
    </row>
    <row r="115">
      <c r="A115" s="124" t="s">
        <v>407</v>
      </c>
      <c r="B115" s="125" t="str">
        <f>HYPERLINK("https://uva.onlinejudge.org/index.php?option=onlinejudge&amp;page=show_problem&amp;problem=1760","UVA 10819")</f>
        <v>UVA 10819</v>
      </c>
      <c r="C115" s="95"/>
      <c r="D115" s="95"/>
      <c r="E115" s="95"/>
      <c r="F115" s="95"/>
      <c r="G115" s="95"/>
      <c r="H115" s="97"/>
      <c r="I115" s="39">
        <f t="shared" si="1"/>
        <v>0</v>
      </c>
      <c r="J115" s="49"/>
      <c r="K115" s="36"/>
      <c r="L115" s="95"/>
      <c r="M115" s="120"/>
    </row>
    <row r="116">
      <c r="A116" s="124" t="s">
        <v>409</v>
      </c>
      <c r="B116" s="125" t="str">
        <f>HYPERLINK("https://uva.onlinejudge.org/index.php?option=com_onlinejudge&amp;Itemid=8&amp;page=show_problem&amp;problem=284","UVA 348")</f>
        <v>UVA 348</v>
      </c>
      <c r="C116" s="95"/>
      <c r="D116" s="95"/>
      <c r="E116" s="95"/>
      <c r="F116" s="95"/>
      <c r="G116" s="95"/>
      <c r="H116" s="97"/>
      <c r="I116" s="39">
        <f t="shared" si="1"/>
        <v>0</v>
      </c>
      <c r="J116" s="49"/>
      <c r="K116" s="36"/>
      <c r="L116" s="95"/>
      <c r="M116" s="126" t="str">
        <f>HYPERLINK("https://github.com/mostafa-saad/MyCompetitiveProgramming/blob/master/UVA/UVA_348.txt","Sol")</f>
        <v>Sol</v>
      </c>
    </row>
    <row r="117">
      <c r="A117" s="124" t="s">
        <v>413</v>
      </c>
      <c r="B117" s="125" t="str">
        <f>HYPERLINK("https://uva.onlinejudge.org/index.php?option=onlinejudge&amp;page=show_problem&amp;problem=63","UVA 127")</f>
        <v>UVA 127</v>
      </c>
      <c r="C117" s="95"/>
      <c r="D117" s="95"/>
      <c r="E117" s="95"/>
      <c r="F117" s="95"/>
      <c r="G117" s="95"/>
      <c r="H117" s="97"/>
      <c r="I117" s="39">
        <f t="shared" si="1"/>
        <v>0</v>
      </c>
      <c r="J117" s="49"/>
      <c r="K117" s="36"/>
      <c r="L117" s="95"/>
      <c r="M117" s="123" t="str">
        <f>HYPERLINK("https://www.youtube.com/watch?v=fSZRRUPm0ro&amp;feature=youtu.be","Video Solution - Eng Moaz Rashad")</f>
        <v>Video Solution - Eng Moaz Rashad</v>
      </c>
    </row>
    <row r="118">
      <c r="A118" s="124" t="s">
        <v>417</v>
      </c>
      <c r="B118" s="125" t="str">
        <f>HYPERLINK("https://uva.onlinejudge.org/index.php?option=com_onlinejudge&amp;Itemid=8&amp;page=show_problem&amp;problem=64","UVA 128")</f>
        <v>UVA 128</v>
      </c>
      <c r="C118" s="95"/>
      <c r="D118" s="95"/>
      <c r="E118" s="95"/>
      <c r="F118" s="95"/>
      <c r="G118" s="95"/>
      <c r="H118" s="97"/>
      <c r="I118" s="39">
        <f t="shared" si="1"/>
        <v>0</v>
      </c>
      <c r="J118" s="49"/>
      <c r="K118" s="36"/>
      <c r="L118" s="95"/>
      <c r="M118" s="123" t="str">
        <f>HYPERLINK("https://www.youtube.com/watch?v=ifTqIif9WJg","Video Solution - Eng Moaz Rashad")</f>
        <v>Video Solution - Eng Moaz Rashad</v>
      </c>
    </row>
    <row r="119">
      <c r="A119" s="124"/>
      <c r="B119" s="124" t="s">
        <v>418</v>
      </c>
      <c r="C119" s="95"/>
      <c r="D119" s="95"/>
      <c r="E119" s="95"/>
      <c r="F119" s="95"/>
      <c r="G119" s="95"/>
      <c r="H119" s="97"/>
      <c r="I119" s="39">
        <f t="shared" si="1"/>
        <v>0</v>
      </c>
      <c r="J119" s="49"/>
      <c r="K119" s="36"/>
      <c r="L119" s="95"/>
      <c r="M119" s="123"/>
    </row>
    <row r="120">
      <c r="A120" s="51"/>
      <c r="B120" s="51"/>
      <c r="C120" s="95"/>
      <c r="D120" s="95"/>
      <c r="E120" s="95"/>
      <c r="F120" s="95"/>
      <c r="G120" s="95"/>
      <c r="H120" s="97"/>
      <c r="I120" s="39">
        <f t="shared" si="1"/>
        <v>0</v>
      </c>
      <c r="J120" s="49"/>
      <c r="K120" s="36"/>
      <c r="L120" s="95"/>
      <c r="M120" s="168"/>
    </row>
    <row r="121">
      <c r="A121" s="92" t="s">
        <v>422</v>
      </c>
      <c r="B121" s="126" t="str">
        <f>HYPERLINK("http://codeforces.com/contest/378/problem/C","CF378-D2-C")</f>
        <v>CF378-D2-C</v>
      </c>
      <c r="C121" s="95"/>
      <c r="D121" s="95"/>
      <c r="E121" s="95"/>
      <c r="F121" s="95"/>
      <c r="G121" s="95"/>
      <c r="H121" s="97"/>
      <c r="I121" s="39">
        <f t="shared" si="1"/>
        <v>0</v>
      </c>
      <c r="J121" s="49"/>
      <c r="K121" s="36"/>
      <c r="L121" s="95"/>
      <c r="M121" s="120"/>
    </row>
    <row r="122">
      <c r="A122" s="92" t="s">
        <v>424</v>
      </c>
      <c r="B122" s="126" t="str">
        <f>HYPERLINK("http://codeforces.com/contest/705/problem/C","CF705-D2-C")</f>
        <v>CF705-D2-C</v>
      </c>
      <c r="C122" s="95"/>
      <c r="D122" s="95"/>
      <c r="E122" s="95"/>
      <c r="F122" s="95"/>
      <c r="G122" s="95"/>
      <c r="H122" s="97"/>
      <c r="I122" s="39">
        <f t="shared" si="1"/>
        <v>0</v>
      </c>
      <c r="J122" s="49"/>
      <c r="K122" s="36"/>
      <c r="L122" s="95"/>
      <c r="M122" s="51"/>
    </row>
    <row r="123">
      <c r="A123" s="92" t="s">
        <v>427</v>
      </c>
      <c r="B123" s="126" t="str">
        <f>HYPERLINK("http://codeforces.com/contest/706/problem/C","CF706-D2-C")</f>
        <v>CF706-D2-C</v>
      </c>
      <c r="C123" s="95"/>
      <c r="D123" s="95"/>
      <c r="E123" s="95"/>
      <c r="F123" s="95"/>
      <c r="G123" s="95"/>
      <c r="H123" s="97"/>
      <c r="I123" s="39">
        <f t="shared" si="1"/>
        <v>0</v>
      </c>
      <c r="J123" s="49"/>
      <c r="K123" s="36"/>
      <c r="L123" s="95"/>
      <c r="M123" s="51"/>
    </row>
    <row r="124">
      <c r="A124" s="92" t="s">
        <v>429</v>
      </c>
      <c r="B124" s="126" t="str">
        <f>HYPERLINK("http://codeforces.com/contest/405/problem/C","CF405-D2-C")</f>
        <v>CF405-D2-C</v>
      </c>
      <c r="C124" s="95"/>
      <c r="D124" s="95"/>
      <c r="E124" s="95"/>
      <c r="F124" s="95"/>
      <c r="G124" s="95"/>
      <c r="H124" s="97"/>
      <c r="I124" s="39">
        <f t="shared" si="1"/>
        <v>0</v>
      </c>
      <c r="J124" s="49"/>
      <c r="K124" s="36"/>
      <c r="L124" s="95"/>
      <c r="M124" s="51"/>
    </row>
    <row r="125">
      <c r="A125" s="92" t="s">
        <v>430</v>
      </c>
      <c r="B125" s="126" t="str">
        <f>HYPERLINK("http://codeforces.com/contest/486/problem/C","CF486-D2-C")</f>
        <v>CF486-D2-C</v>
      </c>
      <c r="C125" s="95"/>
      <c r="D125" s="95"/>
      <c r="E125" s="95"/>
      <c r="F125" s="95"/>
      <c r="G125" s="95"/>
      <c r="H125" s="97"/>
      <c r="I125" s="39">
        <f t="shared" si="1"/>
        <v>0</v>
      </c>
      <c r="J125" s="49"/>
      <c r="K125" s="36"/>
      <c r="L125" s="95"/>
      <c r="M125" s="51"/>
    </row>
    <row r="126">
      <c r="A126" s="92" t="s">
        <v>431</v>
      </c>
      <c r="B126" s="126" t="str">
        <f>HYPERLINK("http://codeforces.com/contest/608/problem/C","CF608-D2-C")</f>
        <v>CF608-D2-C</v>
      </c>
      <c r="C126" s="95"/>
      <c r="D126" s="95"/>
      <c r="E126" s="95"/>
      <c r="F126" s="95"/>
      <c r="G126" s="95"/>
      <c r="H126" s="97"/>
      <c r="I126" s="39">
        <f t="shared" si="1"/>
        <v>0</v>
      </c>
      <c r="J126" s="49"/>
      <c r="K126" s="36"/>
      <c r="L126" s="95"/>
      <c r="M126" s="120"/>
    </row>
    <row r="127">
      <c r="A127" s="105" t="s">
        <v>434</v>
      </c>
      <c r="B127" s="110" t="str">
        <f>HYPERLINK("http://codeforces.com/contest/496/problem/C","CF496-D2-C")</f>
        <v>CF496-D2-C</v>
      </c>
      <c r="C127" s="95"/>
      <c r="D127" s="95"/>
      <c r="E127" s="95"/>
      <c r="F127" s="95"/>
      <c r="G127" s="95"/>
      <c r="H127" s="97"/>
      <c r="I127" s="39">
        <f t="shared" si="1"/>
        <v>0</v>
      </c>
      <c r="J127" s="49"/>
      <c r="K127" s="36"/>
      <c r="L127" s="80"/>
      <c r="M127" s="158" t="str">
        <f>HYPERLINK("https://www.youtube.com/watch?v=skSCRsMLPMI","Video Solution - Eng Mostafa Saad")</f>
        <v>Video Solution - Eng Mostafa Saad</v>
      </c>
    </row>
    <row r="128">
      <c r="A128" s="105" t="s">
        <v>436</v>
      </c>
      <c r="B128" s="110" t="str">
        <f>HYPERLINK("http://codeforces.com/contest/499/problem/C","CF499-D2-C")</f>
        <v>CF499-D2-C</v>
      </c>
      <c r="C128" s="95"/>
      <c r="D128" s="95"/>
      <c r="E128" s="95"/>
      <c r="F128" s="95"/>
      <c r="G128" s="95"/>
      <c r="H128" s="97"/>
      <c r="I128" s="39">
        <f t="shared" si="1"/>
        <v>0</v>
      </c>
      <c r="J128" s="111"/>
      <c r="K128" s="112"/>
      <c r="L128" s="80"/>
      <c r="M128" s="168" t="str">
        <f>HYPERLINK("https://www.youtube.com/watch?v=xwaGi6lx6Fg","Video Solution - Eng Mostafa Saad")</f>
        <v>Video Solution - Eng Mostafa Saad</v>
      </c>
    </row>
    <row r="129">
      <c r="A129" s="137" t="s">
        <v>389</v>
      </c>
      <c r="B129" s="78" t="str">
        <f>HYPERLINK("http://codeforces.com/contest/490/problem/B","CF490-D2-B")</f>
        <v>CF490-D2-B</v>
      </c>
      <c r="C129" s="95"/>
      <c r="D129" s="95"/>
      <c r="E129" s="95"/>
      <c r="F129" s="95"/>
      <c r="G129" s="95"/>
      <c r="H129" s="97"/>
      <c r="I129" s="39">
        <f t="shared" si="1"/>
        <v>0</v>
      </c>
      <c r="J129" s="111"/>
      <c r="K129" s="112"/>
      <c r="L129" s="80"/>
      <c r="M129" s="168"/>
    </row>
    <row r="130">
      <c r="A130" s="137" t="s">
        <v>442</v>
      </c>
      <c r="B130" s="78" t="str">
        <f>HYPERLINK("http://codeforces.com/contest/610/problem/B","CF610-D2-B")</f>
        <v>CF610-D2-B</v>
      </c>
      <c r="C130" s="95"/>
      <c r="D130" s="95"/>
      <c r="E130" s="95"/>
      <c r="F130" s="95"/>
      <c r="G130" s="95"/>
      <c r="H130" s="97"/>
      <c r="I130" s="39">
        <f t="shared" si="1"/>
        <v>0</v>
      </c>
      <c r="J130" s="111"/>
      <c r="K130" s="112"/>
      <c r="L130" s="80"/>
      <c r="M130" s="168"/>
    </row>
    <row r="131">
      <c r="A131" s="137" t="s">
        <v>445</v>
      </c>
      <c r="B131" s="78" t="str">
        <f>HYPERLINK("http://codeforces.com/contest/222/problem/B","CF222-D2-B")</f>
        <v>CF222-D2-B</v>
      </c>
      <c r="C131" s="95"/>
      <c r="D131" s="95"/>
      <c r="E131" s="95"/>
      <c r="F131" s="95"/>
      <c r="G131" s="95"/>
      <c r="H131" s="97"/>
      <c r="I131" s="39">
        <f t="shared" si="1"/>
        <v>0</v>
      </c>
      <c r="J131" s="111"/>
      <c r="K131" s="112"/>
      <c r="L131" s="80"/>
      <c r="M131" s="168"/>
    </row>
    <row r="132">
      <c r="A132" s="51"/>
      <c r="B132" s="51"/>
      <c r="C132" s="95"/>
      <c r="D132" s="95"/>
      <c r="E132" s="95"/>
      <c r="F132" s="95"/>
      <c r="G132" s="95"/>
      <c r="H132" s="97"/>
      <c r="I132" s="39">
        <f t="shared" si="1"/>
        <v>0</v>
      </c>
      <c r="J132" s="49"/>
      <c r="K132" s="36"/>
      <c r="L132" s="95"/>
      <c r="M132" s="116" t="str">
        <f>HYPERLINK("https://www.youtube.com/watch?v=5zILiqyQ2ts","Watch - Thinking - Incrementally")</f>
        <v>Watch - Thinking - Incrementally</v>
      </c>
    </row>
    <row r="133">
      <c r="A133" s="51"/>
      <c r="B133" s="51"/>
      <c r="C133" s="95"/>
      <c r="D133" s="95"/>
      <c r="E133" s="95"/>
      <c r="F133" s="95"/>
      <c r="G133" s="95"/>
      <c r="H133" s="97"/>
      <c r="I133" s="39">
        <f t="shared" si="1"/>
        <v>0</v>
      </c>
      <c r="J133" s="49"/>
      <c r="K133" s="36"/>
      <c r="L133" s="95"/>
      <c r="M133" s="116" t="str">
        <f>HYPERLINK("https://www.youtube.com/watch?v=9fwHOeebIgc","Watch - Thinking - Problem Domain re-interpretation")</f>
        <v>Watch - Thinking - Problem Domain re-interpretation</v>
      </c>
    </row>
    <row r="134">
      <c r="A134" s="51"/>
      <c r="B134" s="51"/>
      <c r="C134" s="95"/>
      <c r="D134" s="95"/>
      <c r="E134" s="95"/>
      <c r="F134" s="95"/>
      <c r="G134" s="95"/>
      <c r="H134" s="97"/>
      <c r="I134" s="39">
        <f t="shared" si="1"/>
        <v>0</v>
      </c>
      <c r="J134" s="49"/>
      <c r="K134" s="36"/>
      <c r="L134" s="95"/>
      <c r="M134" s="116" t="str">
        <f>HYPERLINK("https://www.youtube.com/watch?v=-5ApOQDhBtU","Watch - Number Theory - Factorization")</f>
        <v>Watch - Number Theory - Factorization</v>
      </c>
    </row>
    <row r="135">
      <c r="A135" s="117" t="s">
        <v>450</v>
      </c>
      <c r="B135" s="118" t="str">
        <f>HYPERLINK("https://uva.onlinejudge.org/index.php?option=com_onlinejudge&amp;Itemid=8&amp;page=show_problem&amp;problem=524","UVA 583")</f>
        <v>UVA 583</v>
      </c>
      <c r="C135" s="95"/>
      <c r="D135" s="95"/>
      <c r="E135" s="95"/>
      <c r="F135" s="95"/>
      <c r="G135" s="95"/>
      <c r="H135" s="97"/>
      <c r="I135" s="39">
        <f t="shared" si="1"/>
        <v>0</v>
      </c>
      <c r="J135" s="49"/>
      <c r="K135" s="36"/>
      <c r="L135" s="95"/>
      <c r="M135" s="51"/>
    </row>
    <row r="136">
      <c r="A136" s="117" t="s">
        <v>453</v>
      </c>
      <c r="B136" s="118" t="str">
        <f>HYPERLINK("https://uva.onlinejudge.org/index.php?option=com_onlinejudge&amp;Itemid=8&amp;page=show_problem&amp;problem=1640","UVA 10699")</f>
        <v>UVA 10699</v>
      </c>
      <c r="C136" s="95"/>
      <c r="D136" s="95"/>
      <c r="E136" s="95"/>
      <c r="F136" s="95"/>
      <c r="G136" s="95"/>
      <c r="H136" s="97"/>
      <c r="I136" s="39">
        <f t="shared" si="1"/>
        <v>0</v>
      </c>
      <c r="J136" s="49"/>
      <c r="K136" s="36"/>
      <c r="L136" s="95"/>
      <c r="M136" s="51"/>
    </row>
    <row r="137">
      <c r="A137" s="117" t="s">
        <v>454</v>
      </c>
      <c r="B137" s="118" t="str">
        <f>HYPERLINK("https://uva.onlinejudge.org/index.php?option=com_onlinejudge&amp;Itemid=8&amp;page=show_problem&amp;problem=318","UVA 382")</f>
        <v>UVA 382</v>
      </c>
      <c r="C137" s="95"/>
      <c r="D137" s="95"/>
      <c r="E137" s="95"/>
      <c r="F137" s="95"/>
      <c r="G137" s="95"/>
      <c r="H137" s="97"/>
      <c r="I137" s="39">
        <f t="shared" si="1"/>
        <v>0</v>
      </c>
      <c r="J137" s="49"/>
      <c r="K137" s="36"/>
      <c r="L137" s="95"/>
      <c r="M137" s="51"/>
    </row>
    <row r="138">
      <c r="A138" s="117" t="s">
        <v>456</v>
      </c>
      <c r="B138" s="118" t="str">
        <f>HYPERLINK("https://uva.onlinejudge.org/index.php?option=com_onlinejudge&amp;Itemid=8&amp;page=show_problem&amp;problem=1431","UVA 10490")</f>
        <v>UVA 10490</v>
      </c>
      <c r="C138" s="95"/>
      <c r="D138" s="95"/>
      <c r="E138" s="95"/>
      <c r="F138" s="95"/>
      <c r="G138" s="95"/>
      <c r="H138" s="97"/>
      <c r="I138" s="39">
        <f t="shared" si="1"/>
        <v>0</v>
      </c>
      <c r="J138" s="49"/>
      <c r="K138" s="36"/>
      <c r="L138" s="95"/>
      <c r="M138" s="65" t="str">
        <f>HYPERLINK("https://github.com/MohamedNabil97/CompetitiveProgramming/blob/master/UVA/10490.cpp","Sol to read")</f>
        <v>Sol to read</v>
      </c>
    </row>
    <row r="139">
      <c r="A139" s="117" t="s">
        <v>459</v>
      </c>
      <c r="B139" s="118" t="str">
        <f>HYPERLINK("https://uva.onlinejudge.org/index.php?option=onlinejudge&amp;page=show_problem&amp;problem=1563","UVA 10622")</f>
        <v>UVA 10622</v>
      </c>
      <c r="C139" s="95"/>
      <c r="D139" s="95"/>
      <c r="E139" s="95"/>
      <c r="F139" s="95"/>
      <c r="G139" s="95"/>
      <c r="H139" s="97"/>
      <c r="I139" s="39">
        <f t="shared" si="1"/>
        <v>0</v>
      </c>
      <c r="J139" s="49"/>
      <c r="K139" s="36"/>
      <c r="L139" s="95"/>
      <c r="M139" s="123" t="str">
        <f>HYPERLINK("https://www.youtube.com/watch?v=sRZgiQc5x7U","Video Solution - Eng Moaz Rashad")</f>
        <v>Video Solution - Eng Moaz Rashad</v>
      </c>
    </row>
    <row r="140">
      <c r="A140" s="117" t="s">
        <v>462</v>
      </c>
      <c r="B140" s="118" t="str">
        <f>HYPERLINK("https://uva.onlinejudge.org/index.php?option=com_onlinejudge&amp;Itemid=8&amp;page=show_problem&amp;problem=1820","UVA 10879")</f>
        <v>UVA 10879</v>
      </c>
      <c r="C140" s="95"/>
      <c r="D140" s="95"/>
      <c r="E140" s="95"/>
      <c r="F140" s="95"/>
      <c r="G140" s="95"/>
      <c r="H140" s="97"/>
      <c r="I140" s="39">
        <f t="shared" si="1"/>
        <v>0</v>
      </c>
      <c r="J140" s="49"/>
      <c r="K140" s="36"/>
      <c r="L140" s="95"/>
      <c r="M140" s="51"/>
    </row>
    <row r="141">
      <c r="A141" s="117" t="s">
        <v>464</v>
      </c>
      <c r="B141" s="118" t="str">
        <f>HYPERLINK("https://uva.onlinejudge.org/index.php?option=com_onlinejudge&amp;Itemid=8&amp;page=show_problem&amp;problem=457","UVA 516")</f>
        <v>UVA 516</v>
      </c>
      <c r="C141" s="95"/>
      <c r="D141" s="95"/>
      <c r="E141" s="95"/>
      <c r="F141" s="95"/>
      <c r="G141" s="95"/>
      <c r="H141" s="97"/>
      <c r="I141" s="39">
        <f t="shared" si="1"/>
        <v>0</v>
      </c>
      <c r="J141" s="49"/>
      <c r="K141" s="36"/>
      <c r="L141" s="95"/>
      <c r="M141" s="51"/>
    </row>
    <row r="142">
      <c r="A142" s="124"/>
      <c r="B142" s="124" t="s">
        <v>467</v>
      </c>
      <c r="C142" s="95"/>
      <c r="D142" s="95"/>
      <c r="E142" s="95"/>
      <c r="F142" s="95"/>
      <c r="G142" s="95"/>
      <c r="H142" s="97"/>
      <c r="I142" s="39">
        <f t="shared" si="1"/>
        <v>0</v>
      </c>
      <c r="J142" s="49"/>
      <c r="K142" s="36"/>
      <c r="L142" s="95"/>
      <c r="M142" s="206"/>
    </row>
    <row r="143">
      <c r="A143" s="124"/>
      <c r="B143" s="124" t="s">
        <v>470</v>
      </c>
      <c r="C143" s="95"/>
      <c r="D143" s="95"/>
      <c r="E143" s="95"/>
      <c r="F143" s="95"/>
      <c r="G143" s="95"/>
      <c r="H143" s="97"/>
      <c r="I143" s="39">
        <f t="shared" si="1"/>
        <v>0</v>
      </c>
      <c r="J143" s="49"/>
      <c r="K143" s="36"/>
      <c r="L143" s="95"/>
      <c r="M143" s="206"/>
    </row>
    <row r="144">
      <c r="A144" s="51"/>
      <c r="B144" s="51"/>
      <c r="C144" s="95"/>
      <c r="D144" s="95"/>
      <c r="E144" s="95"/>
      <c r="F144" s="95"/>
      <c r="G144" s="95"/>
      <c r="H144" s="97"/>
      <c r="I144" s="39">
        <f t="shared" si="1"/>
        <v>0</v>
      </c>
      <c r="J144" s="49"/>
      <c r="K144" s="36"/>
      <c r="L144" s="95"/>
      <c r="M144" s="206"/>
    </row>
    <row r="145">
      <c r="A145" s="92" t="s">
        <v>473</v>
      </c>
      <c r="B145" s="126" t="str">
        <f>HYPERLINK("http://codeforces.com/contest/253/problem/C","CF253-D2-C")</f>
        <v>CF253-D2-C</v>
      </c>
      <c r="C145" s="95"/>
      <c r="D145" s="95"/>
      <c r="E145" s="95"/>
      <c r="F145" s="95"/>
      <c r="G145" s="95"/>
      <c r="H145" s="97"/>
      <c r="I145" s="39">
        <f t="shared" si="1"/>
        <v>0</v>
      </c>
      <c r="J145" s="49"/>
      <c r="K145" s="36"/>
      <c r="L145" s="95"/>
      <c r="M145" s="120"/>
    </row>
    <row r="146">
      <c r="A146" s="92" t="s">
        <v>476</v>
      </c>
      <c r="B146" s="126" t="str">
        <f>HYPERLINK("http://codeforces.com/contest/604/problem/C","CF604-D2-C")</f>
        <v>CF604-D2-C</v>
      </c>
      <c r="C146" s="95"/>
      <c r="D146" s="95"/>
      <c r="E146" s="95"/>
      <c r="F146" s="95"/>
      <c r="G146" s="95"/>
      <c r="H146" s="97"/>
      <c r="I146" s="39">
        <f t="shared" si="1"/>
        <v>0</v>
      </c>
      <c r="J146" s="49"/>
      <c r="K146" s="36"/>
      <c r="L146" s="95"/>
      <c r="M146" s="105"/>
    </row>
    <row r="147">
      <c r="A147" s="92" t="s">
        <v>479</v>
      </c>
      <c r="B147" s="126" t="str">
        <f>HYPERLINK("http://codeforces.com/contest/735/problem/C","CF735-D2-C")</f>
        <v>CF735-D2-C</v>
      </c>
      <c r="C147" s="95"/>
      <c r="D147" s="95"/>
      <c r="E147" s="95"/>
      <c r="F147" s="95"/>
      <c r="G147" s="95"/>
      <c r="H147" s="97"/>
      <c r="I147" s="39">
        <f t="shared" si="1"/>
        <v>0</v>
      </c>
      <c r="J147" s="49"/>
      <c r="K147" s="36"/>
      <c r="L147" s="95"/>
      <c r="M147" s="120"/>
    </row>
    <row r="148">
      <c r="A148" s="92" t="s">
        <v>482</v>
      </c>
      <c r="B148" s="126" t="str">
        <f>HYPERLINK("http://codeforces.com/contest/507/problem/C","CF507-D2-C")</f>
        <v>CF507-D2-C</v>
      </c>
      <c r="C148" s="95"/>
      <c r="D148" s="95"/>
      <c r="E148" s="95"/>
      <c r="F148" s="95"/>
      <c r="G148" s="95"/>
      <c r="H148" s="97"/>
      <c r="I148" s="39">
        <f t="shared" si="1"/>
        <v>0</v>
      </c>
      <c r="J148" s="49"/>
      <c r="K148" s="36"/>
      <c r="L148" s="95"/>
      <c r="M148" s="158" t="str">
        <f>HYPERLINK("https://www.youtube.com/watch?v=1Ki1L9BAJIQ","Video Solution - Eng Mostafa Saad")</f>
        <v>Video Solution - Eng Mostafa Saad</v>
      </c>
    </row>
    <row r="149">
      <c r="A149" s="92" t="s">
        <v>487</v>
      </c>
      <c r="B149" s="126" t="str">
        <f>HYPERLINK("http://codeforces.com/contest/94/problem/C","CF94-D2-C")</f>
        <v>CF94-D2-C</v>
      </c>
      <c r="C149" s="95"/>
      <c r="D149" s="95"/>
      <c r="E149" s="95"/>
      <c r="F149" s="95"/>
      <c r="G149" s="95"/>
      <c r="H149" s="97"/>
      <c r="I149" s="39">
        <f t="shared" si="1"/>
        <v>0</v>
      </c>
      <c r="J149" s="49"/>
      <c r="K149" s="36"/>
      <c r="L149" s="95"/>
      <c r="M149" s="120"/>
    </row>
    <row r="150">
      <c r="A150" s="92" t="s">
        <v>491</v>
      </c>
      <c r="B150" s="126" t="str">
        <f>HYPERLINK("http://codeforces.com/contest/84/problem/C","CF84-D2-C")</f>
        <v>CF84-D2-C</v>
      </c>
      <c r="C150" s="95"/>
      <c r="D150" s="95"/>
      <c r="E150" s="95"/>
      <c r="F150" s="95"/>
      <c r="G150" s="95"/>
      <c r="H150" s="97"/>
      <c r="I150" s="39">
        <f t="shared" si="1"/>
        <v>0</v>
      </c>
      <c r="J150" s="49"/>
      <c r="K150" s="36"/>
      <c r="L150" s="95"/>
      <c r="M150" s="51"/>
    </row>
    <row r="151">
      <c r="A151" s="105" t="s">
        <v>495</v>
      </c>
      <c r="B151" s="110" t="str">
        <f>HYPERLINK("http://codeforces.com/contest/584/problem/C","CF584-D2-C")</f>
        <v>CF584-D2-C</v>
      </c>
      <c r="C151" s="95"/>
      <c r="D151" s="95"/>
      <c r="E151" s="95"/>
      <c r="F151" s="95"/>
      <c r="G151" s="95"/>
      <c r="H151" s="97"/>
      <c r="I151" s="39">
        <f t="shared" si="1"/>
        <v>0</v>
      </c>
      <c r="J151" s="49"/>
      <c r="K151" s="36"/>
      <c r="L151" s="80"/>
      <c r="M151" s="16"/>
    </row>
    <row r="152">
      <c r="A152" s="106" t="s">
        <v>501</v>
      </c>
      <c r="B152" s="211" t="str">
        <f>HYPERLINK("http://codeforces.com/contest/792/problem/C","CF792-D2-C")</f>
        <v>CF792-D2-C</v>
      </c>
      <c r="C152" s="95"/>
      <c r="D152" s="95"/>
      <c r="E152" s="95"/>
      <c r="F152" s="95"/>
      <c r="G152" s="95"/>
      <c r="H152" s="97"/>
      <c r="I152" s="39">
        <f t="shared" si="1"/>
        <v>0</v>
      </c>
      <c r="J152" s="49"/>
      <c r="K152" s="36"/>
      <c r="L152" s="80"/>
      <c r="M152" s="85" t="str">
        <f>HYPERLINK("https://www.youtube.com/watch?v=BgG5sjJslYk","Video Solution - Solver to be (Java)")</f>
        <v>Video Solution - Solver to be (Java)</v>
      </c>
    </row>
    <row r="153">
      <c r="A153" s="137" t="s">
        <v>508</v>
      </c>
      <c r="B153" s="78" t="str">
        <f>HYPERLINK("http://codeforces.com/contest/116/problem/B","CF116-D2-B")</f>
        <v>CF116-D2-B</v>
      </c>
      <c r="C153" s="95"/>
      <c r="D153" s="95"/>
      <c r="E153" s="95"/>
      <c r="F153" s="95"/>
      <c r="G153" s="95"/>
      <c r="H153" s="97"/>
      <c r="I153" s="39">
        <f t="shared" si="1"/>
        <v>0</v>
      </c>
      <c r="J153" s="49"/>
      <c r="K153" s="36"/>
      <c r="L153" s="80"/>
      <c r="M153" s="87"/>
    </row>
    <row r="154">
      <c r="A154" s="137" t="s">
        <v>513</v>
      </c>
      <c r="B154" s="78" t="str">
        <f>HYPERLINK("http://codeforces.com/contest/534/problem/B","CF534-D2-B")</f>
        <v>CF534-D2-B</v>
      </c>
      <c r="C154" s="95"/>
      <c r="D154" s="95"/>
      <c r="E154" s="95"/>
      <c r="F154" s="95"/>
      <c r="G154" s="95"/>
      <c r="H154" s="97"/>
      <c r="I154" s="39">
        <f t="shared" si="1"/>
        <v>0</v>
      </c>
      <c r="J154" s="49"/>
      <c r="K154" s="36"/>
      <c r="L154" s="80"/>
      <c r="M154" s="87"/>
    </row>
    <row r="155">
      <c r="A155" s="137" t="s">
        <v>517</v>
      </c>
      <c r="B155" s="78" t="str">
        <f>HYPERLINK("http://codeforces.com/contest/75/problem/B","CF75-D2-B")</f>
        <v>CF75-D2-B</v>
      </c>
      <c r="C155" s="95"/>
      <c r="D155" s="95"/>
      <c r="E155" s="95"/>
      <c r="F155" s="95"/>
      <c r="G155" s="95"/>
      <c r="H155" s="97"/>
      <c r="I155" s="39">
        <f t="shared" si="1"/>
        <v>0</v>
      </c>
      <c r="J155" s="49"/>
      <c r="K155" s="36"/>
      <c r="L155" s="80"/>
      <c r="M155" s="87"/>
    </row>
    <row r="156">
      <c r="A156" s="92"/>
      <c r="B156" s="51"/>
      <c r="C156" s="95"/>
      <c r="D156" s="95"/>
      <c r="E156" s="95"/>
      <c r="F156" s="95"/>
      <c r="G156" s="95"/>
      <c r="H156" s="97"/>
      <c r="I156" s="39">
        <f t="shared" si="1"/>
        <v>0</v>
      </c>
      <c r="J156" s="49"/>
      <c r="K156" s="36"/>
      <c r="L156" s="95"/>
      <c r="M156" s="51"/>
    </row>
    <row r="157">
      <c r="A157" s="124" t="s">
        <v>522</v>
      </c>
      <c r="B157" s="125" t="str">
        <f>HYPERLINK("https://uva.onlinejudge.org/index.php?option=onlinejudge&amp;page=show_problem&amp;problem=1731","UVA 10790")</f>
        <v>UVA 10790</v>
      </c>
      <c r="C157" s="95"/>
      <c r="D157" s="95"/>
      <c r="E157" s="95"/>
      <c r="F157" s="95"/>
      <c r="G157" s="95"/>
      <c r="H157" s="97"/>
      <c r="I157" s="39">
        <f t="shared" si="1"/>
        <v>0</v>
      </c>
      <c r="J157" s="49"/>
      <c r="K157" s="36"/>
      <c r="L157" s="95"/>
      <c r="M157" s="126" t="str">
        <f>HYPERLINK("https://github.com/MeGaCrazy/CompetitiveProgramming/blob/5b920a5ddab614e30ea12e7e3a7da12267a203ec/UVA/UVA_10790.cpp","Sol")</f>
        <v>Sol</v>
      </c>
    </row>
    <row r="158">
      <c r="A158" s="124" t="s">
        <v>525</v>
      </c>
      <c r="B158" s="125" t="str">
        <f>HYPERLINK("https://uva.onlinejudge.org/index.php?option=onlinejudge&amp;page=show_problem&amp;problem=1626","UVA 10685")</f>
        <v>UVA 10685</v>
      </c>
      <c r="C158" s="95"/>
      <c r="D158" s="95"/>
      <c r="E158" s="95"/>
      <c r="F158" s="95"/>
      <c r="G158" s="95"/>
      <c r="H158" s="97"/>
      <c r="I158" s="39">
        <f t="shared" si="1"/>
        <v>0</v>
      </c>
      <c r="J158" s="49"/>
      <c r="K158" s="36"/>
      <c r="L158" s="95"/>
      <c r="M158" s="51"/>
    </row>
    <row r="159">
      <c r="A159" s="124" t="s">
        <v>527</v>
      </c>
      <c r="B159" s="125" t="str">
        <f>HYPERLINK("https://uva.onlinejudge.org/index.php?option=onlinejudge&amp;Itemid=8&amp;page=show_problem&amp;problem=1080","UVA 10139")</f>
        <v>UVA 10139</v>
      </c>
      <c r="C159" s="95"/>
      <c r="D159" s="95"/>
      <c r="E159" s="95"/>
      <c r="F159" s="95"/>
      <c r="G159" s="95"/>
      <c r="H159" s="97"/>
      <c r="I159" s="39">
        <f t="shared" si="1"/>
        <v>0</v>
      </c>
      <c r="J159" s="49"/>
      <c r="K159" s="36"/>
      <c r="L159" s="95"/>
      <c r="M159" s="65" t="str">
        <f>HYPERLINK("https://github.com/MohamedNabil97/CompetitiveProgramming/blob/master/UVA/10139.cpp","Sol to read")</f>
        <v>Sol to read</v>
      </c>
    </row>
    <row r="160">
      <c r="A160" s="124" t="s">
        <v>531</v>
      </c>
      <c r="B160" s="125" t="str">
        <f>HYPERLINK("https://uva.onlinejudge.org/index.php?option=com_onlinejudge&amp;Itemid=8&amp;page=show_problem&amp;problem=1917","UVA 10976")</f>
        <v>UVA 10976</v>
      </c>
      <c r="C160" s="95"/>
      <c r="D160" s="95"/>
      <c r="E160" s="95"/>
      <c r="F160" s="95"/>
      <c r="G160" s="95"/>
      <c r="H160" s="97"/>
      <c r="I160" s="39">
        <f t="shared" si="1"/>
        <v>0</v>
      </c>
      <c r="J160" s="49"/>
      <c r="K160" s="36"/>
      <c r="L160" s="95"/>
      <c r="M160" s="65" t="str">
        <f>HYPERLINK("https://github.com/magdy-hasan/competitive-programming/blob/master/uva-/uva%2010976%20-%20Fractions%20Again!.cpp","Sol to read")</f>
        <v>Sol to read</v>
      </c>
    </row>
    <row r="161">
      <c r="A161" s="124" t="s">
        <v>534</v>
      </c>
      <c r="B161" s="125" t="str">
        <f>HYPERLINK("http://codeforces.com/contest/189/problem/A","CF189-D2-A")</f>
        <v>CF189-D2-A</v>
      </c>
      <c r="C161" s="95"/>
      <c r="D161" s="95"/>
      <c r="E161" s="95"/>
      <c r="F161" s="95"/>
      <c r="G161" s="95"/>
      <c r="H161" s="97"/>
      <c r="I161" s="39">
        <f t="shared" si="1"/>
        <v>0</v>
      </c>
      <c r="J161" s="49"/>
      <c r="K161" s="36"/>
      <c r="L161" s="80"/>
      <c r="M161" s="85" t="str">
        <f>HYPERLINK("https://www.youtube.com/watch?v=4VBt8sKocyw","Video Solution - Solver to be (Java)")</f>
        <v>Video Solution - Solver to be (Java)</v>
      </c>
    </row>
    <row r="162">
      <c r="A162" s="51"/>
      <c r="B162" s="51"/>
      <c r="C162" s="95"/>
      <c r="D162" s="95"/>
      <c r="E162" s="95"/>
      <c r="F162" s="95"/>
      <c r="G162" s="95"/>
      <c r="H162" s="97"/>
      <c r="I162" s="39">
        <f t="shared" si="1"/>
        <v>0</v>
      </c>
      <c r="J162" s="49"/>
      <c r="K162" s="36"/>
      <c r="L162" s="95"/>
      <c r="M162" s="51"/>
    </row>
    <row r="163">
      <c r="C163" s="95"/>
      <c r="D163" s="95"/>
      <c r="E163" s="95"/>
      <c r="F163" s="95"/>
      <c r="G163" s="95"/>
      <c r="H163" s="97"/>
      <c r="I163" s="39">
        <f t="shared" si="1"/>
        <v>0</v>
      </c>
      <c r="J163" s="49"/>
      <c r="K163" s="36"/>
      <c r="L163" s="95"/>
      <c r="M163" s="218" t="str">
        <f>HYPERLINK("https://www.youtube.com/playlist?list=PLC58778F28211FA19","Watch - Probability - First 9 videos")</f>
        <v>Watch - Probability - First 9 videos</v>
      </c>
    </row>
    <row r="164">
      <c r="A164" s="171" t="s">
        <v>540</v>
      </c>
      <c r="B164" s="213" t="str">
        <f>HYPERLINK("https://uva.onlinejudge.org/index.php?option=onlinejudge&amp;page=show_problem&amp;problem=1432","UVA 10491")</f>
        <v>UVA 10491</v>
      </c>
      <c r="C164" s="95"/>
      <c r="D164" s="95"/>
      <c r="E164" s="95"/>
      <c r="F164" s="95"/>
      <c r="G164" s="95"/>
      <c r="H164" s="97"/>
      <c r="I164" s="39">
        <f t="shared" si="1"/>
        <v>0</v>
      </c>
      <c r="J164" s="49"/>
      <c r="K164" s="36"/>
      <c r="L164" s="95"/>
      <c r="M164" s="126" t="str">
        <f>HYPERLINK("https://www.probabilitycourse.com/","Revise Probability")</f>
        <v>Revise Probability</v>
      </c>
    </row>
    <row r="165">
      <c r="A165" s="171" t="s">
        <v>545</v>
      </c>
      <c r="B165" s="213" t="str">
        <f>HYPERLINK("https://uva.onlinejudge.org/index.php?option=com_onlinejudge&amp;Itemid=8&amp;page=show_problem&amp;problem=997","UVA 10056")</f>
        <v>UVA 10056</v>
      </c>
      <c r="C165" s="95"/>
      <c r="D165" s="95"/>
      <c r="E165" s="95"/>
      <c r="F165" s="95"/>
      <c r="G165" s="95"/>
      <c r="H165" s="97"/>
      <c r="I165" s="39">
        <f t="shared" si="1"/>
        <v>0</v>
      </c>
      <c r="J165" s="49"/>
      <c r="K165" s="36"/>
      <c r="L165" s="95"/>
      <c r="M165" s="126" t="str">
        <f>HYPERLINK("https://github.com/mostafa-saad/MyCompetitiveProgramming/blob/master/UVA/UVA_10056.txt","Sol")</f>
        <v>Sol</v>
      </c>
    </row>
    <row r="166">
      <c r="A166" s="171" t="s">
        <v>549</v>
      </c>
      <c r="B166" s="213" t="str">
        <f>HYPERLINK("https://uva.onlinejudge.org/index.php?option=com_onlinejudge&amp;Itemid=8&amp;page=show_problem&amp;problem=1159","UVA 10218")</f>
        <v>UVA 10218</v>
      </c>
      <c r="C166" s="95"/>
      <c r="D166" s="95"/>
      <c r="E166" s="95"/>
      <c r="F166" s="95"/>
      <c r="G166" s="95"/>
      <c r="H166" s="97"/>
      <c r="I166" s="39">
        <f t="shared" si="1"/>
        <v>0</v>
      </c>
      <c r="J166" s="49"/>
      <c r="K166" s="36"/>
      <c r="L166" s="95"/>
      <c r="M166" s="141" t="str">
        <f>HYPERLINK("https://github.com/mostafa-saad/MyCompetitiveProgramming/blob/master/UVA/UVA_10218.txt","Sol")</f>
        <v>Sol</v>
      </c>
    </row>
    <row r="167">
      <c r="A167" s="171" t="s">
        <v>556</v>
      </c>
      <c r="B167" s="213" t="str">
        <f>HYPERLINK("https://uva.onlinejudge.org/index.php?option=com_onlinejudge&amp;Itemid=8&amp;page=show_problem&amp;problem=2122","UVA 11181")</f>
        <v>UVA 11181</v>
      </c>
      <c r="C167" s="95"/>
      <c r="D167" s="95"/>
      <c r="E167" s="95"/>
      <c r="F167" s="95"/>
      <c r="G167" s="95"/>
      <c r="H167" s="97"/>
      <c r="I167" s="39">
        <f t="shared" si="1"/>
        <v>0</v>
      </c>
      <c r="J167" s="49"/>
      <c r="K167" s="36"/>
      <c r="L167" s="95"/>
      <c r="M167" s="126" t="str">
        <f>HYPERLINK("https://github.com/MohamedNabil97/CompetitiveProgramming/blob/master/UVA/1181.cpp","Sol")</f>
        <v>Sol</v>
      </c>
    </row>
    <row r="168">
      <c r="A168" s="171" t="s">
        <v>562</v>
      </c>
      <c r="B168" s="213" t="str">
        <f>HYPERLINK("https://uva.onlinejudge.org/index.php?option=com_onlinejudge&amp;Itemid=8&amp;page=show_problem&amp;problem=2675","UVA 11628")</f>
        <v>UVA 11628</v>
      </c>
      <c r="C168" s="95"/>
      <c r="D168" s="95"/>
      <c r="E168" s="95"/>
      <c r="F168" s="95"/>
      <c r="G168" s="95"/>
      <c r="H168" s="97"/>
      <c r="I168" s="39">
        <f t="shared" si="1"/>
        <v>0</v>
      </c>
      <c r="J168" s="49"/>
      <c r="K168" s="36"/>
      <c r="L168" s="95"/>
      <c r="M168" s="126" t="str">
        <f>HYPERLINK("https://github.com/mostafa-saad/MyCompetitiveProgramming/blob/master/UVA/UVA_11628.txt","Sol")</f>
        <v>Sol</v>
      </c>
    </row>
    <row r="169">
      <c r="A169" s="171" t="s">
        <v>568</v>
      </c>
      <c r="B169" s="213" t="str">
        <f>HYPERLINK("https://uva.onlinejudge.org/index.php?option=com_onlinejudge&amp;Itemid=8&amp;page=show_problem&amp;problem=3904","UVA 12461")</f>
        <v>UVA 12461</v>
      </c>
      <c r="C169" s="95"/>
      <c r="D169" s="95"/>
      <c r="E169" s="95"/>
      <c r="F169" s="95"/>
      <c r="G169" s="95"/>
      <c r="H169" s="97"/>
      <c r="I169" s="39">
        <f t="shared" si="1"/>
        <v>0</v>
      </c>
      <c r="J169" s="49"/>
      <c r="K169" s="36"/>
      <c r="L169" s="95"/>
      <c r="M169" s="220" t="str">
        <f>HYPERLINK("https://github.com/VAMPIER000001/CompetitiveProgramming/blob/master/UVA/V-124/UVA%2012461.Cpp","Sol to read")</f>
        <v>Sol to read</v>
      </c>
    </row>
    <row r="170">
      <c r="A170" s="124"/>
      <c r="B170" s="125" t="str">
        <f>HYPERLINK("https://www.hackerrank.com/contests/infinitum18/challenges/tower-3-coloring","HACKR tower-3-coloring")</f>
        <v>HACKR tower-3-coloring</v>
      </c>
      <c r="C170" s="95"/>
      <c r="D170" s="95"/>
      <c r="E170" s="95"/>
      <c r="F170" s="95"/>
      <c r="G170" s="95"/>
      <c r="H170" s="97"/>
      <c r="I170" s="39">
        <f t="shared" si="1"/>
        <v>0</v>
      </c>
      <c r="J170" s="49"/>
      <c r="K170" s="36"/>
      <c r="L170" s="95"/>
      <c r="M170" s="221" t="s">
        <v>578</v>
      </c>
    </row>
    <row r="171">
      <c r="A171" s="124"/>
      <c r="B171" s="125" t="str">
        <f>HYPERLINK("http://codeforces.com/contest/445/problem/C","CF445-D2-C")</f>
        <v>CF445-D2-C</v>
      </c>
      <c r="C171" s="95"/>
      <c r="D171" s="95"/>
      <c r="E171" s="95"/>
      <c r="F171" s="95"/>
      <c r="G171" s="95"/>
      <c r="H171" s="97"/>
      <c r="I171" s="39">
        <f t="shared" si="1"/>
        <v>0</v>
      </c>
      <c r="J171" s="49"/>
      <c r="K171" s="36"/>
      <c r="L171" s="95"/>
      <c r="M171" s="221"/>
    </row>
    <row r="172">
      <c r="A172" s="124"/>
      <c r="B172" s="125" t="str">
        <f>HYPERLINK("https://www.hackerrank.com/challenges/a-circle-and-a-square","HACKR a-circle-and-a-square")</f>
        <v>HACKR a-circle-and-a-square</v>
      </c>
      <c r="C172" s="95"/>
      <c r="D172" s="95"/>
      <c r="E172" s="95"/>
      <c r="F172" s="95"/>
      <c r="G172" s="95"/>
      <c r="H172" s="97"/>
      <c r="I172" s="39">
        <f t="shared" si="1"/>
        <v>0</v>
      </c>
      <c r="J172" s="49"/>
      <c r="K172" s="36"/>
      <c r="L172" s="95"/>
      <c r="M172" s="221"/>
    </row>
    <row r="173">
      <c r="A173" s="124"/>
      <c r="B173" s="124" t="s">
        <v>587</v>
      </c>
      <c r="C173" s="95"/>
      <c r="D173" s="95"/>
      <c r="E173" s="95"/>
      <c r="F173" s="95"/>
      <c r="G173" s="95"/>
      <c r="H173" s="97"/>
      <c r="I173" s="39">
        <f t="shared" si="1"/>
        <v>0</v>
      </c>
      <c r="J173" s="49"/>
      <c r="K173" s="36"/>
      <c r="L173" s="95"/>
      <c r="M173" s="126" t="str">
        <f>HYPERLINK("https://www.geeksforgeeks.org/0-1-bfs-shortest-path-binary-graph/","Learn 0/1 BFS")</f>
        <v>Learn 0/1 BFS</v>
      </c>
    </row>
    <row r="174">
      <c r="C174" s="95"/>
      <c r="D174" s="95"/>
      <c r="E174" s="95"/>
      <c r="F174" s="95"/>
      <c r="G174" s="95"/>
      <c r="H174" s="97"/>
      <c r="I174" s="39">
        <f t="shared" si="1"/>
        <v>0</v>
      </c>
      <c r="J174" s="49"/>
      <c r="K174" s="36"/>
      <c r="L174" s="95"/>
      <c r="M174" s="221"/>
    </row>
    <row r="175">
      <c r="A175" s="92" t="s">
        <v>591</v>
      </c>
      <c r="B175" s="102" t="str">
        <f>HYPERLINK("http://codeforces.com/contest/822/problem/C","CF822-D2-C")</f>
        <v>CF822-D2-C</v>
      </c>
      <c r="C175" s="95"/>
      <c r="D175" s="95"/>
      <c r="E175" s="95"/>
      <c r="F175" s="95"/>
      <c r="G175" s="95"/>
      <c r="H175" s="97"/>
      <c r="I175" s="39">
        <f t="shared" si="1"/>
        <v>0</v>
      </c>
      <c r="J175" s="49"/>
      <c r="K175" s="36"/>
      <c r="L175" s="95"/>
      <c r="M175" s="85" t="str">
        <f>HYPERLINK("https://www.youtube.com/watch?v=VvR9spazigA","Video Solution - Solver to be (Java)")</f>
        <v>Video Solution - Solver to be (Java)</v>
      </c>
    </row>
    <row r="176">
      <c r="A176" s="92" t="s">
        <v>596</v>
      </c>
      <c r="B176" s="102" t="str">
        <f>HYPERLINK("http://codeforces.com/contest/834/problem/C","CF834-D2-C")</f>
        <v>CF834-D2-C</v>
      </c>
      <c r="C176" s="95"/>
      <c r="D176" s="95"/>
      <c r="E176" s="95"/>
      <c r="F176" s="95"/>
      <c r="G176" s="95"/>
      <c r="H176" s="97"/>
      <c r="I176" s="39">
        <f t="shared" si="1"/>
        <v>0</v>
      </c>
      <c r="J176" s="49"/>
      <c r="K176" s="36"/>
      <c r="L176" s="95"/>
      <c r="M176" s="85" t="str">
        <f>HYPERLINK("https://www.youtube.com/watch?v=tge-NMPdndc","Video Solution - Solver to be (Java)")</f>
        <v>Video Solution - Solver to be (Java)</v>
      </c>
    </row>
    <row r="177">
      <c r="A177" s="92" t="s">
        <v>602</v>
      </c>
      <c r="B177" s="102" t="str">
        <f>HYPERLINK("http://codeforces.com/contest/835/problem/C","CF835-D2-C")</f>
        <v>CF835-D2-C</v>
      </c>
      <c r="C177" s="95"/>
      <c r="D177" s="95"/>
      <c r="E177" s="95"/>
      <c r="F177" s="95"/>
      <c r="G177" s="95"/>
      <c r="H177" s="97"/>
      <c r="I177" s="39">
        <f t="shared" si="1"/>
        <v>0</v>
      </c>
      <c r="J177" s="49"/>
      <c r="K177" s="36"/>
      <c r="L177" s="95"/>
      <c r="M177" s="85" t="str">
        <f>HYPERLINK("https://www.youtube.com/watch?v=McKM0CgVLUM","Video Solution - Solver to be (Java)")</f>
        <v>Video Solution - Solver to be (Java)</v>
      </c>
    </row>
    <row r="178">
      <c r="A178" s="51"/>
      <c r="B178" s="51"/>
      <c r="C178" s="95"/>
      <c r="D178" s="95"/>
      <c r="E178" s="95"/>
      <c r="F178" s="95"/>
      <c r="G178" s="95"/>
      <c r="H178" s="97"/>
      <c r="I178" s="39">
        <f t="shared" si="1"/>
        <v>0</v>
      </c>
      <c r="J178" s="49"/>
      <c r="K178" s="36"/>
      <c r="L178" s="95"/>
      <c r="M178" s="214" t="s">
        <v>461</v>
      </c>
    </row>
    <row r="179">
      <c r="A179" s="215"/>
      <c r="B179" s="215"/>
      <c r="C179" s="216"/>
      <c r="D179" s="216"/>
      <c r="E179" s="216"/>
      <c r="F179" s="216"/>
      <c r="G179" s="216"/>
      <c r="H179" s="217"/>
      <c r="I179" s="217">
        <f t="shared" ref="I179:I181" si="2">SUM(E179:G179)</f>
        <v>0</v>
      </c>
      <c r="J179" s="216"/>
      <c r="K179" s="216"/>
      <c r="L179" s="216"/>
      <c r="M179" s="215"/>
    </row>
    <row r="180">
      <c r="A180" s="120"/>
      <c r="B180" s="120"/>
      <c r="C180" s="127"/>
      <c r="D180" s="219" t="s">
        <v>468</v>
      </c>
      <c r="H180" s="97"/>
      <c r="I180" s="97">
        <f t="shared" si="2"/>
        <v>0</v>
      </c>
      <c r="J180" s="4" t="s">
        <v>542</v>
      </c>
    </row>
    <row r="181">
      <c r="A181" s="215"/>
      <c r="B181" s="215"/>
      <c r="C181" s="216"/>
      <c r="D181" s="216"/>
      <c r="E181" s="216"/>
      <c r="F181" s="216"/>
      <c r="G181" s="216"/>
      <c r="H181" s="217"/>
      <c r="I181" s="217">
        <f t="shared" si="2"/>
        <v>0</v>
      </c>
      <c r="J181" s="216"/>
      <c r="K181" s="216"/>
      <c r="L181" s="216"/>
      <c r="M181" s="215"/>
    </row>
    <row r="182">
      <c r="A182" s="92" t="s">
        <v>614</v>
      </c>
      <c r="B182" s="126" t="str">
        <f>HYPERLINK("http://codeforces.com/contest/483/problem/C","CF483-D2-C")</f>
        <v>CF483-D2-C</v>
      </c>
      <c r="C182" s="95"/>
      <c r="D182" s="95"/>
      <c r="E182" s="95"/>
      <c r="F182" s="95"/>
      <c r="G182" s="95"/>
      <c r="H182" s="97"/>
      <c r="I182" s="39">
        <f t="shared" ref="I182:I217" si="3">SUM(E182:H182)</f>
        <v>0</v>
      </c>
      <c r="J182" s="49"/>
      <c r="K182" s="36"/>
      <c r="L182" s="95"/>
      <c r="M182" s="120"/>
    </row>
    <row r="183">
      <c r="A183" s="92" t="s">
        <v>281</v>
      </c>
      <c r="B183" s="126" t="str">
        <f>HYPERLINK("http://codeforces.com/contest/136/problem/C","CF136-D2-C")</f>
        <v>CF136-D2-C</v>
      </c>
      <c r="C183" s="95"/>
      <c r="D183" s="95"/>
      <c r="E183" s="95"/>
      <c r="F183" s="95"/>
      <c r="G183" s="95"/>
      <c r="H183" s="97"/>
      <c r="I183" s="39">
        <f t="shared" si="3"/>
        <v>0</v>
      </c>
      <c r="J183" s="49"/>
      <c r="K183" s="36"/>
      <c r="L183" s="95"/>
      <c r="M183" s="120"/>
    </row>
    <row r="184">
      <c r="A184" s="92" t="s">
        <v>620</v>
      </c>
      <c r="B184" s="126" t="str">
        <f>HYPERLINK("http://codeforces.com/contest/102/problem/C","CF102-D2-C")</f>
        <v>CF102-D2-C</v>
      </c>
      <c r="C184" s="95"/>
      <c r="D184" s="95"/>
      <c r="E184" s="95"/>
      <c r="F184" s="95"/>
      <c r="G184" s="95"/>
      <c r="H184" s="97"/>
      <c r="I184" s="39">
        <f t="shared" si="3"/>
        <v>0</v>
      </c>
      <c r="J184" s="49"/>
      <c r="K184" s="36"/>
      <c r="L184" s="95"/>
      <c r="M184" s="120"/>
    </row>
    <row r="185">
      <c r="A185" s="92" t="s">
        <v>622</v>
      </c>
      <c r="B185" s="126" t="str">
        <f>HYPERLINK("http://codeforces.com/contest/221/problem/C","CF221-D2-C")</f>
        <v>CF221-D2-C</v>
      </c>
      <c r="C185" s="95"/>
      <c r="D185" s="95"/>
      <c r="E185" s="95"/>
      <c r="F185" s="95"/>
      <c r="G185" s="95"/>
      <c r="H185" s="97"/>
      <c r="I185" s="39">
        <f t="shared" si="3"/>
        <v>0</v>
      </c>
      <c r="J185" s="49"/>
      <c r="K185" s="36"/>
      <c r="L185" s="95"/>
      <c r="M185" s="120"/>
    </row>
    <row r="186">
      <c r="A186" s="92" t="s">
        <v>627</v>
      </c>
      <c r="B186" s="126" t="str">
        <f>HYPERLINK("http://codeforces.com/contest/581/problem/C","CF581-D2-C")</f>
        <v>CF581-D2-C</v>
      </c>
      <c r="C186" s="95"/>
      <c r="D186" s="95"/>
      <c r="E186" s="95"/>
      <c r="F186" s="95"/>
      <c r="G186" s="95"/>
      <c r="H186" s="97"/>
      <c r="I186" s="39">
        <f t="shared" si="3"/>
        <v>0</v>
      </c>
      <c r="J186" s="49"/>
      <c r="K186" s="36"/>
      <c r="L186" s="95"/>
      <c r="M186" s="120"/>
    </row>
    <row r="187">
      <c r="A187" s="92" t="s">
        <v>630</v>
      </c>
      <c r="B187" s="126" t="str">
        <f>HYPERLINK("http://codeforces.com/contest/262/problem/C","CF262-D2-C")</f>
        <v>CF262-D2-C</v>
      </c>
      <c r="C187" s="95"/>
      <c r="D187" s="95"/>
      <c r="E187" s="95"/>
      <c r="F187" s="95"/>
      <c r="G187" s="95"/>
      <c r="H187" s="97"/>
      <c r="I187" s="39">
        <f t="shared" si="3"/>
        <v>0</v>
      </c>
      <c r="J187" s="49"/>
      <c r="K187" s="36"/>
      <c r="L187" s="95"/>
      <c r="M187" s="120"/>
    </row>
    <row r="188">
      <c r="A188" s="92" t="s">
        <v>632</v>
      </c>
      <c r="B188" s="126" t="str">
        <f>HYPERLINK("http://codeforces.com/contest/389/problem/C","CF389-D2-C")</f>
        <v>CF389-D2-C</v>
      </c>
      <c r="C188" s="95"/>
      <c r="D188" s="95"/>
      <c r="E188" s="95"/>
      <c r="F188" s="95"/>
      <c r="G188" s="95"/>
      <c r="H188" s="97"/>
      <c r="I188" s="39">
        <f t="shared" si="3"/>
        <v>0</v>
      </c>
      <c r="J188" s="49"/>
      <c r="K188" s="36"/>
      <c r="L188" s="95"/>
      <c r="M188" s="120"/>
    </row>
    <row r="189">
      <c r="A189" s="92" t="s">
        <v>634</v>
      </c>
      <c r="B189" s="126" t="str">
        <f>HYPERLINK("http://codeforces.com/contest/218/problem/C","CF218-D2-C")</f>
        <v>CF218-D2-C</v>
      </c>
      <c r="C189" s="95"/>
      <c r="D189" s="95"/>
      <c r="E189" s="95"/>
      <c r="F189" s="95"/>
      <c r="G189" s="95"/>
      <c r="H189" s="97"/>
      <c r="I189" s="39">
        <f t="shared" si="3"/>
        <v>0</v>
      </c>
      <c r="J189" s="49"/>
      <c r="K189" s="36"/>
      <c r="L189" s="95"/>
      <c r="M189" s="120"/>
    </row>
    <row r="190">
      <c r="A190" s="92" t="s">
        <v>636</v>
      </c>
      <c r="B190" s="126" t="str">
        <f>HYPERLINK("http://codeforces.com/contest/441/problem/C","CF441-D2-C")</f>
        <v>CF441-D2-C</v>
      </c>
      <c r="C190" s="95"/>
      <c r="D190" s="95"/>
      <c r="E190" s="95"/>
      <c r="F190" s="95"/>
      <c r="G190" s="95"/>
      <c r="H190" s="97"/>
      <c r="I190" s="39">
        <f t="shared" si="3"/>
        <v>0</v>
      </c>
      <c r="J190" s="49"/>
      <c r="K190" s="36"/>
      <c r="L190" s="95"/>
      <c r="M190" s="120"/>
    </row>
    <row r="191">
      <c r="A191" s="92" t="s">
        <v>638</v>
      </c>
      <c r="B191" s="126" t="str">
        <f>HYPERLINK("http://codeforces.com/contest/271/problem/C","CF271-D2-C")</f>
        <v>CF271-D2-C</v>
      </c>
      <c r="C191" s="95"/>
      <c r="D191" s="95"/>
      <c r="E191" s="95"/>
      <c r="F191" s="95"/>
      <c r="G191" s="95"/>
      <c r="H191" s="97"/>
      <c r="I191" s="39">
        <f t="shared" si="3"/>
        <v>0</v>
      </c>
      <c r="J191" s="49"/>
      <c r="K191" s="36"/>
      <c r="L191" s="95"/>
      <c r="M191" s="120"/>
    </row>
    <row r="192">
      <c r="A192" s="92"/>
      <c r="B192" s="51"/>
      <c r="C192" s="95"/>
      <c r="D192" s="95"/>
      <c r="E192" s="95"/>
      <c r="F192" s="95"/>
      <c r="G192" s="95"/>
      <c r="H192" s="97"/>
      <c r="I192" s="39">
        <f t="shared" si="3"/>
        <v>0</v>
      </c>
      <c r="J192" s="49"/>
      <c r="K192" s="36"/>
      <c r="L192" s="95"/>
      <c r="M192" s="120"/>
    </row>
    <row r="193">
      <c r="A193" s="92" t="s">
        <v>641</v>
      </c>
      <c r="B193" s="126" t="str">
        <f>HYPERLINK("http://codeforces.com/contest/701/problem/C","CF701-D2-C")</f>
        <v>CF701-D2-C</v>
      </c>
      <c r="C193" s="95"/>
      <c r="D193" s="95"/>
      <c r="E193" s="95"/>
      <c r="F193" s="95"/>
      <c r="G193" s="95"/>
      <c r="H193" s="97"/>
      <c r="I193" s="39">
        <f t="shared" si="3"/>
        <v>0</v>
      </c>
      <c r="J193" s="49"/>
      <c r="K193" s="36"/>
      <c r="L193" s="95"/>
      <c r="M193" s="120"/>
    </row>
    <row r="194">
      <c r="A194" s="92" t="s">
        <v>643</v>
      </c>
      <c r="B194" s="126" t="str">
        <f>HYPERLINK("http://codeforces.com/contest/16/problem/C","CF16-D2-C")</f>
        <v>CF16-D2-C</v>
      </c>
      <c r="C194" s="95"/>
      <c r="D194" s="95"/>
      <c r="E194" s="95"/>
      <c r="F194" s="95"/>
      <c r="G194" s="95"/>
      <c r="H194" s="97"/>
      <c r="I194" s="39">
        <f t="shared" si="3"/>
        <v>0</v>
      </c>
      <c r="J194" s="49"/>
      <c r="K194" s="36"/>
      <c r="L194" s="95"/>
      <c r="M194" s="120"/>
    </row>
    <row r="195">
      <c r="A195" s="92" t="s">
        <v>645</v>
      </c>
      <c r="B195" s="126" t="str">
        <f>HYPERLINK("http://codeforces.com/contest/22/problem/C","CF22-D2-C")</f>
        <v>CF22-D2-C</v>
      </c>
      <c r="C195" s="95"/>
      <c r="D195" s="95"/>
      <c r="E195" s="95"/>
      <c r="F195" s="95"/>
      <c r="G195" s="95"/>
      <c r="H195" s="97"/>
      <c r="I195" s="39">
        <f t="shared" si="3"/>
        <v>0</v>
      </c>
      <c r="J195" s="49"/>
      <c r="K195" s="36"/>
      <c r="L195" s="95"/>
      <c r="M195" s="120"/>
    </row>
    <row r="196">
      <c r="A196" s="92" t="s">
        <v>647</v>
      </c>
      <c r="B196" s="126" t="str">
        <f>HYPERLINK("http://codeforces.com/contest/122/problem/C","CF122-D2-C")</f>
        <v>CF122-D2-C</v>
      </c>
      <c r="C196" s="95"/>
      <c r="D196" s="95"/>
      <c r="E196" s="95"/>
      <c r="F196" s="95"/>
      <c r="G196" s="95"/>
      <c r="H196" s="97"/>
      <c r="I196" s="39">
        <f t="shared" si="3"/>
        <v>0</v>
      </c>
      <c r="J196" s="49"/>
      <c r="K196" s="36"/>
      <c r="L196" s="95"/>
      <c r="M196" s="120"/>
    </row>
    <row r="197">
      <c r="A197" s="92" t="s">
        <v>649</v>
      </c>
      <c r="B197" s="126" t="str">
        <f>HYPERLINK("http://codeforces.com/contest/688/problem/C","CF688-D2-C")</f>
        <v>CF688-D2-C</v>
      </c>
      <c r="C197" s="95"/>
      <c r="D197" s="95"/>
      <c r="E197" s="95"/>
      <c r="F197" s="95"/>
      <c r="G197" s="95"/>
      <c r="H197" s="97"/>
      <c r="I197" s="39">
        <f t="shared" si="3"/>
        <v>0</v>
      </c>
      <c r="J197" s="49"/>
      <c r="K197" s="36"/>
      <c r="L197" s="95"/>
      <c r="M197" s="120"/>
    </row>
    <row r="198">
      <c r="A198" s="92" t="s">
        <v>651</v>
      </c>
      <c r="B198" s="126" t="str">
        <f>HYPERLINK("http://codeforces.com/contest/743/problem/C","CF743-D2-C")</f>
        <v>CF743-D2-C</v>
      </c>
      <c r="C198" s="95"/>
      <c r="D198" s="95"/>
      <c r="E198" s="95"/>
      <c r="F198" s="95"/>
      <c r="G198" s="95"/>
      <c r="H198" s="97"/>
      <c r="I198" s="39">
        <f t="shared" si="3"/>
        <v>0</v>
      </c>
      <c r="J198" s="49"/>
      <c r="K198" s="36"/>
      <c r="L198" s="95"/>
      <c r="M198" s="120"/>
    </row>
    <row r="199">
      <c r="A199" s="92" t="s">
        <v>653</v>
      </c>
      <c r="B199" s="126" t="str">
        <f>HYPERLINK("http://codeforces.com/contest/556/problem/C","CF556-D2-C")</f>
        <v>CF556-D2-C</v>
      </c>
      <c r="C199" s="95"/>
      <c r="D199" s="95"/>
      <c r="E199" s="95"/>
      <c r="F199" s="95"/>
      <c r="G199" s="95"/>
      <c r="H199" s="97"/>
      <c r="I199" s="39">
        <f t="shared" si="3"/>
        <v>0</v>
      </c>
      <c r="J199" s="49"/>
      <c r="K199" s="36"/>
      <c r="L199" s="95"/>
      <c r="M199" s="120"/>
    </row>
    <row r="200">
      <c r="A200" s="92" t="s">
        <v>655</v>
      </c>
      <c r="B200" s="126" t="str">
        <f>HYPERLINK("http://codeforces.com/contest/677/problem/C","CF677-D2-C")</f>
        <v>CF677-D2-C</v>
      </c>
      <c r="C200" s="95"/>
      <c r="D200" s="95"/>
      <c r="E200" s="95"/>
      <c r="F200" s="95"/>
      <c r="G200" s="95"/>
      <c r="H200" s="97"/>
      <c r="I200" s="39">
        <f t="shared" si="3"/>
        <v>0</v>
      </c>
      <c r="J200" s="49"/>
      <c r="K200" s="36"/>
      <c r="L200" s="95"/>
      <c r="M200" s="120"/>
    </row>
    <row r="201">
      <c r="A201" s="92" t="s">
        <v>657</v>
      </c>
      <c r="B201" s="126" t="str">
        <f>HYPERLINK("http://codeforces.com/contest/479/problem/C","CF479-D2-C")</f>
        <v>CF479-D2-C</v>
      </c>
      <c r="C201" s="95"/>
      <c r="D201" s="95"/>
      <c r="E201" s="95"/>
      <c r="F201" s="95"/>
      <c r="G201" s="95"/>
      <c r="H201" s="97"/>
      <c r="I201" s="39">
        <f t="shared" si="3"/>
        <v>0</v>
      </c>
      <c r="J201" s="49"/>
      <c r="K201" s="36"/>
      <c r="L201" s="95"/>
      <c r="M201" s="120"/>
    </row>
    <row r="202">
      <c r="A202" s="92"/>
      <c r="B202" s="51"/>
      <c r="C202" s="95"/>
      <c r="D202" s="95"/>
      <c r="E202" s="95"/>
      <c r="F202" s="95"/>
      <c r="G202" s="95"/>
      <c r="H202" s="97"/>
      <c r="I202" s="39">
        <f t="shared" si="3"/>
        <v>0</v>
      </c>
      <c r="J202" s="49"/>
      <c r="K202" s="36"/>
      <c r="L202" s="95"/>
      <c r="M202" s="120"/>
    </row>
    <row r="203">
      <c r="A203" s="92" t="s">
        <v>660</v>
      </c>
      <c r="B203" s="126" t="str">
        <f>HYPERLINK("http://codeforces.com/contest/330/problem/C","CF330-D2-C")</f>
        <v>CF330-D2-C</v>
      </c>
      <c r="C203" s="95"/>
      <c r="D203" s="95"/>
      <c r="E203" s="95"/>
      <c r="F203" s="95"/>
      <c r="G203" s="95"/>
      <c r="H203" s="97"/>
      <c r="I203" s="39">
        <f t="shared" si="3"/>
        <v>0</v>
      </c>
      <c r="J203" s="49"/>
      <c r="K203" s="36"/>
      <c r="L203" s="95"/>
      <c r="M203" s="120"/>
    </row>
    <row r="204">
      <c r="A204" s="92" t="s">
        <v>662</v>
      </c>
      <c r="B204" s="126" t="str">
        <f>HYPERLINK("http://codeforces.com/contest/149/problem/C","CF149-D2-C")</f>
        <v>CF149-D2-C</v>
      </c>
      <c r="C204" s="95"/>
      <c r="D204" s="95"/>
      <c r="E204" s="95"/>
      <c r="F204" s="95"/>
      <c r="G204" s="95"/>
      <c r="H204" s="97"/>
      <c r="I204" s="39">
        <f t="shared" si="3"/>
        <v>0</v>
      </c>
      <c r="J204" s="49"/>
      <c r="K204" s="36"/>
      <c r="L204" s="95"/>
      <c r="M204" s="120"/>
    </row>
    <row r="205">
      <c r="A205" s="92" t="s">
        <v>664</v>
      </c>
      <c r="B205" s="126" t="str">
        <f>HYPERLINK("http://codeforces.com/contest/49/problem/C","CF49-D2-C")</f>
        <v>CF49-D2-C</v>
      </c>
      <c r="C205" s="95"/>
      <c r="D205" s="95"/>
      <c r="E205" s="95"/>
      <c r="F205" s="95"/>
      <c r="G205" s="95"/>
      <c r="H205" s="97"/>
      <c r="I205" s="39">
        <f t="shared" si="3"/>
        <v>0</v>
      </c>
      <c r="J205" s="49"/>
      <c r="K205" s="36"/>
      <c r="L205" s="95"/>
      <c r="M205" s="120"/>
    </row>
    <row r="206">
      <c r="A206" s="92" t="s">
        <v>665</v>
      </c>
      <c r="B206" s="126" t="str">
        <f>HYPERLINK("http://codeforces.com/contest/415/problem/C","CF415-D2-C")</f>
        <v>CF415-D2-C</v>
      </c>
      <c r="C206" s="95"/>
      <c r="D206" s="95"/>
      <c r="E206" s="95"/>
      <c r="F206" s="95"/>
      <c r="G206" s="95"/>
      <c r="H206" s="97"/>
      <c r="I206" s="39">
        <f t="shared" si="3"/>
        <v>0</v>
      </c>
      <c r="J206" s="49"/>
      <c r="K206" s="36"/>
      <c r="L206" s="95"/>
      <c r="M206" s="120"/>
    </row>
    <row r="207">
      <c r="A207" s="92" t="s">
        <v>667</v>
      </c>
      <c r="B207" s="126" t="str">
        <f>HYPERLINK("http://codeforces.com/contest/129/problem/C","CF129-D2-C")</f>
        <v>CF129-D2-C</v>
      </c>
      <c r="C207" s="95"/>
      <c r="D207" s="95"/>
      <c r="E207" s="95"/>
      <c r="F207" s="95"/>
      <c r="G207" s="95"/>
      <c r="H207" s="97"/>
      <c r="I207" s="39">
        <f t="shared" si="3"/>
        <v>0</v>
      </c>
      <c r="J207" s="49"/>
      <c r="K207" s="36"/>
      <c r="L207" s="95"/>
      <c r="M207" s="120"/>
    </row>
    <row r="208">
      <c r="A208" s="92" t="s">
        <v>669</v>
      </c>
      <c r="B208" s="126" t="str">
        <f>HYPERLINK("http://codeforces.com/contest/400/problem/C","CF400-D2-C")</f>
        <v>CF400-D2-C</v>
      </c>
      <c r="C208" s="95"/>
      <c r="D208" s="95"/>
      <c r="E208" s="95"/>
      <c r="F208" s="95"/>
      <c r="G208" s="95"/>
      <c r="H208" s="97"/>
      <c r="I208" s="39">
        <f t="shared" si="3"/>
        <v>0</v>
      </c>
      <c r="J208" s="49"/>
      <c r="K208" s="36"/>
      <c r="L208" s="95"/>
      <c r="M208" s="120"/>
    </row>
    <row r="209">
      <c r="A209" s="92" t="s">
        <v>671</v>
      </c>
      <c r="B209" s="126" t="str">
        <f>HYPERLINK("http://codeforces.com/contest/144/problem/C","CF144-D2-C")</f>
        <v>CF144-D2-C</v>
      </c>
      <c r="C209" s="95"/>
      <c r="D209" s="95"/>
      <c r="E209" s="95"/>
      <c r="F209" s="95"/>
      <c r="G209" s="95"/>
      <c r="H209" s="97"/>
      <c r="I209" s="39">
        <f t="shared" si="3"/>
        <v>0</v>
      </c>
      <c r="J209" s="49"/>
      <c r="K209" s="36"/>
      <c r="L209" s="95"/>
      <c r="M209" s="120"/>
    </row>
    <row r="210">
      <c r="A210" s="92" t="s">
        <v>673</v>
      </c>
      <c r="B210" s="126" t="str">
        <f>HYPERLINK("http://codeforces.com/contest/525/problem/C","CF525-D2-C")</f>
        <v>CF525-D2-C</v>
      </c>
      <c r="C210" s="95"/>
      <c r="D210" s="95"/>
      <c r="E210" s="95"/>
      <c r="F210" s="95"/>
      <c r="G210" s="95"/>
      <c r="H210" s="97"/>
      <c r="I210" s="39">
        <f t="shared" si="3"/>
        <v>0</v>
      </c>
      <c r="J210" s="49"/>
      <c r="K210" s="36"/>
      <c r="L210" s="95"/>
      <c r="M210" s="120"/>
    </row>
    <row r="211">
      <c r="A211" s="92" t="s">
        <v>675</v>
      </c>
      <c r="B211" s="126" t="str">
        <f>HYPERLINK("http://codeforces.com/contest/599/problem/C","CF599-D2-C")</f>
        <v>CF599-D2-C</v>
      </c>
      <c r="C211" s="95"/>
      <c r="D211" s="95"/>
      <c r="E211" s="95"/>
      <c r="F211" s="95"/>
      <c r="G211" s="95"/>
      <c r="H211" s="97"/>
      <c r="I211" s="39">
        <f t="shared" si="3"/>
        <v>0</v>
      </c>
      <c r="J211" s="49"/>
      <c r="K211" s="36"/>
      <c r="L211" s="95"/>
      <c r="M211" s="120"/>
    </row>
    <row r="212">
      <c r="A212" s="92"/>
      <c r="B212" s="51"/>
      <c r="C212" s="95"/>
      <c r="D212" s="95"/>
      <c r="E212" s="95"/>
      <c r="F212" s="95"/>
      <c r="G212" s="95"/>
      <c r="H212" s="97"/>
      <c r="I212" s="39">
        <f t="shared" si="3"/>
        <v>0</v>
      </c>
      <c r="J212" s="49"/>
      <c r="K212" s="36"/>
      <c r="L212" s="95"/>
      <c r="M212" s="120"/>
    </row>
    <row r="213">
      <c r="A213" s="92" t="s">
        <v>678</v>
      </c>
      <c r="B213" s="126" t="str">
        <f>HYPERLINK("http://codeforces.com/contest/437/problem/C","CF437-D2-C")</f>
        <v>CF437-D2-C</v>
      </c>
      <c r="C213" s="95"/>
      <c r="D213" s="95"/>
      <c r="E213" s="95"/>
      <c r="F213" s="95"/>
      <c r="G213" s="95"/>
      <c r="H213" s="97"/>
      <c r="I213" s="39">
        <f t="shared" si="3"/>
        <v>0</v>
      </c>
      <c r="J213" s="49"/>
      <c r="K213" s="36"/>
      <c r="L213" s="95"/>
      <c r="M213" s="120"/>
    </row>
    <row r="214">
      <c r="A214" s="92" t="s">
        <v>680</v>
      </c>
      <c r="B214" s="126" t="str">
        <f>HYPERLINK("http://codeforces.com/contest/318/problem/C","CF318-D2-C")</f>
        <v>CF318-D2-C</v>
      </c>
      <c r="C214" s="95"/>
      <c r="D214" s="95"/>
      <c r="E214" s="95"/>
      <c r="F214" s="95"/>
      <c r="G214" s="95"/>
      <c r="H214" s="97"/>
      <c r="I214" s="39">
        <f t="shared" si="3"/>
        <v>0</v>
      </c>
      <c r="J214" s="49"/>
      <c r="K214" s="36"/>
      <c r="L214" s="95"/>
      <c r="M214" s="120"/>
    </row>
    <row r="215">
      <c r="A215" s="92" t="s">
        <v>683</v>
      </c>
      <c r="B215" s="126" t="str">
        <f>HYPERLINK("http://codeforces.com/contest/165/problem/C","CF165-D2-C")</f>
        <v>CF165-D2-C</v>
      </c>
      <c r="C215" s="95"/>
      <c r="D215" s="95"/>
      <c r="E215" s="95"/>
      <c r="F215" s="95"/>
      <c r="G215" s="95"/>
      <c r="H215" s="97"/>
      <c r="I215" s="39">
        <f t="shared" si="3"/>
        <v>0</v>
      </c>
      <c r="J215" s="49"/>
      <c r="K215" s="36"/>
      <c r="L215" s="95"/>
      <c r="M215" s="120"/>
    </row>
    <row r="216">
      <c r="A216" s="92" t="s">
        <v>684</v>
      </c>
      <c r="B216" s="126" t="str">
        <f>HYPERLINK("http://codeforces.com/contest/731/problem/C","CF731-D2-C")</f>
        <v>CF731-D2-C</v>
      </c>
      <c r="C216" s="95"/>
      <c r="D216" s="95"/>
      <c r="E216" s="95"/>
      <c r="F216" s="95"/>
      <c r="G216" s="95"/>
      <c r="H216" s="97"/>
      <c r="I216" s="39">
        <f t="shared" si="3"/>
        <v>0</v>
      </c>
      <c r="J216" s="49"/>
      <c r="K216" s="36"/>
      <c r="L216" s="95"/>
      <c r="M216" s="120"/>
    </row>
    <row r="217">
      <c r="A217" s="92" t="s">
        <v>686</v>
      </c>
      <c r="B217" s="126" t="str">
        <f>HYPERLINK("http://codeforces.com/contest/369/problem/C","CF369-D2-C")</f>
        <v>CF369-D2-C</v>
      </c>
      <c r="C217" s="95"/>
      <c r="D217" s="95"/>
      <c r="E217" s="95"/>
      <c r="F217" s="95"/>
      <c r="G217" s="95"/>
      <c r="H217" s="97"/>
      <c r="I217" s="39">
        <f t="shared" si="3"/>
        <v>0</v>
      </c>
      <c r="J217" s="49"/>
      <c r="K217" s="36"/>
      <c r="L217" s="95"/>
      <c r="M217" s="120"/>
    </row>
  </sheetData>
  <mergeCells count="2">
    <mergeCell ref="D180:G180"/>
    <mergeCell ref="J180:M180"/>
  </mergeCells>
  <conditionalFormatting sqref="K3:K178 K182:K217">
    <cfRule type="cellIs" dxfId="0" priority="1" operator="equal">
      <formula>"No"</formula>
    </cfRule>
  </conditionalFormatting>
  <conditionalFormatting sqref="K3:K178 K182:K217">
    <cfRule type="cellIs" dxfId="0" priority="2" operator="equal">
      <formula>"no"</formula>
    </cfRule>
  </conditionalFormatting>
  <conditionalFormatting sqref="K3:K178 K182:K217">
    <cfRule type="cellIs" dxfId="0" priority="3" operator="equal">
      <formula>"NO"</formula>
    </cfRule>
  </conditionalFormatting>
  <conditionalFormatting sqref="C3:C227">
    <cfRule type="cellIs" dxfId="1" priority="4" operator="equal">
      <formula>"AC"</formula>
    </cfRule>
  </conditionalFormatting>
  <conditionalFormatting sqref="C3:C178 C182:C217">
    <cfRule type="containsText" dxfId="2" priority="5" operator="containsText" text="WA">
      <formula>NOT(ISERROR(SEARCH(("WA"),(C3))))</formula>
    </cfRule>
  </conditionalFormatting>
  <conditionalFormatting sqref="C3:C227">
    <cfRule type="containsText" dxfId="2" priority="6" operator="containsText" text="WA">
      <formula>NOT(ISERROR(SEARCH(("WA"),(C3))))</formula>
    </cfRule>
  </conditionalFormatting>
  <conditionalFormatting sqref="C3:C178 C182:C217">
    <cfRule type="containsText" dxfId="3" priority="7" operator="containsText" text="TLE">
      <formula>NOT(ISERROR(SEARCH(("TLE"),(C3))))</formula>
    </cfRule>
  </conditionalFormatting>
  <conditionalFormatting sqref="C3:C227">
    <cfRule type="containsText" dxfId="3" priority="8" operator="containsText" text="TLE">
      <formula>NOT(ISERROR(SEARCH(("TLE"),(C3))))</formula>
    </cfRule>
  </conditionalFormatting>
  <conditionalFormatting sqref="C3:C178 C182:C217">
    <cfRule type="containsText" dxfId="4" priority="9" operator="containsText" text="RTE">
      <formula>NOT(ISERROR(SEARCH(("RTE"),(C3))))</formula>
    </cfRule>
  </conditionalFormatting>
  <conditionalFormatting sqref="C3:C227">
    <cfRule type="containsText" dxfId="4" priority="10" operator="containsText" text="RTE">
      <formula>NOT(ISERROR(SEARCH(("RTE"),(C3))))</formula>
    </cfRule>
  </conditionalFormatting>
  <conditionalFormatting sqref="C3:C178 C182:C217">
    <cfRule type="containsText" dxfId="5" priority="11" operator="containsText" text="CS">
      <formula>NOT(ISERROR(SEARCH(("CS"),(C3))))</formula>
    </cfRule>
  </conditionalFormatting>
  <conditionalFormatting sqref="C3:C227">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69" t="s">
        <v>0</v>
      </c>
      <c r="B1" s="72" t="s">
        <v>3</v>
      </c>
      <c r="C1" s="8" t="s">
        <v>9</v>
      </c>
      <c r="D1" s="9" t="s">
        <v>10</v>
      </c>
      <c r="E1" s="9" t="s">
        <v>11</v>
      </c>
      <c r="F1" s="8" t="s">
        <v>12</v>
      </c>
      <c r="G1" s="9" t="s">
        <v>13</v>
      </c>
      <c r="H1" s="9" t="s">
        <v>14</v>
      </c>
      <c r="I1" s="9" t="s">
        <v>15</v>
      </c>
      <c r="J1" s="8" t="s">
        <v>16</v>
      </c>
      <c r="K1" s="8" t="s">
        <v>17</v>
      </c>
      <c r="L1" s="8" t="s">
        <v>18</v>
      </c>
      <c r="M1" s="11" t="s">
        <v>19</v>
      </c>
    </row>
    <row r="2">
      <c r="A2" s="74"/>
      <c r="B2" s="77" t="s">
        <v>30</v>
      </c>
      <c r="C2" s="18">
        <f>countif(C3:C10514, "AC")</f>
        <v>0</v>
      </c>
      <c r="D2" s="21">
        <f>ROUND(SUMPRODUCT(D3:D10514,INT(EQ(C3:C10514, "AC")))/MAX(1, C2),1)</f>
        <v>0</v>
      </c>
      <c r="E2" s="21">
        <f>ROUND(SUMPRODUCT(E3:E10536,INT(EQ(C3:C10536, "AC")))/MAX(1, C2))</f>
        <v>0</v>
      </c>
      <c r="F2" s="21">
        <f>ROUND(SUMPRODUCT(F3:F10539,INT(EQ(C3:C10539, "AC")))/MAX(1, C2))</f>
        <v>0</v>
      </c>
      <c r="G2" s="21">
        <f>ROUND(SUMPRODUCT(G3:G10539,INT(EQ(C3:C10539, "AC")))/MAX(1, C2))</f>
        <v>0</v>
      </c>
      <c r="H2" s="21">
        <f>ROUND(SUMPRODUCT(H3:H10539,INT(EQ(C3:C10539, "AC")))/MAX(1, C2))</f>
        <v>0</v>
      </c>
      <c r="I2" s="21">
        <f>ROUND(SUMPRODUCT(I3:I10511,INT(EQ(C3:C10511, "AC")))/MAX(1, C2))</f>
        <v>0</v>
      </c>
      <c r="J2" s="21">
        <f>ROUND(SUMPRODUCT(J3:J10509,INT(EQ(C3:C10509, "AC")))/MAX(1, C2),1)</f>
        <v>0</v>
      </c>
      <c r="K2" s="21">
        <f>SUMPRODUCT(EQ(K3:K10514, "YES"),INT(EQ(C3:C10539, "AC")))</f>
        <v>0</v>
      </c>
      <c r="L2" s="30">
        <f>IFERROR(__xludf.DUMMYFUNCTION("COUNTA(FILTER(C3:C10006, NOT(REGEXMATCH(C3:C10006, ""AC""))))"),0.0)</f>
        <v>0</v>
      </c>
      <c r="M2" s="32">
        <f>IFERROR(__xludf.DUMMYFUNCTION("COUNTA(FILTER(C3:C10000, NOT(REGEXMATCH(C3:C10000, ""AC""))))"),0.0)</f>
        <v>0</v>
      </c>
    </row>
    <row r="3">
      <c r="A3" s="120"/>
      <c r="B3" s="120"/>
      <c r="C3" s="95"/>
      <c r="D3" s="95"/>
      <c r="E3" s="95"/>
      <c r="F3" s="95"/>
      <c r="G3" s="95"/>
      <c r="H3" s="97"/>
      <c r="I3" s="39">
        <f t="shared" ref="I3:I166" si="1">SUM(E3:H3)</f>
        <v>0</v>
      </c>
      <c r="J3" s="49"/>
      <c r="K3" s="36"/>
      <c r="L3" s="95"/>
      <c r="M3" s="116" t="str">
        <f>HYPERLINK("https://www.youtube.com/watch?v=YUIwEX8UEN0","Watch - Thinking - Search Space and Output Analysis")</f>
        <v>Watch - Thinking - Search Space and Output Analysis</v>
      </c>
    </row>
    <row r="4">
      <c r="A4" s="120"/>
      <c r="B4" s="120"/>
      <c r="C4" s="95"/>
      <c r="D4" s="95"/>
      <c r="E4" s="95"/>
      <c r="F4" s="95"/>
      <c r="G4" s="95"/>
      <c r="H4" s="97"/>
      <c r="I4" s="39">
        <f t="shared" si="1"/>
        <v>0</v>
      </c>
      <c r="J4" s="49"/>
      <c r="K4" s="36"/>
      <c r="L4" s="95"/>
      <c r="M4" s="115" t="str">
        <f>HYPERLINK("https://www.youtube.com/watch?v=TP8QXP6PBqM","Watch - Thinking - Observations Discovery ")</f>
        <v>Watch - Thinking - Observations Discovery </v>
      </c>
    </row>
    <row r="5">
      <c r="A5" s="120"/>
      <c r="B5" s="120"/>
      <c r="C5" s="95"/>
      <c r="D5" s="95"/>
      <c r="E5" s="95"/>
      <c r="F5" s="95"/>
      <c r="G5" s="95"/>
      <c r="H5" s="97"/>
      <c r="I5" s="39">
        <f t="shared" si="1"/>
        <v>0</v>
      </c>
      <c r="J5" s="49"/>
      <c r="K5" s="36"/>
      <c r="L5" s="95"/>
      <c r="M5" s="115" t="str">
        <f>HYPERLINK("https://www.youtube.com/watch?v=rdUs4FGkgRo","Watch - Game Theory - Intro")</f>
        <v>Watch - Game Theory - Intro</v>
      </c>
    </row>
    <row r="6">
      <c r="A6" s="117" t="s">
        <v>190</v>
      </c>
      <c r="B6" s="118" t="str">
        <f>HYPERLINK("http://codeforces.com/contest/151/problem/C","CF151-D2-C")</f>
        <v>CF151-D2-C</v>
      </c>
      <c r="C6" s="95"/>
      <c r="D6" s="95"/>
      <c r="E6" s="95"/>
      <c r="F6" s="95"/>
      <c r="G6" s="95"/>
      <c r="H6" s="97"/>
      <c r="I6" s="39">
        <f t="shared" si="1"/>
        <v>0</v>
      </c>
      <c r="J6" s="49"/>
      <c r="K6" s="36"/>
      <c r="L6" s="95"/>
      <c r="M6" s="85" t="str">
        <f>HYPERLINK("https://www.youtube.com/watch?v=SY88_vndOgI","Video Solution - Eng Mostafa Saad")</f>
        <v>Video Solution - Eng Mostafa Saad</v>
      </c>
    </row>
    <row r="7">
      <c r="A7" s="124" t="s">
        <v>193</v>
      </c>
      <c r="B7" s="125" t="str">
        <f>HYPERLINK("http://www.spoj.com/problems/PIR/","SPOJ PIR")</f>
        <v>SPOJ PIR</v>
      </c>
      <c r="C7" s="95"/>
      <c r="D7" s="95"/>
      <c r="E7" s="95"/>
      <c r="F7" s="95"/>
      <c r="G7" s="95"/>
      <c r="H7" s="97"/>
      <c r="I7" s="39">
        <f t="shared" si="1"/>
        <v>0</v>
      </c>
      <c r="J7" s="49"/>
      <c r="K7" s="36"/>
      <c r="L7" s="95"/>
      <c r="M7" s="126" t="str">
        <f>HYPERLINK("https://github.com/mostafa-saad/MyCompetitiveProgramming/blob/master/SPOJ/SPOJ_PIR.txt","Sol")</f>
        <v>Sol</v>
      </c>
    </row>
    <row r="8">
      <c r="A8" s="124" t="s">
        <v>196</v>
      </c>
      <c r="B8" s="125" t="str">
        <f>HYPERLINK("https://uva.onlinejudge.org/index.php?option=com_onlinejudge&amp;Itemid=8&amp;page=show_problem&amp;problem=49","UVA 113")</f>
        <v>UVA 113</v>
      </c>
      <c r="C8" s="95"/>
      <c r="D8" s="95"/>
      <c r="E8" s="95"/>
      <c r="F8" s="95"/>
      <c r="G8" s="95"/>
      <c r="H8" s="97"/>
      <c r="I8" s="39">
        <f t="shared" si="1"/>
        <v>0</v>
      </c>
      <c r="J8" s="49"/>
      <c r="K8" s="36"/>
      <c r="L8" s="95"/>
      <c r="M8" s="131" t="str">
        <f>HYPERLINK("https://github.com/magdy-hasan/competitive-programming/blob/master/uva-/uva%20113%20-%20Power%20of%20Cryptography.cpp","Sol to read")</f>
        <v>Sol to read</v>
      </c>
    </row>
    <row r="9">
      <c r="A9" s="124"/>
      <c r="B9" s="124" t="s">
        <v>198</v>
      </c>
      <c r="C9" s="95"/>
      <c r="D9" s="95"/>
      <c r="E9" s="95"/>
      <c r="F9" s="95"/>
      <c r="G9" s="95"/>
      <c r="H9" s="97"/>
      <c r="I9" s="39">
        <f t="shared" si="1"/>
        <v>0</v>
      </c>
      <c r="J9" s="49"/>
      <c r="K9" s="36"/>
      <c r="L9" s="95"/>
      <c r="M9" s="131"/>
    </row>
    <row r="10">
      <c r="A10" s="129" t="s">
        <v>199</v>
      </c>
      <c r="B10" s="132" t="str">
        <f>HYPERLINK("https://uva.onlinejudge.org/index.php?option=onlinejudge&amp;page=show_problem&amp;problem=1403","UVA 10462")</f>
        <v>UVA 10462</v>
      </c>
      <c r="C10" s="95"/>
      <c r="D10" s="95"/>
      <c r="E10" s="95"/>
      <c r="F10" s="95"/>
      <c r="G10" s="95"/>
      <c r="H10" s="97"/>
      <c r="I10" s="39">
        <f t="shared" si="1"/>
        <v>0</v>
      </c>
      <c r="J10" s="16"/>
      <c r="K10" s="80"/>
      <c r="L10" s="80"/>
      <c r="M10" s="80"/>
    </row>
    <row r="11">
      <c r="A11" s="129"/>
      <c r="B11" s="124" t="s">
        <v>202</v>
      </c>
      <c r="C11" s="95"/>
      <c r="D11" s="95"/>
      <c r="E11" s="95"/>
      <c r="F11" s="95"/>
      <c r="G11" s="95"/>
      <c r="H11" s="97"/>
      <c r="I11" s="39">
        <f t="shared" si="1"/>
        <v>0</v>
      </c>
      <c r="J11" s="16"/>
      <c r="K11" s="80"/>
      <c r="L11" s="80"/>
      <c r="M11" s="80"/>
    </row>
    <row r="12">
      <c r="A12" s="120"/>
      <c r="B12" s="120"/>
      <c r="C12" s="95"/>
      <c r="D12" s="95"/>
      <c r="E12" s="95"/>
      <c r="F12" s="95"/>
      <c r="G12" s="95"/>
      <c r="H12" s="97"/>
      <c r="I12" s="39">
        <f t="shared" si="1"/>
        <v>0</v>
      </c>
      <c r="J12" s="49"/>
      <c r="K12" s="36"/>
      <c r="L12" s="95"/>
      <c r="M12" s="135"/>
    </row>
    <row r="13">
      <c r="A13" s="92" t="s">
        <v>205</v>
      </c>
      <c r="B13" s="126" t="str">
        <f>HYPERLINK("http://codeforces.com/contest/75/problem/C","CF75-D2-C")</f>
        <v>CF75-D2-C</v>
      </c>
      <c r="C13" s="95"/>
      <c r="D13" s="95"/>
      <c r="E13" s="95"/>
      <c r="F13" s="95"/>
      <c r="G13" s="95"/>
      <c r="H13" s="97"/>
      <c r="I13" s="39">
        <f t="shared" si="1"/>
        <v>0</v>
      </c>
      <c r="J13" s="49"/>
      <c r="K13" s="36"/>
      <c r="L13" s="95"/>
      <c r="M13" s="85" t="str">
        <f>HYPERLINK("https://www.youtube.com/watch?v=EZg71v0Z5iE","Video Solution - Eng Mostafa Saad")</f>
        <v>Video Solution - Eng Mostafa Saad</v>
      </c>
    </row>
    <row r="14">
      <c r="A14" s="92" t="s">
        <v>208</v>
      </c>
      <c r="B14" s="126" t="str">
        <f>HYPERLINK("http://codeforces.com/contest/740/problem/C","CF740-D2-C")</f>
        <v>CF740-D2-C</v>
      </c>
      <c r="C14" s="95"/>
      <c r="D14" s="95"/>
      <c r="E14" s="95"/>
      <c r="F14" s="95"/>
      <c r="G14" s="95"/>
      <c r="H14" s="97"/>
      <c r="I14" s="39">
        <f t="shared" si="1"/>
        <v>0</v>
      </c>
      <c r="J14" s="49"/>
      <c r="K14" s="36"/>
      <c r="L14" s="95"/>
      <c r="M14" s="85" t="str">
        <f>HYPERLINK("https://www.youtube.com/watch?v=yDt7GWiPeV4","Video Solution - Eng Mostafa Saad")</f>
        <v>Video Solution - Eng Mostafa Saad</v>
      </c>
    </row>
    <row r="15">
      <c r="A15" s="92" t="s">
        <v>212</v>
      </c>
      <c r="B15" s="126" t="str">
        <f>HYPERLINK("http://codeforces.com/contest/371/problem/C","CF371-D2-C")</f>
        <v>CF371-D2-C</v>
      </c>
      <c r="C15" s="95"/>
      <c r="D15" s="95"/>
      <c r="E15" s="95"/>
      <c r="F15" s="95"/>
      <c r="G15" s="95"/>
      <c r="H15" s="97"/>
      <c r="I15" s="39">
        <f t="shared" si="1"/>
        <v>0</v>
      </c>
      <c r="J15" s="49"/>
      <c r="K15" s="36"/>
      <c r="L15" s="95"/>
      <c r="M15" s="120"/>
    </row>
    <row r="16">
      <c r="A16" s="92" t="s">
        <v>213</v>
      </c>
      <c r="B16" s="126" t="str">
        <f>HYPERLINK("http://codeforces.com/contest/621/problem/C","CF621-D2-C")</f>
        <v>CF621-D2-C</v>
      </c>
      <c r="C16" s="95"/>
      <c r="D16" s="95"/>
      <c r="E16" s="95"/>
      <c r="F16" s="95"/>
      <c r="G16" s="95"/>
      <c r="H16" s="97"/>
      <c r="I16" s="39">
        <f t="shared" si="1"/>
        <v>0</v>
      </c>
      <c r="J16" s="49"/>
      <c r="K16" s="36"/>
      <c r="L16" s="127"/>
      <c r="M16" s="120"/>
    </row>
    <row r="17">
      <c r="A17" s="92" t="s">
        <v>216</v>
      </c>
      <c r="B17" s="126" t="str">
        <f>HYPERLINK("http://codeforces.com/contest/451/problem/C","CF451-D2-C")</f>
        <v>CF451-D2-C</v>
      </c>
      <c r="C17" s="95"/>
      <c r="D17" s="95"/>
      <c r="E17" s="95"/>
      <c r="F17" s="95"/>
      <c r="G17" s="95"/>
      <c r="H17" s="97"/>
      <c r="I17" s="39">
        <f t="shared" si="1"/>
        <v>0</v>
      </c>
      <c r="J17" s="49"/>
      <c r="K17" s="36"/>
      <c r="L17" s="127"/>
      <c r="M17" s="105"/>
    </row>
    <row r="18">
      <c r="A18" s="92" t="s">
        <v>219</v>
      </c>
      <c r="B18" s="126" t="str">
        <f>HYPERLINK("http://codeforces.com/contest/471/problem/C","CF471-D2-C")</f>
        <v>CF471-D2-C</v>
      </c>
      <c r="C18" s="95"/>
      <c r="D18" s="95"/>
      <c r="E18" s="95"/>
      <c r="F18" s="95"/>
      <c r="G18" s="95"/>
      <c r="H18" s="97"/>
      <c r="I18" s="39">
        <f t="shared" si="1"/>
        <v>0</v>
      </c>
      <c r="J18" s="49"/>
      <c r="K18" s="36"/>
      <c r="L18" s="127"/>
      <c r="M18" s="105"/>
    </row>
    <row r="19">
      <c r="A19" s="92" t="s">
        <v>220</v>
      </c>
      <c r="B19" s="141" t="str">
        <f>HYPERLINK("http://codeforces.com/contest/260/problem/C","CF260-D2-C")</f>
        <v>CF260-D2-C</v>
      </c>
      <c r="C19" s="95"/>
      <c r="D19" s="95"/>
      <c r="E19" s="95"/>
      <c r="F19" s="95"/>
      <c r="G19" s="95"/>
      <c r="H19" s="97"/>
      <c r="I19" s="39">
        <f t="shared" si="1"/>
        <v>0</v>
      </c>
      <c r="J19" s="49"/>
      <c r="K19" s="36"/>
      <c r="L19" s="80"/>
      <c r="M19" s="85" t="str">
        <f>HYPERLINK("https://www.youtube.com/watch?v=W3Zp3yqNsOs","Video Solution - Eng Mostafa Saad")</f>
        <v>Video Solution - Eng Mostafa Saad</v>
      </c>
    </row>
    <row r="20">
      <c r="A20" s="92" t="s">
        <v>224</v>
      </c>
      <c r="B20" s="141" t="str">
        <f>HYPERLINK("http://codeforces.com/contest/347/problem/C","CF347-D2-C")</f>
        <v>CF347-D2-C</v>
      </c>
      <c r="C20" s="95"/>
      <c r="D20" s="95"/>
      <c r="E20" s="95"/>
      <c r="F20" s="95"/>
      <c r="G20" s="95"/>
      <c r="H20" s="97"/>
      <c r="I20" s="39">
        <f t="shared" si="1"/>
        <v>0</v>
      </c>
      <c r="J20" s="49"/>
      <c r="K20" s="36"/>
      <c r="L20" s="80"/>
      <c r="M20" s="83" t="str">
        <f>HYPERLINK("https://www.youtube.com/watch?v=CfBk2dwfLaE","Video Solution - Eng Mohamed Nasser")</f>
        <v>Video Solution - Eng Mohamed Nasser</v>
      </c>
    </row>
    <row r="21">
      <c r="A21" s="92" t="s">
        <v>226</v>
      </c>
      <c r="B21" s="65" t="str">
        <f>HYPERLINK("http://codeforces.com/contest/959/problem/C","CF959-D2-C")</f>
        <v>CF959-D2-C</v>
      </c>
      <c r="C21" s="95"/>
      <c r="D21" s="95"/>
      <c r="E21" s="95"/>
      <c r="F21" s="95"/>
      <c r="G21" s="95"/>
      <c r="H21" s="97"/>
      <c r="I21" s="39">
        <f t="shared" si="1"/>
        <v>0</v>
      </c>
      <c r="J21" s="49"/>
      <c r="K21" s="36"/>
      <c r="L21" s="80"/>
      <c r="M21" s="83" t="str">
        <f>HYPERLINK("https://www.youtube.com/watch?v=bvDYHy9ESnY&amp;","Video Solution - Eng Mohamed Salah")</f>
        <v>Video Solution - Eng Mohamed Salah</v>
      </c>
    </row>
    <row r="22">
      <c r="A22" s="92"/>
      <c r="B22" s="65" t="str">
        <f>HYPERLINK("http://codeforces.com/contest/1065/problem/C","CF1065-D2-C")</f>
        <v>CF1065-D2-C</v>
      </c>
      <c r="C22" s="95"/>
      <c r="D22" s="95"/>
      <c r="E22" s="95"/>
      <c r="F22" s="95"/>
      <c r="G22" s="95"/>
      <c r="H22" s="97"/>
      <c r="I22" s="39">
        <f t="shared" si="1"/>
        <v>0</v>
      </c>
      <c r="J22" s="49"/>
      <c r="K22" s="36"/>
      <c r="L22" s="80"/>
      <c r="M22" s="144"/>
    </row>
    <row r="23">
      <c r="A23" s="92"/>
      <c r="B23" s="65" t="str">
        <f>HYPERLINK("http://codeforces.com/contest/1036/problem/C","CF1036-D2-C")</f>
        <v>CF1036-D2-C</v>
      </c>
      <c r="C23" s="95"/>
      <c r="D23" s="95"/>
      <c r="E23" s="95"/>
      <c r="F23" s="95"/>
      <c r="G23" s="95"/>
      <c r="H23" s="97"/>
      <c r="I23" s="39">
        <f t="shared" si="1"/>
        <v>0</v>
      </c>
      <c r="J23" s="49"/>
      <c r="K23" s="36"/>
      <c r="L23" s="80"/>
      <c r="M23" s="144"/>
    </row>
    <row r="24">
      <c r="A24" s="92"/>
      <c r="B24" s="65" t="str">
        <f>HYPERLINK("https://codeforces.com/contest/1068/problem/C","CF1068-D2-C")</f>
        <v>CF1068-D2-C</v>
      </c>
      <c r="C24" s="95"/>
      <c r="D24" s="95"/>
      <c r="E24" s="95"/>
      <c r="F24" s="95"/>
      <c r="G24" s="95"/>
      <c r="H24" s="97"/>
      <c r="I24" s="39">
        <f t="shared" si="1"/>
        <v>0</v>
      </c>
      <c r="J24" s="49"/>
      <c r="K24" s="36"/>
      <c r="L24" s="80"/>
      <c r="M24" s="144"/>
    </row>
    <row r="25">
      <c r="A25" s="92"/>
      <c r="B25" s="110" t="str">
        <f>HYPERLINK("http://codeforces.com/contest/313/problem/C","CF313-D2-C")</f>
        <v>CF313-D2-C</v>
      </c>
      <c r="C25" s="95"/>
      <c r="D25" s="95"/>
      <c r="E25" s="95"/>
      <c r="F25" s="95"/>
      <c r="G25" s="95"/>
      <c r="H25" s="97"/>
      <c r="I25" s="39">
        <f t="shared" si="1"/>
        <v>0</v>
      </c>
      <c r="J25" s="49"/>
      <c r="K25" s="36"/>
      <c r="L25" s="80"/>
      <c r="M25" s="144"/>
    </row>
    <row r="26">
      <c r="A26" s="137" t="s">
        <v>237</v>
      </c>
      <c r="B26" s="150" t="str">
        <f>HYPERLINK("http://codeforces.com/contest/430/problem/B","CF430-D2-B")</f>
        <v>CF430-D2-B</v>
      </c>
      <c r="C26" s="95"/>
      <c r="D26" s="95"/>
      <c r="E26" s="95"/>
      <c r="F26" s="95"/>
      <c r="G26" s="95"/>
      <c r="H26" s="97"/>
      <c r="I26" s="39">
        <f t="shared" si="1"/>
        <v>0</v>
      </c>
      <c r="J26" s="49"/>
      <c r="K26" s="36"/>
      <c r="L26" s="80"/>
      <c r="M26" s="144"/>
    </row>
    <row r="27">
      <c r="A27" s="137" t="s">
        <v>239</v>
      </c>
      <c r="B27" s="150" t="str">
        <f>HYPERLINK("http://codeforces.com/contest/124/problem/B","CF124-D2-B")</f>
        <v>CF124-D2-B</v>
      </c>
      <c r="C27" s="95"/>
      <c r="D27" s="95"/>
      <c r="E27" s="95"/>
      <c r="F27" s="95"/>
      <c r="G27" s="95"/>
      <c r="H27" s="97"/>
      <c r="I27" s="39">
        <f t="shared" si="1"/>
        <v>0</v>
      </c>
      <c r="J27" s="49"/>
      <c r="K27" s="36"/>
      <c r="L27" s="80"/>
      <c r="M27" s="144"/>
    </row>
    <row r="28">
      <c r="A28" s="137" t="s">
        <v>240</v>
      </c>
      <c r="B28" s="150" t="str">
        <f>HYPERLINK("http://codeforces.com/contest/84/problem/B","CF84-D2-B")</f>
        <v>CF84-D2-B</v>
      </c>
      <c r="C28" s="95"/>
      <c r="D28" s="95"/>
      <c r="E28" s="95"/>
      <c r="F28" s="95"/>
      <c r="G28" s="95"/>
      <c r="H28" s="97"/>
      <c r="I28" s="39">
        <f t="shared" si="1"/>
        <v>0</v>
      </c>
      <c r="J28" s="49"/>
      <c r="K28" s="36"/>
      <c r="L28" s="80"/>
      <c r="M28" s="144"/>
    </row>
    <row r="29">
      <c r="A29" s="120"/>
      <c r="B29" s="120"/>
      <c r="C29" s="95"/>
      <c r="D29" s="95"/>
      <c r="E29" s="95"/>
      <c r="F29" s="95"/>
      <c r="G29" s="95"/>
      <c r="H29" s="97"/>
      <c r="I29" s="39">
        <f t="shared" si="1"/>
        <v>0</v>
      </c>
      <c r="J29" s="49"/>
      <c r="K29" s="36"/>
      <c r="L29" s="127"/>
      <c r="M29" s="115" t="str">
        <f>HYPERLINK("https://www.youtube.com/watch?v=fT4JZU5hO58","Watch - Thinking - Misc - Solution Verification - Implementation")</f>
        <v>Watch - Thinking - Misc - Solution Verification - Implementation</v>
      </c>
    </row>
    <row r="30">
      <c r="A30" s="120"/>
      <c r="B30" s="120"/>
      <c r="C30" s="95"/>
      <c r="D30" s="95"/>
      <c r="E30" s="95"/>
      <c r="F30" s="95"/>
      <c r="G30" s="95"/>
      <c r="H30" s="97"/>
      <c r="I30" s="39">
        <f t="shared" si="1"/>
        <v>0</v>
      </c>
      <c r="J30" s="49"/>
      <c r="K30" s="36"/>
      <c r="L30" s="127"/>
      <c r="M30" s="154" t="str">
        <f>HYPERLINK("https://www.youtube.com/watch?v=6GzxGabB5MI","Watch - Graph Theory - Dijkstra")</f>
        <v>Watch - Graph Theory - Dijkstra</v>
      </c>
    </row>
    <row r="31">
      <c r="A31" s="117" t="s">
        <v>244</v>
      </c>
      <c r="B31" s="153" t="str">
        <f>HYPERLINK("https://uva.onlinejudge.org/index.php?option=com_onlinejudge&amp;Itemid=8&amp;page=show_problem&amp;problem=512","UVA 571")</f>
        <v>UVA 571</v>
      </c>
      <c r="C31" s="95"/>
      <c r="D31" s="95"/>
      <c r="E31" s="95"/>
      <c r="F31" s="95"/>
      <c r="G31" s="95"/>
      <c r="H31" s="97"/>
      <c r="I31" s="39">
        <f t="shared" si="1"/>
        <v>0</v>
      </c>
      <c r="J31" s="49"/>
      <c r="K31" s="36"/>
      <c r="L31" s="16"/>
      <c r="M31" s="158" t="str">
        <f>HYPERLINK("https://www.youtube.com/watch?v=y0J3Jznp3kE","Video Solution - Eng Mostafa Saad")</f>
        <v>Video Solution - Eng Mostafa Saad</v>
      </c>
    </row>
    <row r="32">
      <c r="A32" s="117" t="s">
        <v>246</v>
      </c>
      <c r="B32" s="160" t="str">
        <f>HYPERLINK("https://uva.onlinejudge.org/index.php?option=com_onlinejudge&amp;Itemid=8&amp;page=show_problem&amp;problem=1927","UVA 10986")</f>
        <v>UVA 10986</v>
      </c>
      <c r="C32" s="95"/>
      <c r="D32" s="95"/>
      <c r="E32" s="95"/>
      <c r="F32" s="95"/>
      <c r="G32" s="95"/>
      <c r="H32" s="97"/>
      <c r="I32" s="39">
        <f t="shared" si="1"/>
        <v>0</v>
      </c>
      <c r="J32" s="49"/>
      <c r="K32" s="36"/>
      <c r="L32" s="127"/>
      <c r="M32" s="120"/>
    </row>
    <row r="33">
      <c r="A33" s="117" t="s">
        <v>249</v>
      </c>
      <c r="B33" s="160" t="str">
        <f>HYPERLINK("https://uva.onlinejudge.org/index.php?option=onlinejudge&amp;page=show_problem&amp;problem=1742","UVA 10801")</f>
        <v>UVA 10801</v>
      </c>
      <c r="C33" s="95"/>
      <c r="D33" s="95"/>
      <c r="E33" s="95"/>
      <c r="F33" s="95"/>
      <c r="G33" s="95"/>
      <c r="H33" s="97"/>
      <c r="I33" s="39">
        <f t="shared" si="1"/>
        <v>0</v>
      </c>
      <c r="J33" s="49"/>
      <c r="K33" s="36"/>
      <c r="L33" s="127"/>
      <c r="M33" s="120"/>
    </row>
    <row r="34">
      <c r="A34" s="117" t="s">
        <v>250</v>
      </c>
      <c r="B34" s="160" t="str">
        <f>HYPERLINK("http://www.spoj.com/problems/SHOP/","SPOJ SHOP")</f>
        <v>SPOJ SHOP</v>
      </c>
      <c r="C34" s="95"/>
      <c r="D34" s="95"/>
      <c r="E34" s="95"/>
      <c r="F34" s="95"/>
      <c r="G34" s="95"/>
      <c r="H34" s="97"/>
      <c r="I34" s="39">
        <f t="shared" si="1"/>
        <v>0</v>
      </c>
      <c r="J34" s="49"/>
      <c r="K34" s="36"/>
      <c r="L34" s="127"/>
      <c r="M34" s="120"/>
    </row>
    <row r="35">
      <c r="A35" s="124" t="s">
        <v>252</v>
      </c>
      <c r="B35" s="125" t="str">
        <f>HYPERLINK("https://uva.onlinejudge.org/index.php?option=com_onlinejudge&amp;Itemid=8&amp;page=show_problem&amp;problem=793","UVA 852")</f>
        <v>UVA 852</v>
      </c>
      <c r="C35" s="95"/>
      <c r="D35" s="95"/>
      <c r="E35" s="95"/>
      <c r="F35" s="95"/>
      <c r="G35" s="95"/>
      <c r="H35" s="97"/>
      <c r="I35" s="39">
        <f t="shared" si="1"/>
        <v>0</v>
      </c>
      <c r="J35" s="49"/>
      <c r="K35" s="36"/>
      <c r="L35" s="127"/>
      <c r="M35" s="120"/>
    </row>
    <row r="36">
      <c r="A36" s="124" t="s">
        <v>255</v>
      </c>
      <c r="B36" s="125" t="str">
        <f>HYPERLINK("https://uva.onlinejudge.org/index.php?option=com_onlinejudge&amp;Itemid=8&amp;page=show_problem&amp;problem=230","UVA 294")</f>
        <v>UVA 294</v>
      </c>
      <c r="C36" s="95"/>
      <c r="D36" s="95"/>
      <c r="E36" s="95"/>
      <c r="F36" s="95"/>
      <c r="G36" s="95"/>
      <c r="H36" s="97"/>
      <c r="I36" s="39">
        <f t="shared" si="1"/>
        <v>0</v>
      </c>
      <c r="J36" s="49"/>
      <c r="K36" s="36"/>
      <c r="L36" s="127"/>
      <c r="M36" s="120"/>
    </row>
    <row r="37">
      <c r="A37" s="163" t="s">
        <v>258</v>
      </c>
      <c r="B37" s="165" t="str">
        <f>HYPERLINK("https://uva.onlinejudge.org/index.php?option=onlinejudge&amp;page=show_problem&amp;problem=813","UVA 872")</f>
        <v>UVA 872</v>
      </c>
      <c r="C37" s="95"/>
      <c r="D37" s="95"/>
      <c r="E37" s="95"/>
      <c r="F37" s="95"/>
      <c r="G37" s="95"/>
      <c r="H37" s="97"/>
      <c r="I37" s="39">
        <f t="shared" si="1"/>
        <v>0</v>
      </c>
      <c r="J37" s="111"/>
      <c r="K37" s="112"/>
      <c r="L37" s="16"/>
      <c r="M37" s="16"/>
    </row>
    <row r="38">
      <c r="A38" s="163" t="s">
        <v>261</v>
      </c>
      <c r="B38" s="165" t="str">
        <f>HYPERLINK("http://acm.zju.edu.cn/onlinejudge/showProblem.do?problemCode=3295","ZOJ 3295")</f>
        <v>ZOJ 3295</v>
      </c>
      <c r="C38" s="95"/>
      <c r="D38" s="95"/>
      <c r="E38" s="95"/>
      <c r="F38" s="95"/>
      <c r="G38" s="95"/>
      <c r="H38" s="97"/>
      <c r="I38" s="39">
        <f t="shared" si="1"/>
        <v>0</v>
      </c>
      <c r="J38" s="111"/>
      <c r="K38" s="112"/>
      <c r="L38" s="16"/>
      <c r="M38" s="16"/>
    </row>
    <row r="39">
      <c r="A39" s="163"/>
      <c r="B39" s="165" t="str">
        <f>HYPERLINK("https://codeforces.com/contest/1064/problem/C","CF1064-D2-C")</f>
        <v>CF1064-D2-C</v>
      </c>
      <c r="C39" s="95"/>
      <c r="D39" s="95"/>
      <c r="E39" s="95"/>
      <c r="F39" s="95"/>
      <c r="G39" s="95"/>
      <c r="H39" s="97"/>
      <c r="I39" s="39">
        <f t="shared" si="1"/>
        <v>0</v>
      </c>
      <c r="J39" s="111"/>
      <c r="K39" s="112"/>
      <c r="L39" s="16"/>
      <c r="M39" s="16"/>
    </row>
    <row r="40">
      <c r="A40" s="163"/>
      <c r="B40" s="165" t="str">
        <f>HYPERLINK("https://codeforces.com/contest/1059/problem/C","CF1059-D2-C")</f>
        <v>CF1059-D2-C</v>
      </c>
      <c r="C40" s="95"/>
      <c r="D40" s="95"/>
      <c r="E40" s="95"/>
      <c r="F40" s="95"/>
      <c r="G40" s="95"/>
      <c r="H40" s="97"/>
      <c r="I40" s="39">
        <f t="shared" si="1"/>
        <v>0</v>
      </c>
      <c r="J40" s="111"/>
      <c r="K40" s="112"/>
      <c r="L40" s="16"/>
      <c r="M40" s="16"/>
    </row>
    <row r="41">
      <c r="A41" s="120"/>
      <c r="B41" s="120"/>
      <c r="C41" s="95"/>
      <c r="D41" s="95"/>
      <c r="E41" s="95"/>
      <c r="F41" s="95"/>
      <c r="G41" s="95"/>
      <c r="H41" s="97"/>
      <c r="I41" s="39">
        <f t="shared" si="1"/>
        <v>0</v>
      </c>
      <c r="J41" s="49"/>
      <c r="K41" s="36"/>
      <c r="L41" s="127"/>
      <c r="M41" s="120"/>
    </row>
    <row r="42">
      <c r="A42" s="92" t="s">
        <v>264</v>
      </c>
      <c r="B42" s="126" t="str">
        <f>HYPERLINK("http://codeforces.com/contest/63/problem/C","CF63-D2-C")</f>
        <v>CF63-D2-C</v>
      </c>
      <c r="C42" s="95"/>
      <c r="D42" s="95"/>
      <c r="E42" s="95"/>
      <c r="F42" s="95"/>
      <c r="G42" s="95"/>
      <c r="H42" s="97"/>
      <c r="I42" s="39">
        <f t="shared" si="1"/>
        <v>0</v>
      </c>
      <c r="J42" s="49"/>
      <c r="K42" s="36"/>
      <c r="L42" s="127"/>
      <c r="M42" s="126" t="str">
        <f>HYPERLINK("https://github.com/ilyesG/Competitive-Programming/blob/master/CodeForces/CF63-D2-C.cpp","Sol")</f>
        <v>Sol</v>
      </c>
    </row>
    <row r="43">
      <c r="A43" s="92" t="s">
        <v>267</v>
      </c>
      <c r="B43" s="126" t="str">
        <f>HYPERLINK("http://codeforces.com/contest/430/problem/C","CF430-D2-C")</f>
        <v>CF430-D2-C</v>
      </c>
      <c r="C43" s="95"/>
      <c r="D43" s="95"/>
      <c r="E43" s="95"/>
      <c r="F43" s="95"/>
      <c r="G43" s="95"/>
      <c r="H43" s="97"/>
      <c r="I43" s="39">
        <f t="shared" si="1"/>
        <v>0</v>
      </c>
      <c r="J43" s="49"/>
      <c r="K43" s="36"/>
      <c r="L43" s="127"/>
      <c r="M43" s="120"/>
    </row>
    <row r="44">
      <c r="A44" s="92" t="s">
        <v>269</v>
      </c>
      <c r="B44" s="126" t="str">
        <f>HYPERLINK("http://codeforces.com/contest/591/problem/C","CF591-D2-C")</f>
        <v>CF591-D2-C</v>
      </c>
      <c r="C44" s="95"/>
      <c r="D44" s="95"/>
      <c r="E44" s="95"/>
      <c r="F44" s="95"/>
      <c r="G44" s="95"/>
      <c r="H44" s="97"/>
      <c r="I44" s="39">
        <f t="shared" si="1"/>
        <v>0</v>
      </c>
      <c r="J44" s="49"/>
      <c r="K44" s="36"/>
      <c r="L44" s="127"/>
      <c r="M44" s="105"/>
    </row>
    <row r="45">
      <c r="A45" s="92" t="s">
        <v>270</v>
      </c>
      <c r="B45" s="126" t="str">
        <f>HYPERLINK("http://codeforces.com/contest/711/problem/C","CF711-D2-C")</f>
        <v>CF711-D2-C</v>
      </c>
      <c r="C45" s="95"/>
      <c r="D45" s="95"/>
      <c r="E45" s="95"/>
      <c r="F45" s="95"/>
      <c r="G45" s="95"/>
      <c r="H45" s="97"/>
      <c r="I45" s="39">
        <f t="shared" si="1"/>
        <v>0</v>
      </c>
      <c r="J45" s="49"/>
      <c r="K45" s="36"/>
      <c r="L45" s="127"/>
      <c r="M45" s="85" t="str">
        <f>HYPERLINK("https://www.youtube.com/watch?v=aYERNlE7KLU","Video Solution - Solver to be")</f>
        <v>Video Solution - Solver to be</v>
      </c>
    </row>
    <row r="46">
      <c r="A46" s="105" t="s">
        <v>272</v>
      </c>
      <c r="B46" s="110" t="str">
        <f>HYPERLINK("http://codeforces.com/contest/202/problem/C","CF202-D2-C")</f>
        <v>CF202-D2-C</v>
      </c>
      <c r="C46" s="95"/>
      <c r="D46" s="95"/>
      <c r="E46" s="95"/>
      <c r="F46" s="95"/>
      <c r="G46" s="95"/>
      <c r="H46" s="97"/>
      <c r="I46" s="39">
        <f t="shared" si="1"/>
        <v>0</v>
      </c>
      <c r="J46" s="49"/>
      <c r="K46" s="36"/>
      <c r="L46" s="16"/>
      <c r="M46" s="16"/>
    </row>
    <row r="47">
      <c r="A47" s="105" t="s">
        <v>275</v>
      </c>
      <c r="B47" s="110" t="str">
        <f>HYPERLINK("http://codeforces.com/contest/320/problem/C","CF320-D2-C")</f>
        <v>CF320-D2-C</v>
      </c>
      <c r="C47" s="95"/>
      <c r="D47" s="95"/>
      <c r="E47" s="95"/>
      <c r="F47" s="95"/>
      <c r="G47" s="95"/>
      <c r="H47" s="97"/>
      <c r="I47" s="39">
        <f t="shared" si="1"/>
        <v>0</v>
      </c>
      <c r="J47" s="49"/>
      <c r="K47" s="36"/>
      <c r="L47" s="16"/>
      <c r="M47" s="16"/>
    </row>
    <row r="48">
      <c r="A48" s="92" t="s">
        <v>277</v>
      </c>
      <c r="B48" s="126" t="str">
        <f>HYPERLINK("http://codeforces.com/contest/426/problem/C","CF426-D2-C")</f>
        <v>CF426-D2-C</v>
      </c>
      <c r="C48" s="95"/>
      <c r="D48" s="95"/>
      <c r="E48" s="95"/>
      <c r="F48" s="95"/>
      <c r="G48" s="95"/>
      <c r="H48" s="97"/>
      <c r="I48" s="39">
        <f t="shared" si="1"/>
        <v>0</v>
      </c>
      <c r="J48" s="49"/>
      <c r="K48" s="36"/>
      <c r="L48" s="127"/>
      <c r="M48" s="120"/>
    </row>
    <row r="49">
      <c r="A49" s="92" t="s">
        <v>280</v>
      </c>
      <c r="B49" s="126" t="str">
        <f>HYPERLINK("http://codeforces.com/contest/58/problem/C","CF58-D2-C")</f>
        <v>CF58-D2-C</v>
      </c>
      <c r="C49" s="95"/>
      <c r="D49" s="95"/>
      <c r="E49" s="95"/>
      <c r="F49" s="95"/>
      <c r="G49" s="95"/>
      <c r="H49" s="97"/>
      <c r="I49" s="39">
        <f t="shared" si="1"/>
        <v>0</v>
      </c>
      <c r="J49" s="49"/>
      <c r="K49" s="36"/>
      <c r="L49" s="127"/>
      <c r="M49" s="120"/>
    </row>
    <row r="50">
      <c r="A50" s="137" t="s">
        <v>282</v>
      </c>
      <c r="B50" s="78" t="str">
        <f>HYPERLINK("http://codeforces.com/contest/426/problem/B","CF426-D2-B")</f>
        <v>CF426-D2-B</v>
      </c>
      <c r="C50" s="95"/>
      <c r="D50" s="95"/>
      <c r="E50" s="95"/>
      <c r="F50" s="95"/>
      <c r="G50" s="95"/>
      <c r="H50" s="97"/>
      <c r="I50" s="39">
        <f t="shared" si="1"/>
        <v>0</v>
      </c>
      <c r="J50" s="49"/>
      <c r="K50" s="36"/>
      <c r="L50" s="127"/>
      <c r="M50" s="120"/>
    </row>
    <row r="51">
      <c r="A51" s="137" t="s">
        <v>285</v>
      </c>
      <c r="B51" s="78" t="str">
        <f>HYPERLINK("http://codeforces.com/contest/675/problem/B","CF675-D2-B")</f>
        <v>CF675-D2-B</v>
      </c>
      <c r="C51" s="95"/>
      <c r="D51" s="95"/>
      <c r="E51" s="95"/>
      <c r="F51" s="95"/>
      <c r="G51" s="95"/>
      <c r="H51" s="97"/>
      <c r="I51" s="39">
        <f t="shared" si="1"/>
        <v>0</v>
      </c>
      <c r="J51" s="49"/>
      <c r="K51" s="36"/>
      <c r="L51" s="127"/>
      <c r="M51" s="120"/>
    </row>
    <row r="52">
      <c r="A52" s="137" t="s">
        <v>286</v>
      </c>
      <c r="B52" s="78" t="str">
        <f>HYPERLINK("http://codeforces.com/contest/558/problem/B","CF558-D2-B")</f>
        <v>CF558-D2-B</v>
      </c>
      <c r="C52" s="95"/>
      <c r="D52" s="95"/>
      <c r="E52" s="95"/>
      <c r="F52" s="95"/>
      <c r="G52" s="95"/>
      <c r="H52" s="97"/>
      <c r="I52" s="39">
        <f t="shared" si="1"/>
        <v>0</v>
      </c>
      <c r="J52" s="49"/>
      <c r="K52" s="36"/>
      <c r="L52" s="127"/>
      <c r="M52" s="120"/>
    </row>
    <row r="53">
      <c r="A53" s="120"/>
      <c r="B53" s="120"/>
      <c r="C53" s="95"/>
      <c r="D53" s="95"/>
      <c r="E53" s="95"/>
      <c r="F53" s="95"/>
      <c r="G53" s="95"/>
      <c r="H53" s="97"/>
      <c r="I53" s="39">
        <f t="shared" si="1"/>
        <v>0</v>
      </c>
      <c r="J53" s="49"/>
      <c r="K53" s="36"/>
      <c r="L53" s="127"/>
      <c r="M53" s="116" t="str">
        <f>HYPERLINK("https://www.youtube.com/watch?v=k5fDfC9vfWM","Watch - Computational Geometry - Lines Intersections")</f>
        <v>Watch - Computational Geometry - Lines Intersections</v>
      </c>
    </row>
    <row r="54">
      <c r="A54" s="117" t="s">
        <v>288</v>
      </c>
      <c r="B54" s="160" t="str">
        <f>HYPERLINK("https://uva.onlinejudge.org/index.php?option=onlinejudge&amp;page=show_problem&amp;problem=678","UVA 737")</f>
        <v>UVA 737</v>
      </c>
      <c r="C54" s="95"/>
      <c r="D54" s="95"/>
      <c r="E54" s="95"/>
      <c r="F54" s="95"/>
      <c r="G54" s="95"/>
      <c r="H54" s="97"/>
      <c r="I54" s="39">
        <f t="shared" si="1"/>
        <v>0</v>
      </c>
      <c r="J54" s="49"/>
      <c r="K54" s="36"/>
      <c r="L54" s="127"/>
      <c r="M54" s="126" t="str">
        <f>HYPERLINK("https://github.com/mostafa-saad/MyCompetitiveProgramming/blob/master/UVA/UVA_737.txt","Sol")</f>
        <v>Sol</v>
      </c>
    </row>
    <row r="55">
      <c r="A55" s="117" t="s">
        <v>291</v>
      </c>
      <c r="B55" s="160" t="str">
        <f>HYPERLINK("https://uva.onlinejudge.org/index.php?option=com_onlinejudge&amp;Itemid=8&amp;page=show_problem&amp;problem=807","UVA 866")</f>
        <v>UVA 866</v>
      </c>
      <c r="C55" s="95"/>
      <c r="D55" s="95"/>
      <c r="E55" s="95"/>
      <c r="F55" s="95"/>
      <c r="G55" s="95"/>
      <c r="H55" s="97"/>
      <c r="I55" s="39">
        <f t="shared" si="1"/>
        <v>0</v>
      </c>
      <c r="J55" s="49"/>
      <c r="K55" s="36"/>
      <c r="L55" s="127"/>
      <c r="M55" s="126" t="str">
        <f>HYPERLINK("https://github.com/MeGaCrazy/CompetitiveProgramming/blob/master/UVA/UVA_866.cpp","Sol")</f>
        <v>Sol</v>
      </c>
    </row>
    <row r="56">
      <c r="A56" s="120"/>
      <c r="B56" s="120"/>
      <c r="C56" s="95"/>
      <c r="D56" s="95"/>
      <c r="E56" s="95"/>
      <c r="F56" s="95"/>
      <c r="G56" s="95"/>
      <c r="H56" s="97"/>
      <c r="I56" s="39">
        <f t="shared" si="1"/>
        <v>0</v>
      </c>
      <c r="J56" s="49"/>
      <c r="K56" s="36"/>
      <c r="L56" s="127"/>
      <c r="M56" s="116" t="str">
        <f>HYPERLINK("https://www.youtube.com/watch?v=Fa69kqT9NPY","Watch - Computational Geometry - Circles")</f>
        <v>Watch - Computational Geometry - Circles</v>
      </c>
    </row>
    <row r="57">
      <c r="A57" s="117" t="s">
        <v>295</v>
      </c>
      <c r="B57" s="160" t="str">
        <f>HYPERLINK("https://uva.onlinejudge.org/index.php?option=onlinejudge&amp;page=show_problem&amp;problem=379","UVA 438")</f>
        <v>UVA 438</v>
      </c>
      <c r="C57" s="95"/>
      <c r="D57" s="95"/>
      <c r="E57" s="95"/>
      <c r="F57" s="95"/>
      <c r="G57" s="95"/>
      <c r="H57" s="97"/>
      <c r="I57" s="39">
        <f t="shared" si="1"/>
        <v>0</v>
      </c>
      <c r="J57" s="49"/>
      <c r="K57" s="36"/>
      <c r="L57" s="127"/>
      <c r="M57" s="126" t="str">
        <f>HYPERLINK("https://github.com/hosamk92/CompetitiveProgramming/blob/master/UVA/UVA%20438.cpp","Sol")</f>
        <v>Sol</v>
      </c>
    </row>
    <row r="58">
      <c r="A58" s="117" t="s">
        <v>298</v>
      </c>
      <c r="B58" s="160" t="str">
        <f>HYPERLINK("https://uva.onlinejudge.org/index.php?option=com_onlinejudge&amp;Itemid=8&amp;page=show_problem&amp;problem=418","UVA 477")</f>
        <v>UVA 477</v>
      </c>
      <c r="C58" s="95"/>
      <c r="D58" s="95"/>
      <c r="E58" s="95"/>
      <c r="F58" s="95"/>
      <c r="G58" s="95"/>
      <c r="H58" s="97"/>
      <c r="I58" s="39">
        <f t="shared" si="1"/>
        <v>0</v>
      </c>
      <c r="J58" s="49"/>
      <c r="K58" s="36"/>
      <c r="L58" s="127"/>
      <c r="M58" s="126" t="str">
        <f>HYPERLINK("https://github.com/MeGaCrazy/CompetitiveProgramming/blob/5343b4e1aabd67db25a4864de4eb81eb094709e3/UVA/UVA_477.cpp","Sol")</f>
        <v>Sol</v>
      </c>
    </row>
    <row r="59">
      <c r="A59" s="170" t="s">
        <v>300</v>
      </c>
      <c r="B59" s="160" t="str">
        <f>HYPERLINK("https://uva.onlinejudge.org/index.php?option=onlinejudge&amp;page=show_problem&amp;problem=292","UVA 356")</f>
        <v>UVA 356</v>
      </c>
      <c r="C59" s="95"/>
      <c r="D59" s="95"/>
      <c r="E59" s="95"/>
      <c r="F59" s="95"/>
      <c r="G59" s="95"/>
      <c r="H59" s="97"/>
      <c r="I59" s="39">
        <f t="shared" si="1"/>
        <v>0</v>
      </c>
      <c r="J59" s="49"/>
      <c r="K59" s="36"/>
      <c r="L59" s="127"/>
      <c r="M59" s="85" t="str">
        <f>HYPERLINK("https://github.com/AymanSalah96/CompetitiveProgramming/blob/master/UVA/356.cpp","Sol to read")</f>
        <v>Sol to read</v>
      </c>
    </row>
    <row r="60">
      <c r="A60" s="170"/>
      <c r="B60" s="170" t="s">
        <v>303</v>
      </c>
      <c r="C60" s="95"/>
      <c r="D60" s="95"/>
      <c r="E60" s="95"/>
      <c r="F60" s="95"/>
      <c r="G60" s="95"/>
      <c r="H60" s="97"/>
      <c r="I60" s="39">
        <f t="shared" si="1"/>
        <v>0</v>
      </c>
      <c r="J60" s="111"/>
      <c r="K60" s="112"/>
      <c r="L60" s="16"/>
      <c r="M60" s="114" t="str">
        <f>HYPERLINK("https://github.com/MeGaCrazy/CompetitiveProgramming/blob/c099628e643065a7bae09af22c4cbce1216e4db9/UVA/UVA_453.cpp","Learn Handling Precisions")</f>
        <v>Learn Handling Precisions</v>
      </c>
    </row>
    <row r="61">
      <c r="A61" s="124" t="s">
        <v>304</v>
      </c>
      <c r="B61" s="125" t="str">
        <f>HYPERLINK("https://uva.onlinejudge.org/index.php?option=onlinejudge&amp;page=show_problem&amp;problem=1425","UVA 10484")</f>
        <v>UVA 10484</v>
      </c>
      <c r="C61" s="95"/>
      <c r="D61" s="95"/>
      <c r="E61" s="95"/>
      <c r="F61" s="95"/>
      <c r="G61" s="95"/>
      <c r="H61" s="97"/>
      <c r="I61" s="39">
        <f t="shared" si="1"/>
        <v>0</v>
      </c>
      <c r="J61" s="49"/>
      <c r="K61" s="36"/>
      <c r="L61" s="127"/>
      <c r="M61" s="85" t="str">
        <f>HYPERLINK("https://github.com/mostafa-saad/MyCompetitiveProgramming/blob/master/UVA/UVA_10484.txt","Sol to read")</f>
        <v>Sol to read</v>
      </c>
    </row>
    <row r="62">
      <c r="A62" s="124"/>
      <c r="B62" s="136" t="s">
        <v>306</v>
      </c>
      <c r="C62" s="95"/>
      <c r="D62" s="95"/>
      <c r="E62" s="95"/>
      <c r="F62" s="95"/>
      <c r="G62" s="95"/>
      <c r="H62" s="97"/>
      <c r="I62" s="39">
        <f t="shared" si="1"/>
        <v>0</v>
      </c>
      <c r="J62" s="49"/>
      <c r="K62" s="36"/>
      <c r="L62" s="127"/>
      <c r="M62" s="87"/>
    </row>
    <row r="63">
      <c r="A63" s="124"/>
      <c r="B63" s="125" t="str">
        <f>HYPERLINK("http://codeforces.com/contest/975/problem/C","CF975-D2-C")</f>
        <v>CF975-D2-C</v>
      </c>
      <c r="C63" s="95"/>
      <c r="D63" s="95"/>
      <c r="E63" s="95"/>
      <c r="F63" s="95"/>
      <c r="G63" s="95"/>
      <c r="H63" s="97"/>
      <c r="I63" s="39">
        <f t="shared" si="1"/>
        <v>0</v>
      </c>
      <c r="J63" s="49"/>
      <c r="K63" s="36"/>
      <c r="L63" s="127"/>
      <c r="M63" s="87"/>
    </row>
    <row r="64">
      <c r="A64" s="124"/>
      <c r="B64" s="125" t="str">
        <f>HYPERLINK("http://codeforces.com/contest/1047/problem/C","CF1047-D2-C")</f>
        <v>CF1047-D2-C</v>
      </c>
      <c r="C64" s="95"/>
      <c r="D64" s="95"/>
      <c r="E64" s="95"/>
      <c r="F64" s="95"/>
      <c r="G64" s="95"/>
      <c r="H64" s="97"/>
      <c r="I64" s="39">
        <f t="shared" si="1"/>
        <v>0</v>
      </c>
      <c r="J64" s="49"/>
      <c r="K64" s="36"/>
      <c r="L64" s="127"/>
      <c r="M64" s="87"/>
    </row>
    <row r="65">
      <c r="A65" s="124"/>
      <c r="B65" s="125" t="str">
        <f>HYPERLINK("http://codeforces.com/contest/1075/problem/C","CF1075-D2-C")</f>
        <v>CF1075-D2-C</v>
      </c>
      <c r="C65" s="95"/>
      <c r="D65" s="95"/>
      <c r="E65" s="95"/>
      <c r="F65" s="95"/>
      <c r="G65" s="95"/>
      <c r="H65" s="97"/>
      <c r="I65" s="39">
        <f t="shared" si="1"/>
        <v>0</v>
      </c>
      <c r="J65" s="49"/>
      <c r="K65" s="36"/>
      <c r="L65" s="127"/>
      <c r="M65" s="87"/>
    </row>
    <row r="66">
      <c r="A66" s="124"/>
      <c r="B66" s="125" t="str">
        <f>HYPERLINK("http://codeforces.com/contest/758/problem/C","CF758-D2-C")</f>
        <v>CF758-D2-C</v>
      </c>
      <c r="C66" s="95"/>
      <c r="D66" s="95"/>
      <c r="E66" s="95"/>
      <c r="F66" s="95"/>
      <c r="G66" s="95"/>
      <c r="H66" s="97"/>
      <c r="I66" s="39">
        <f t="shared" si="1"/>
        <v>0</v>
      </c>
      <c r="J66" s="49"/>
      <c r="K66" s="36"/>
      <c r="L66" s="127"/>
      <c r="M66" s="87"/>
    </row>
    <row r="67">
      <c r="A67" s="120"/>
      <c r="B67" s="120"/>
      <c r="C67" s="95"/>
      <c r="D67" s="95"/>
      <c r="E67" s="95"/>
      <c r="F67" s="95"/>
      <c r="G67" s="95"/>
      <c r="H67" s="97"/>
      <c r="I67" s="39">
        <f t="shared" si="1"/>
        <v>0</v>
      </c>
      <c r="J67" s="49"/>
      <c r="K67" s="36"/>
      <c r="L67" s="127"/>
      <c r="M67" s="120"/>
    </row>
    <row r="68">
      <c r="A68" s="105" t="s">
        <v>312</v>
      </c>
      <c r="B68" s="110" t="str">
        <f>HYPERLINK("http://codeforces.com/contest/124/problem/C","CF124-D2-C")</f>
        <v>CF124-D2-C</v>
      </c>
      <c r="C68" s="95"/>
      <c r="D68" s="95"/>
      <c r="E68" s="95"/>
      <c r="F68" s="95"/>
      <c r="G68" s="95"/>
      <c r="H68" s="97"/>
      <c r="I68" s="39">
        <f t="shared" si="1"/>
        <v>0</v>
      </c>
      <c r="J68" s="111"/>
      <c r="K68" s="112"/>
      <c r="L68" s="16"/>
      <c r="M68" s="16"/>
    </row>
    <row r="69">
      <c r="A69" s="105" t="s">
        <v>314</v>
      </c>
      <c r="B69" s="110" t="str">
        <f>HYPERLINK("http://codeforces.com/contest/155/problem/C","CF155-D2-C")</f>
        <v>CF155-D2-C</v>
      </c>
      <c r="C69" s="95"/>
      <c r="D69" s="95"/>
      <c r="E69" s="95"/>
      <c r="F69" s="95"/>
      <c r="G69" s="95"/>
      <c r="H69" s="97"/>
      <c r="I69" s="39">
        <f t="shared" si="1"/>
        <v>0</v>
      </c>
      <c r="J69" s="111"/>
      <c r="K69" s="112"/>
      <c r="L69" s="16"/>
      <c r="M69" s="16"/>
    </row>
    <row r="70">
      <c r="A70" s="92" t="s">
        <v>316</v>
      </c>
      <c r="B70" s="126" t="str">
        <f>HYPERLINK("http://codeforces.com/contest/148/problem/C","CF148-D2-C")</f>
        <v>CF148-D2-C</v>
      </c>
      <c r="C70" s="95"/>
      <c r="D70" s="95"/>
      <c r="E70" s="95"/>
      <c r="F70" s="95"/>
      <c r="G70" s="95"/>
      <c r="H70" s="97"/>
      <c r="I70" s="39">
        <f t="shared" si="1"/>
        <v>0</v>
      </c>
      <c r="J70" s="49"/>
      <c r="K70" s="36"/>
      <c r="L70" s="127"/>
      <c r="M70" s="83" t="str">
        <f>HYPERLINK("https://www.youtube.com/watch?v=BX2HhPefv6g","Video Solution - Eng Mohamed Nasser")</f>
        <v>Video Solution - Eng Mohamed Nasser</v>
      </c>
    </row>
    <row r="71">
      <c r="A71" s="92" t="s">
        <v>318</v>
      </c>
      <c r="B71" s="126" t="str">
        <f>HYPERLINK("http://codeforces.com/contest/490/problem/C","CF490-D2-C")</f>
        <v>CF490-D2-C</v>
      </c>
      <c r="C71" s="95"/>
      <c r="D71" s="95"/>
      <c r="E71" s="95"/>
      <c r="F71" s="95"/>
      <c r="G71" s="95"/>
      <c r="H71" s="97"/>
      <c r="I71" s="39">
        <f t="shared" si="1"/>
        <v>0</v>
      </c>
      <c r="J71" s="49"/>
      <c r="K71" s="36"/>
      <c r="L71" s="127"/>
      <c r="M71" s="120"/>
    </row>
    <row r="72">
      <c r="A72" s="92" t="s">
        <v>321</v>
      </c>
      <c r="B72" s="126" t="str">
        <f>HYPERLINK("http://codeforces.com/contest/476/problem/C","CF476-D2-C")</f>
        <v>CF476-D2-C</v>
      </c>
      <c r="C72" s="95"/>
      <c r="D72" s="95"/>
      <c r="E72" s="95"/>
      <c r="F72" s="95"/>
      <c r="G72" s="95"/>
      <c r="H72" s="97"/>
      <c r="I72" s="39">
        <f t="shared" si="1"/>
        <v>0</v>
      </c>
      <c r="J72" s="49"/>
      <c r="K72" s="36"/>
      <c r="L72" s="127"/>
      <c r="M72" s="85" t="str">
        <f>HYPERLINK("https://www.youtube.com/watch?v=KS9POnQMfmY","Video Solution - Eng Mostafa Saad")</f>
        <v>Video Solution - Eng Mostafa Saad</v>
      </c>
    </row>
    <row r="73">
      <c r="A73" s="92" t="s">
        <v>324</v>
      </c>
      <c r="B73" s="126" t="str">
        <f>HYPERLINK("http://codeforces.com/contest/195/problem/C","CF195-D2-C")</f>
        <v>CF195-D2-C</v>
      </c>
      <c r="C73" s="95"/>
      <c r="D73" s="95"/>
      <c r="E73" s="95"/>
      <c r="F73" s="95"/>
      <c r="G73" s="95"/>
      <c r="H73" s="97"/>
      <c r="I73" s="39">
        <f t="shared" si="1"/>
        <v>0</v>
      </c>
      <c r="J73" s="49"/>
      <c r="K73" s="36"/>
      <c r="L73" s="127"/>
      <c r="M73" s="85" t="str">
        <f>HYPERLINK("https://github.com/mostafa-saad/MyCompetitiveProgramming/blob/master/Codeforces/CF195-D2-C-Ahmed%20Osama.pdf","Editorial - Eng Ahmed Osama")</f>
        <v>Editorial - Eng Ahmed Osama</v>
      </c>
    </row>
    <row r="74">
      <c r="A74" s="105" t="s">
        <v>326</v>
      </c>
      <c r="B74" s="110" t="str">
        <f>HYPERLINK("http://codeforces.com/contest/569/problem/C","CF569-D2-C")</f>
        <v>CF569-D2-C</v>
      </c>
      <c r="C74" s="95"/>
      <c r="D74" s="95"/>
      <c r="E74" s="95"/>
      <c r="F74" s="95"/>
      <c r="G74" s="95"/>
      <c r="H74" s="97"/>
      <c r="I74" s="39">
        <f t="shared" si="1"/>
        <v>0</v>
      </c>
      <c r="J74" s="49"/>
      <c r="K74" s="36"/>
      <c r="L74" s="16"/>
      <c r="M74" s="16"/>
    </row>
    <row r="75">
      <c r="A75" s="92" t="s">
        <v>329</v>
      </c>
      <c r="B75" s="126" t="str">
        <f>HYPERLINK("http://codeforces.com/contest/257/problem/C","CF257-D2-C")</f>
        <v>CF257-D2-C</v>
      </c>
      <c r="C75" s="95"/>
      <c r="D75" s="95"/>
      <c r="E75" s="95"/>
      <c r="F75" s="95"/>
      <c r="G75" s="95"/>
      <c r="H75" s="97"/>
      <c r="I75" s="39">
        <f t="shared" si="1"/>
        <v>0</v>
      </c>
      <c r="J75" s="49"/>
      <c r="K75" s="36"/>
      <c r="L75" s="127"/>
      <c r="M75" s="85" t="str">
        <f>HYPERLINK("https://github.com/mostafa-saad/MyCompetitiveProgramming/blob/master/Codeforces/CF257-D2-C-AhmedOsama.pdf","Editorial - Eng Ahmed Osama")</f>
        <v>Editorial - Eng Ahmed Osama</v>
      </c>
    </row>
    <row r="76">
      <c r="A76" s="137" t="s">
        <v>332</v>
      </c>
      <c r="B76" s="78" t="str">
        <f>HYPERLINK("http://codeforces.com/contest/357/problem/B","CF357-D2-B")</f>
        <v>CF357-D2-B</v>
      </c>
      <c r="C76" s="95"/>
      <c r="D76" s="95"/>
      <c r="E76" s="95"/>
      <c r="F76" s="95"/>
      <c r="G76" s="95"/>
      <c r="H76" s="97"/>
      <c r="I76" s="39">
        <f t="shared" si="1"/>
        <v>0</v>
      </c>
      <c r="J76" s="49"/>
      <c r="K76" s="36"/>
      <c r="L76" s="127"/>
      <c r="M76" s="120"/>
    </row>
    <row r="77">
      <c r="A77" s="137" t="s">
        <v>334</v>
      </c>
      <c r="B77" s="78" t="str">
        <f>HYPERLINK("http://codeforces.com/contest/454/problem/B","CF454-D2-B")</f>
        <v>CF454-D2-B</v>
      </c>
      <c r="C77" s="95"/>
      <c r="D77" s="95"/>
      <c r="E77" s="95"/>
      <c r="F77" s="95"/>
      <c r="G77" s="95"/>
      <c r="H77" s="97"/>
      <c r="I77" s="39">
        <f t="shared" si="1"/>
        <v>0</v>
      </c>
      <c r="J77" s="49"/>
      <c r="K77" s="36"/>
      <c r="L77" s="127"/>
      <c r="M77" s="120"/>
    </row>
    <row r="78">
      <c r="A78" s="137" t="s">
        <v>338</v>
      </c>
      <c r="B78" s="78" t="str">
        <f>HYPERLINK("http://codeforces.com/contest/228/problem/B","CF228-D2-B")</f>
        <v>CF228-D2-B</v>
      </c>
      <c r="C78" s="95"/>
      <c r="D78" s="95"/>
      <c r="E78" s="95"/>
      <c r="F78" s="95"/>
      <c r="G78" s="95"/>
      <c r="H78" s="97"/>
      <c r="I78" s="39">
        <f t="shared" si="1"/>
        <v>0</v>
      </c>
      <c r="J78" s="49"/>
      <c r="K78" s="36"/>
      <c r="L78" s="127"/>
      <c r="M78" s="120"/>
    </row>
    <row r="79">
      <c r="A79" s="120"/>
      <c r="B79" s="120"/>
      <c r="C79" s="95"/>
      <c r="D79" s="95"/>
      <c r="E79" s="95"/>
      <c r="F79" s="95"/>
      <c r="G79" s="95"/>
      <c r="H79" s="97"/>
      <c r="I79" s="39">
        <f t="shared" si="1"/>
        <v>0</v>
      </c>
      <c r="J79" s="49"/>
      <c r="K79" s="36"/>
      <c r="L79" s="127"/>
      <c r="M79" s="115" t="str">
        <f>HYPERLINK("https://www.youtube.com/watch?v=uKSLJw0ZUd8","Watch - Thinking - Error Inspection - History - Contest Strategy ")</f>
        <v>Watch - Thinking - Error Inspection - History - Contest Strategy </v>
      </c>
    </row>
    <row r="80">
      <c r="A80" s="120"/>
      <c r="B80" s="120"/>
      <c r="C80" s="95"/>
      <c r="D80" s="95"/>
      <c r="E80" s="95"/>
      <c r="F80" s="95"/>
      <c r="G80" s="95"/>
      <c r="H80" s="97"/>
      <c r="I80" s="39">
        <f t="shared" si="1"/>
        <v>0</v>
      </c>
      <c r="J80" s="49"/>
      <c r="K80" s="36"/>
      <c r="L80" s="127"/>
      <c r="M80" s="116" t="str">
        <f>HYPERLINK("https://www.youtube.com/watch?v=s3IGwpJwCTA","Watch - DP - Building Output")</f>
        <v>Watch - DP - Building Output</v>
      </c>
    </row>
    <row r="81">
      <c r="A81" s="117" t="s">
        <v>342</v>
      </c>
      <c r="B81" s="160" t="str">
        <f>HYPERLINK("https://uva.onlinejudge.org/index.php?option=com_onlinejudge&amp;Itemid=8&amp;page=show_problem&amp;problem=52","UVA 116")</f>
        <v>UVA 116</v>
      </c>
      <c r="C81" s="95"/>
      <c r="D81" s="95"/>
      <c r="E81" s="95"/>
      <c r="F81" s="95"/>
      <c r="G81" s="95"/>
      <c r="H81" s="97"/>
      <c r="I81" s="39">
        <f t="shared" si="1"/>
        <v>0</v>
      </c>
      <c r="J81" s="49"/>
      <c r="K81" s="36"/>
      <c r="L81" s="16"/>
      <c r="M81" s="120"/>
    </row>
    <row r="82">
      <c r="A82" s="117" t="s">
        <v>345</v>
      </c>
      <c r="B82" s="160" t="str">
        <f>HYPERLINK("https://uva.onlinejudge.org/index.php?option=com_onlinejudge&amp;Itemid=8&amp;page=show_problem&amp;problem=1394","UVA 10453")</f>
        <v>UVA 10453</v>
      </c>
      <c r="C82" s="95"/>
      <c r="D82" s="95"/>
      <c r="E82" s="95"/>
      <c r="F82" s="95"/>
      <c r="G82" s="95"/>
      <c r="H82" s="97"/>
      <c r="I82" s="39">
        <f t="shared" si="1"/>
        <v>0</v>
      </c>
      <c r="J82" s="49"/>
      <c r="K82" s="36"/>
      <c r="L82" s="127"/>
      <c r="M82" s="126" t="str">
        <f>HYPERLINK("https://github.com/ilyesG/Competitive-Programming/blob/master/UVA/UVA%2010453.cpp","Sol")</f>
        <v>Sol</v>
      </c>
    </row>
    <row r="83">
      <c r="A83" s="117" t="s">
        <v>348</v>
      </c>
      <c r="B83" s="160" t="str">
        <f>HYPERLINK("https://uva.onlinejudge.org/index.php?option=com_onlinejudge&amp;Itemid=8&amp;page=show_problem&amp;problem=603","UVA 662")</f>
        <v>UVA 662</v>
      </c>
      <c r="C83" s="95"/>
      <c r="D83" s="95"/>
      <c r="E83" s="95"/>
      <c r="F83" s="95"/>
      <c r="G83" s="95"/>
      <c r="H83" s="97"/>
      <c r="I83" s="39">
        <f t="shared" si="1"/>
        <v>0</v>
      </c>
      <c r="J83" s="49"/>
      <c r="K83" s="36"/>
      <c r="L83" s="127"/>
      <c r="M83" s="120"/>
    </row>
    <row r="84">
      <c r="A84" s="117" t="s">
        <v>349</v>
      </c>
      <c r="B84" s="160" t="str">
        <f>HYPERLINK("https://uva.onlinejudge.org/index.php?option=onlinejudge&amp;page=show_problem&amp;problem=2399","UVA 11404")</f>
        <v>UVA 11404</v>
      </c>
      <c r="C84" s="95"/>
      <c r="D84" s="95"/>
      <c r="E84" s="95"/>
      <c r="F84" s="95"/>
      <c r="G84" s="95"/>
      <c r="H84" s="97"/>
      <c r="I84" s="39">
        <f t="shared" si="1"/>
        <v>0</v>
      </c>
      <c r="J84" s="49"/>
      <c r="K84" s="36"/>
      <c r="L84" s="95"/>
      <c r="M84" s="120"/>
    </row>
    <row r="85">
      <c r="A85" s="117" t="s">
        <v>350</v>
      </c>
      <c r="B85" s="160" t="str">
        <f>HYPERLINK("https://uva.onlinejudge.org/index.php?option=com_onlinejudge&amp;Itemid=8&amp;page=show_problem&amp;problem=698","UVA 757")</f>
        <v>UVA 757</v>
      </c>
      <c r="C85" s="95"/>
      <c r="D85" s="95"/>
      <c r="E85" s="95"/>
      <c r="F85" s="95"/>
      <c r="G85" s="95"/>
      <c r="H85" s="97"/>
      <c r="I85" s="39">
        <f t="shared" si="1"/>
        <v>0</v>
      </c>
      <c r="J85" s="49"/>
      <c r="K85" s="36"/>
      <c r="L85" s="95"/>
      <c r="M85" s="85" t="str">
        <f>HYPERLINK("https://github.com/magdy-hasan/competitive-programming/blob/master/uva-/uva%20757%20-%20Gone%20Fishing.cpp","Sol to read")</f>
        <v>Sol to read</v>
      </c>
    </row>
    <row r="86">
      <c r="A86" s="136" t="s">
        <v>354</v>
      </c>
      <c r="B86" s="157" t="str">
        <f>HYPERLINK("http://codeforces.com/contest/199/problem/B","CF199-D2-B")</f>
        <v>CF199-D2-B</v>
      </c>
      <c r="C86" s="95"/>
      <c r="D86" s="95"/>
      <c r="E86" s="95"/>
      <c r="F86" s="95"/>
      <c r="G86" s="95"/>
      <c r="H86" s="97"/>
      <c r="I86" s="39">
        <f t="shared" si="1"/>
        <v>0</v>
      </c>
      <c r="J86" s="49"/>
      <c r="K86" s="36"/>
      <c r="L86" s="95"/>
      <c r="M86" s="120"/>
    </row>
    <row r="87">
      <c r="A87" s="136" t="s">
        <v>356</v>
      </c>
      <c r="B87" s="180" t="str">
        <f>HYPERLINK("https://uva.onlinejudge.org/index.php?option=onlinejudge&amp;page=show_problem&amp;problem=1242","UVA 10301")</f>
        <v>UVA 10301</v>
      </c>
      <c r="C87" s="95"/>
      <c r="D87" s="95"/>
      <c r="E87" s="95"/>
      <c r="F87" s="95"/>
      <c r="G87" s="95"/>
      <c r="H87" s="97"/>
      <c r="I87" s="39">
        <f t="shared" si="1"/>
        <v>0</v>
      </c>
      <c r="J87" s="49"/>
      <c r="K87" s="36"/>
      <c r="L87" s="95"/>
      <c r="M87" s="126" t="str">
        <f>HYPERLINK("https://github.com/MeGaCrazy/CompetitiveProgramming/blob/51252e18803855ed2eacedc50f53b90fe8d184e6/UVA/UVA_10301.cpp","Sol")</f>
        <v>Sol</v>
      </c>
    </row>
    <row r="88">
      <c r="A88" s="120"/>
      <c r="B88" s="120"/>
      <c r="C88" s="95"/>
      <c r="D88" s="95"/>
      <c r="E88" s="95"/>
      <c r="F88" s="95"/>
      <c r="G88" s="95"/>
      <c r="H88" s="97"/>
      <c r="I88" s="39">
        <f t="shared" si="1"/>
        <v>0</v>
      </c>
      <c r="J88" s="49"/>
      <c r="K88" s="36"/>
      <c r="L88" s="95"/>
      <c r="M88" s="116" t="str">
        <f>HYPERLINK("https://www.youtube.com/watch?v=lE09Ss_Sy0A","Watch - DP - Counting")</f>
        <v>Watch - DP - Counting</v>
      </c>
    </row>
    <row r="89">
      <c r="A89" s="117" t="s">
        <v>359</v>
      </c>
      <c r="B89" s="118" t="str">
        <f>HYPERLINK("http://codeforces.com/contest/431/problem/C","CF431-D2-C")</f>
        <v>CF431-D2-C</v>
      </c>
      <c r="C89" s="95"/>
      <c r="D89" s="95"/>
      <c r="E89" s="95"/>
      <c r="F89" s="95"/>
      <c r="G89" s="95"/>
      <c r="H89" s="97"/>
      <c r="I89" s="39">
        <f t="shared" si="1"/>
        <v>0</v>
      </c>
      <c r="J89" s="49"/>
      <c r="K89" s="36"/>
      <c r="L89" s="80"/>
      <c r="M89" s="85" t="str">
        <f>HYPERLINK("https://www.youtube.com/watch?v=M7UEOmsCxuQ","Video Solution - Solver to be (Java)")</f>
        <v>Video Solution - Solver to be (Java)</v>
      </c>
    </row>
    <row r="90">
      <c r="A90" s="183" t="s">
        <v>361</v>
      </c>
      <c r="B90" s="184" t="str">
        <f>HYPERLINK("http://codeforces.com/contest/118/problem/D","CF118-D2-D")</f>
        <v>CF118-D2-D</v>
      </c>
      <c r="C90" s="95"/>
      <c r="D90" s="95"/>
      <c r="E90" s="95"/>
      <c r="F90" s="95"/>
      <c r="G90" s="95"/>
      <c r="H90" s="97"/>
      <c r="I90" s="39">
        <f t="shared" si="1"/>
        <v>0</v>
      </c>
      <c r="J90" s="49"/>
      <c r="K90" s="36"/>
      <c r="L90" s="95"/>
      <c r="M90" s="186"/>
    </row>
    <row r="91">
      <c r="A91" s="187" t="str">
        <f>HYPERLINK("https://community.topcoder.com/stat?c=problem_statement&amp;pm=4471&amp;rd=10711","UnsealTheSafe")</f>
        <v>UnsealTheSafe</v>
      </c>
      <c r="B91" s="188" t="s">
        <v>369</v>
      </c>
      <c r="C91" s="95"/>
      <c r="D91" s="95"/>
      <c r="E91" s="95"/>
      <c r="F91" s="95"/>
      <c r="G91" s="95"/>
      <c r="H91" s="97"/>
      <c r="I91" s="39">
        <f t="shared" si="1"/>
        <v>0</v>
      </c>
      <c r="J91" s="49"/>
      <c r="K91" s="36"/>
      <c r="L91" s="95"/>
      <c r="M91" s="186"/>
    </row>
    <row r="92">
      <c r="A92" s="118" t="str">
        <f>HYPERLINK("https://community.topcoder.com/stat?c=problem_statement&amp;pm=7601&amp;rd=10673","DiceGames")</f>
        <v>DiceGames</v>
      </c>
      <c r="B92" s="117" t="s">
        <v>372</v>
      </c>
      <c r="C92" s="95"/>
      <c r="D92" s="95"/>
      <c r="E92" s="95"/>
      <c r="F92" s="95"/>
      <c r="G92" s="95"/>
      <c r="H92" s="97"/>
      <c r="I92" s="39">
        <f t="shared" si="1"/>
        <v>0</v>
      </c>
      <c r="J92" s="111"/>
      <c r="K92" s="112"/>
      <c r="L92" s="80"/>
      <c r="M92" s="16"/>
    </row>
    <row r="93">
      <c r="A93" s="125"/>
      <c r="B93" s="136" t="s">
        <v>374</v>
      </c>
      <c r="C93" s="95"/>
      <c r="D93" s="95"/>
      <c r="E93" s="95"/>
      <c r="F93" s="95"/>
      <c r="G93" s="95"/>
      <c r="H93" s="97"/>
      <c r="I93" s="39">
        <f t="shared" si="1"/>
        <v>0</v>
      </c>
      <c r="J93" s="49"/>
      <c r="K93" s="36"/>
      <c r="L93" s="95"/>
      <c r="M93" s="126" t="str">
        <f>HYPERLINK("https://github.com/mostafa-saad/MyCompetitiveProgramming/blob/master/SPOJ/SPOJ_TWINSNOW.txt","Sol - text clarification")</f>
        <v>Sol - text clarification</v>
      </c>
    </row>
    <row r="94">
      <c r="A94" s="125"/>
      <c r="B94" s="136" t="s">
        <v>379</v>
      </c>
      <c r="C94" s="95"/>
      <c r="D94" s="95"/>
      <c r="E94" s="95"/>
      <c r="F94" s="95"/>
      <c r="G94" s="95"/>
      <c r="H94" s="97"/>
      <c r="I94" s="39">
        <f t="shared" si="1"/>
        <v>0</v>
      </c>
      <c r="J94" s="49"/>
      <c r="K94" s="36"/>
      <c r="L94" s="95"/>
      <c r="M94" s="126" t="str">
        <f>HYPERLINK("https://github.com/mostafa-saad/MyCompetitiveProgramming/blob/master/SPOJ/SPOJ_FACENEMY.txt","Sol")</f>
        <v>Sol</v>
      </c>
    </row>
    <row r="95">
      <c r="A95" s="120"/>
      <c r="B95" s="120"/>
      <c r="C95" s="95"/>
      <c r="D95" s="95"/>
      <c r="E95" s="95"/>
      <c r="F95" s="95"/>
      <c r="G95" s="95"/>
      <c r="H95" s="97"/>
      <c r="I95" s="39">
        <f t="shared" si="1"/>
        <v>0</v>
      </c>
      <c r="J95" s="49"/>
      <c r="K95" s="36"/>
      <c r="L95" s="95"/>
      <c r="M95" s="186"/>
    </row>
    <row r="96">
      <c r="A96" s="105" t="s">
        <v>381</v>
      </c>
      <c r="B96" s="110" t="str">
        <f>HYPERLINK("http://codeforces.com/contest/465/problem/C","CF465-D2-C")</f>
        <v>CF465-D2-C</v>
      </c>
      <c r="C96" s="95"/>
      <c r="D96" s="95"/>
      <c r="E96" s="95"/>
      <c r="F96" s="95"/>
      <c r="G96" s="95"/>
      <c r="H96" s="97"/>
      <c r="I96" s="39">
        <f t="shared" si="1"/>
        <v>0</v>
      </c>
      <c r="J96" s="111"/>
      <c r="K96" s="112"/>
      <c r="L96" s="80"/>
      <c r="M96" s="80"/>
    </row>
    <row r="97">
      <c r="A97" s="105" t="s">
        <v>383</v>
      </c>
      <c r="B97" s="110" t="str">
        <f>HYPERLINK("http://codeforces.com/contest/408/problem/C","CF408-D2-C")</f>
        <v>CF408-D2-C</v>
      </c>
      <c r="C97" s="95"/>
      <c r="D97" s="95"/>
      <c r="E97" s="95"/>
      <c r="F97" s="95"/>
      <c r="G97" s="95"/>
      <c r="H97" s="97"/>
      <c r="I97" s="39">
        <f t="shared" si="1"/>
        <v>0</v>
      </c>
      <c r="J97" s="111"/>
      <c r="K97" s="112"/>
      <c r="L97" s="80"/>
      <c r="M97" s="80"/>
    </row>
    <row r="98">
      <c r="A98" s="105" t="s">
        <v>385</v>
      </c>
      <c r="B98" s="110" t="str">
        <f>HYPERLINK("http://codeforces.com/contest/231/problem/C","CF231-D2-C")</f>
        <v>CF231-D2-C</v>
      </c>
      <c r="C98" s="95"/>
      <c r="D98" s="95"/>
      <c r="E98" s="95"/>
      <c r="F98" s="95"/>
      <c r="G98" s="95"/>
      <c r="H98" s="97"/>
      <c r="I98" s="39">
        <f t="shared" si="1"/>
        <v>0</v>
      </c>
      <c r="J98" s="111"/>
      <c r="K98" s="112"/>
      <c r="L98" s="80"/>
      <c r="M98" s="80"/>
    </row>
    <row r="99">
      <c r="A99" s="86" t="s">
        <v>387</v>
      </c>
      <c r="B99" s="189" t="str">
        <f>HYPERLINK("http://codeforces.com/contest/466/problem/C","CF466-D2-C")</f>
        <v>CF466-D2-C</v>
      </c>
      <c r="C99" s="95"/>
      <c r="D99" s="95"/>
      <c r="E99" s="95"/>
      <c r="F99" s="95"/>
      <c r="G99" s="95"/>
      <c r="H99" s="97"/>
      <c r="I99" s="39">
        <f t="shared" si="1"/>
        <v>0</v>
      </c>
      <c r="J99" s="49"/>
      <c r="K99" s="36"/>
      <c r="L99" s="95"/>
      <c r="M99" s="85" t="str">
        <f>HYPERLINK("https://www.youtube.com/watch?v=8G06-YDc2-I","Video Solution - Solver to be (Java)")</f>
        <v>Video Solution - Solver to be (Java)</v>
      </c>
    </row>
    <row r="100">
      <c r="A100" s="92" t="s">
        <v>389</v>
      </c>
      <c r="B100" s="126" t="str">
        <f>HYPERLINK("http://codeforces.com/contest/141/problem/C","CF141-D2-C")</f>
        <v>CF141-D2-C</v>
      </c>
      <c r="C100" s="95"/>
      <c r="D100" s="95"/>
      <c r="E100" s="95"/>
      <c r="F100" s="95"/>
      <c r="G100" s="95"/>
      <c r="H100" s="97"/>
      <c r="I100" s="39">
        <f t="shared" si="1"/>
        <v>0</v>
      </c>
      <c r="J100" s="49"/>
      <c r="K100" s="36"/>
      <c r="L100" s="95"/>
      <c r="M100" s="120"/>
    </row>
    <row r="101">
      <c r="A101" s="92" t="s">
        <v>391</v>
      </c>
      <c r="B101" s="126" t="str">
        <f>HYPERLINK("http://codeforces.com/contest/270/problem/C","CF270-D2-C")</f>
        <v>CF270-D2-C</v>
      </c>
      <c r="C101" s="95"/>
      <c r="D101" s="95"/>
      <c r="E101" s="95"/>
      <c r="F101" s="95"/>
      <c r="G101" s="95"/>
      <c r="H101" s="97"/>
      <c r="I101" s="39">
        <f t="shared" si="1"/>
        <v>0</v>
      </c>
      <c r="J101" s="49"/>
      <c r="K101" s="36"/>
      <c r="L101" s="95"/>
      <c r="M101" s="105"/>
    </row>
    <row r="102">
      <c r="A102" s="105" t="s">
        <v>393</v>
      </c>
      <c r="B102" s="110" t="str">
        <f>HYPERLINK("http://codeforces.com/contest/357/problem/C","CF357-D2-C")</f>
        <v>CF357-D2-C</v>
      </c>
      <c r="C102" s="95"/>
      <c r="D102" s="95"/>
      <c r="E102" s="95"/>
      <c r="F102" s="95"/>
      <c r="G102" s="95"/>
      <c r="H102" s="97"/>
      <c r="I102" s="39">
        <f t="shared" si="1"/>
        <v>0</v>
      </c>
      <c r="J102" s="49"/>
      <c r="K102" s="36"/>
      <c r="L102" s="80"/>
      <c r="M102" s="80"/>
    </row>
    <row r="103">
      <c r="A103" s="92" t="s">
        <v>395</v>
      </c>
      <c r="B103" s="126" t="str">
        <f>HYPERLINK("http://codeforces.com/contest/160/problem/C","CF160-D2-C")</f>
        <v>CF160-D2-C</v>
      </c>
      <c r="C103" s="95"/>
      <c r="D103" s="95"/>
      <c r="E103" s="95"/>
      <c r="F103" s="95"/>
      <c r="G103" s="95"/>
      <c r="H103" s="97"/>
      <c r="I103" s="39">
        <f t="shared" si="1"/>
        <v>0</v>
      </c>
      <c r="J103" s="49"/>
      <c r="K103" s="36"/>
      <c r="L103" s="95"/>
      <c r="M103" s="120"/>
    </row>
    <row r="104">
      <c r="A104" s="137" t="s">
        <v>397</v>
      </c>
      <c r="B104" s="78" t="str">
        <f>HYPERLINK("http://codeforces.com/contest/462/problem/B","CF462-D2-B")</f>
        <v>CF462-D2-B</v>
      </c>
      <c r="C104" s="95"/>
      <c r="D104" s="95"/>
      <c r="E104" s="95"/>
      <c r="F104" s="95"/>
      <c r="G104" s="95"/>
      <c r="H104" s="97"/>
      <c r="I104" s="39">
        <f t="shared" si="1"/>
        <v>0</v>
      </c>
      <c r="J104" s="49"/>
      <c r="K104" s="36"/>
      <c r="L104" s="95"/>
      <c r="M104" s="120"/>
    </row>
    <row r="105">
      <c r="A105" s="137" t="s">
        <v>399</v>
      </c>
      <c r="B105" s="78" t="str">
        <f>HYPERLINK("http://codeforces.com/contest/384/problem/B","CF384-D2-B")</f>
        <v>CF384-D2-B</v>
      </c>
      <c r="C105" s="95"/>
      <c r="D105" s="95"/>
      <c r="E105" s="95"/>
      <c r="F105" s="95"/>
      <c r="G105" s="95"/>
      <c r="H105" s="97"/>
      <c r="I105" s="39">
        <f t="shared" si="1"/>
        <v>0</v>
      </c>
      <c r="J105" s="49"/>
      <c r="K105" s="36"/>
      <c r="L105" s="95"/>
      <c r="M105" s="120"/>
    </row>
    <row r="106">
      <c r="A106" s="137" t="s">
        <v>401</v>
      </c>
      <c r="B106" s="78" t="str">
        <f>HYPERLINK("http://codeforces.com/contest/233/problem/B","CF233-D2-B")</f>
        <v>CF233-D2-B</v>
      </c>
      <c r="C106" s="95"/>
      <c r="D106" s="95"/>
      <c r="E106" s="95"/>
      <c r="F106" s="95"/>
      <c r="G106" s="95"/>
      <c r="H106" s="97"/>
      <c r="I106" s="39">
        <f t="shared" si="1"/>
        <v>0</v>
      </c>
      <c r="J106" s="49"/>
      <c r="K106" s="36"/>
      <c r="L106" s="95"/>
      <c r="M106" s="120"/>
    </row>
    <row r="107">
      <c r="A107" s="120"/>
      <c r="B107" s="120"/>
      <c r="C107" s="95"/>
      <c r="D107" s="95"/>
      <c r="E107" s="95"/>
      <c r="F107" s="95"/>
      <c r="G107" s="95"/>
      <c r="H107" s="97"/>
      <c r="I107" s="39">
        <f t="shared" si="1"/>
        <v>0</v>
      </c>
      <c r="J107" s="49"/>
      <c r="K107" s="36"/>
      <c r="L107" s="95"/>
      <c r="M107" s="116" t="str">
        <f>HYPERLINK("https://www.youtube.com/watch?v=f_lt366qTZc","Watch - Thinking - Let's Put All Together ")</f>
        <v>Watch - Thinking - Let's Put All Together </v>
      </c>
    </row>
    <row r="108">
      <c r="A108" s="120"/>
      <c r="B108" s="120"/>
      <c r="C108" s="95"/>
      <c r="D108" s="95"/>
      <c r="E108" s="95"/>
      <c r="F108" s="95"/>
      <c r="G108" s="95"/>
      <c r="H108" s="97"/>
      <c r="I108" s="39">
        <f t="shared" si="1"/>
        <v>0</v>
      </c>
      <c r="J108" s="49"/>
      <c r="K108" s="36"/>
      <c r="L108" s="95"/>
      <c r="M108" s="116" t="str">
        <f>HYPERLINK("https://www.youtube.com/watch?v=PrXbn8-zw14","Watch - DP - Table Method")</f>
        <v>Watch - DP - Table Method</v>
      </c>
    </row>
    <row r="109">
      <c r="A109" s="120"/>
      <c r="B109" s="120"/>
      <c r="C109" s="95"/>
      <c r="D109" s="95"/>
      <c r="E109" s="95"/>
      <c r="F109" s="95"/>
      <c r="G109" s="95"/>
      <c r="H109" s="97"/>
      <c r="I109" s="39">
        <f t="shared" si="1"/>
        <v>0</v>
      </c>
      <c r="J109" s="49"/>
      <c r="K109" s="36"/>
      <c r="L109" s="95"/>
      <c r="M109" s="116" t="str">
        <f>HYPERLINK("https://www.youtube.com/watch?v=ZIJLCVn4KzQ","Watch - Graph Theory - Floyd Warshal")</f>
        <v>Watch - Graph Theory - Floyd Warshal</v>
      </c>
    </row>
    <row r="110">
      <c r="A110" s="117" t="s">
        <v>408</v>
      </c>
      <c r="B110" s="160" t="str">
        <f>HYPERLINK("https://uva.onlinejudge.org/index.php?option=com_onlinejudge&amp;Itemid=8&amp;page=show_problem&amp;problem=475","UVA 534")</f>
        <v>UVA 534</v>
      </c>
      <c r="C110" s="95"/>
      <c r="D110" s="95"/>
      <c r="E110" s="95"/>
      <c r="F110" s="95"/>
      <c r="G110" s="95"/>
      <c r="H110" s="97"/>
      <c r="I110" s="39">
        <f t="shared" si="1"/>
        <v>0</v>
      </c>
      <c r="J110" s="49"/>
      <c r="K110" s="36"/>
      <c r="L110" s="95"/>
      <c r="M110" s="126" t="str">
        <f>HYPERLINK("https://github.com/ilyesG/Competitive-Programming/blob/master/UVA/UVA%20534.cpp","Sol")</f>
        <v>Sol</v>
      </c>
    </row>
    <row r="111">
      <c r="A111" s="117" t="s">
        <v>411</v>
      </c>
      <c r="B111" s="160" t="str">
        <f>HYPERLINK("https://uva.onlinejudge.org/index.php?option=com_onlinejudge&amp;Itemid=8&amp;page=show_problem&amp;problem=270","UVA 334")</f>
        <v>UVA 334</v>
      </c>
      <c r="C111" s="95"/>
      <c r="D111" s="95"/>
      <c r="E111" s="95"/>
      <c r="F111" s="95"/>
      <c r="G111" s="95"/>
      <c r="H111" s="97"/>
      <c r="I111" s="39">
        <f t="shared" si="1"/>
        <v>0</v>
      </c>
      <c r="J111" s="49"/>
      <c r="K111" s="36"/>
      <c r="L111" s="95"/>
      <c r="M111" s="51"/>
    </row>
    <row r="112">
      <c r="A112" s="117" t="s">
        <v>412</v>
      </c>
      <c r="B112" s="160" t="str">
        <f>HYPERLINK("https://uva.onlinejudge.org/index.php?option=onlinejudge&amp;page=show_problem&amp;problem=61","UVA 125")</f>
        <v>UVA 125</v>
      </c>
      <c r="C112" s="95"/>
      <c r="D112" s="95"/>
      <c r="E112" s="95"/>
      <c r="F112" s="95"/>
      <c r="G112" s="95"/>
      <c r="H112" s="97"/>
      <c r="I112" s="39">
        <f t="shared" si="1"/>
        <v>0</v>
      </c>
      <c r="J112" s="49"/>
      <c r="K112" s="36"/>
      <c r="L112" s="95"/>
      <c r="M112" s="126" t="str">
        <f>HYPERLINK("https://github.com/mostafa-saad/MyCompetitiveProgramming/blob/master/UVA/UVA_125.txt","Sol")</f>
        <v>Sol</v>
      </c>
    </row>
    <row r="113">
      <c r="A113" s="124" t="s">
        <v>415</v>
      </c>
      <c r="B113" s="191" t="str">
        <f>HYPERLINK("https://uva.onlinejudge.org/index.php?option=com_onlinejudge&amp;Itemid=8&amp;page=show_problem&amp;problem=209","UVA 273")</f>
        <v>UVA 273</v>
      </c>
      <c r="C113" s="95"/>
      <c r="D113" s="95"/>
      <c r="E113" s="95"/>
      <c r="F113" s="95"/>
      <c r="G113" s="95"/>
      <c r="H113" s="97"/>
      <c r="I113" s="39">
        <f t="shared" si="1"/>
        <v>0</v>
      </c>
      <c r="J113" s="111"/>
      <c r="K113" s="112"/>
      <c r="L113" s="80"/>
      <c r="M113" s="126" t="str">
        <f>HYPERLINK("https://github.com/MeGaCrazy/CompetitiveProgramming/blob/6c8e6d79950bbe406f56e3b990159810fcca7431/UVA/UVA_273.cpp","Sol")</f>
        <v>Sol</v>
      </c>
    </row>
    <row r="114">
      <c r="A114" s="124" t="s">
        <v>420</v>
      </c>
      <c r="B114" s="125" t="str">
        <f>HYPERLINK("https://uva.onlinejudge.org/index.php?option=onlinejudge&amp;page=show_problem&amp;problem=1041","UVA 10100")</f>
        <v>UVA 10100</v>
      </c>
      <c r="C114" s="95"/>
      <c r="D114" s="95"/>
      <c r="E114" s="95"/>
      <c r="F114" s="95"/>
      <c r="G114" s="95"/>
      <c r="H114" s="97"/>
      <c r="I114" s="39">
        <f t="shared" si="1"/>
        <v>0</v>
      </c>
      <c r="J114" s="49"/>
      <c r="K114" s="36"/>
      <c r="L114" s="95"/>
      <c r="M114" s="51"/>
    </row>
    <row r="115">
      <c r="A115" s="124" t="s">
        <v>421</v>
      </c>
      <c r="B115" s="125" t="str">
        <f>HYPERLINK("https://uva.onlinejudge.org/index.php?option=com_onlinejudge&amp;Itemid=8&amp;page=show_problem&amp;problem=2318","UVA 11343")</f>
        <v>UVA 11343</v>
      </c>
      <c r="C115" s="95"/>
      <c r="D115" s="95"/>
      <c r="E115" s="95"/>
      <c r="F115" s="95"/>
      <c r="G115" s="95"/>
      <c r="H115" s="97"/>
      <c r="I115" s="39">
        <f t="shared" si="1"/>
        <v>0</v>
      </c>
      <c r="J115" s="49"/>
      <c r="K115" s="36"/>
      <c r="L115" s="95"/>
      <c r="M115" s="126" t="str">
        <f>HYPERLINK("https://github.com/hosamk92/CompetitiveProgramming/blob/master/UVA/UVA%2011343.cpp","Sol")</f>
        <v>Sol</v>
      </c>
    </row>
    <row r="116">
      <c r="A116" s="124" t="s">
        <v>425</v>
      </c>
      <c r="B116" s="125" t="str">
        <f>HYPERLINK("http://www.spoj.com/problems/HIGHWAYS/","SPOJ HIGHWAYS")</f>
        <v>SPOJ HIGHWAYS</v>
      </c>
      <c r="C116" s="95"/>
      <c r="D116" s="95"/>
      <c r="E116" s="95"/>
      <c r="F116" s="95"/>
      <c r="G116" s="95"/>
      <c r="H116" s="97"/>
      <c r="I116" s="39">
        <f t="shared" si="1"/>
        <v>0</v>
      </c>
      <c r="J116" s="49"/>
      <c r="K116" s="36"/>
      <c r="L116" s="95"/>
      <c r="M116" s="120"/>
    </row>
    <row r="117">
      <c r="A117" s="124" t="s">
        <v>426</v>
      </c>
      <c r="B117" s="125" t="str">
        <f>HYPERLINK("https://uva.onlinejudge.org/index.php?option=com_onlinejudge&amp;Itemid=8&amp;page=show_problem&amp;problem=1139","UVA 10198")</f>
        <v>UVA 10198</v>
      </c>
      <c r="C117" s="95"/>
      <c r="D117" s="95"/>
      <c r="E117" s="95"/>
      <c r="F117" s="95"/>
      <c r="G117" s="95"/>
      <c r="H117" s="97"/>
      <c r="I117" s="39">
        <f t="shared" si="1"/>
        <v>0</v>
      </c>
      <c r="J117" s="49"/>
      <c r="K117" s="36"/>
      <c r="L117" s="95"/>
      <c r="M117" s="19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8">
      <c r="A118" s="120"/>
      <c r="B118" s="120"/>
      <c r="C118" s="95"/>
      <c r="D118" s="95"/>
      <c r="E118" s="95"/>
      <c r="F118" s="95"/>
      <c r="G118" s="95"/>
      <c r="H118" s="97"/>
      <c r="I118" s="39">
        <f t="shared" si="1"/>
        <v>0</v>
      </c>
      <c r="J118" s="49"/>
      <c r="K118" s="36"/>
      <c r="L118" s="95"/>
      <c r="M118" s="120"/>
    </row>
    <row r="119">
      <c r="A119" s="105" t="s">
        <v>433</v>
      </c>
      <c r="B119" s="110" t="str">
        <f>HYPERLINK("http://codeforces.com/contest/349/problem/C","CF349-D2-C")</f>
        <v>CF349-D2-C</v>
      </c>
      <c r="C119" s="95"/>
      <c r="D119" s="95"/>
      <c r="E119" s="95"/>
      <c r="F119" s="95"/>
      <c r="G119" s="95"/>
      <c r="H119" s="97"/>
      <c r="I119" s="39">
        <f t="shared" si="1"/>
        <v>0</v>
      </c>
      <c r="J119" s="111"/>
      <c r="K119" s="112"/>
      <c r="L119" s="80"/>
      <c r="M119" s="16"/>
    </row>
    <row r="120">
      <c r="A120" s="105" t="s">
        <v>435</v>
      </c>
      <c r="B120" s="110" t="str">
        <f>HYPERLINK("http://codeforces.com/contest/381/problem/C","CF381-D2-C")</f>
        <v>CF381-D2-C</v>
      </c>
      <c r="C120" s="95"/>
      <c r="D120" s="95"/>
      <c r="E120" s="95"/>
      <c r="F120" s="95"/>
      <c r="G120" s="95"/>
      <c r="H120" s="97"/>
      <c r="I120" s="39">
        <f t="shared" si="1"/>
        <v>0</v>
      </c>
      <c r="J120" s="111"/>
      <c r="K120" s="112"/>
      <c r="L120" s="80"/>
      <c r="M120" s="16"/>
    </row>
    <row r="121">
      <c r="A121" s="105" t="s">
        <v>438</v>
      </c>
      <c r="B121" s="110" t="str">
        <f>HYPERLINK("http://codeforces.com/contest/199/problem/C","CF199-D2-C")</f>
        <v>CF199-D2-C</v>
      </c>
      <c r="C121" s="95"/>
      <c r="D121" s="95"/>
      <c r="E121" s="95"/>
      <c r="F121" s="95"/>
      <c r="G121" s="95"/>
      <c r="H121" s="97"/>
      <c r="I121" s="39">
        <f t="shared" si="1"/>
        <v>0</v>
      </c>
      <c r="J121" s="111"/>
      <c r="K121" s="112"/>
      <c r="L121" s="80"/>
      <c r="M121" s="16"/>
    </row>
    <row r="122">
      <c r="A122" s="105" t="s">
        <v>440</v>
      </c>
      <c r="B122" s="110" t="str">
        <f>HYPERLINK("http://codeforces.com/contest/520/problem/C","CF520-D2-C")</f>
        <v>CF520-D2-C</v>
      </c>
      <c r="C122" s="95"/>
      <c r="D122" s="95"/>
      <c r="E122" s="95"/>
      <c r="F122" s="95"/>
      <c r="G122" s="95"/>
      <c r="H122" s="97"/>
      <c r="I122" s="39">
        <f t="shared" si="1"/>
        <v>0</v>
      </c>
      <c r="J122" s="111"/>
      <c r="K122" s="112"/>
      <c r="L122" s="80"/>
      <c r="M122" s="16"/>
    </row>
    <row r="123">
      <c r="A123" s="105" t="s">
        <v>441</v>
      </c>
      <c r="B123" s="110" t="str">
        <f>HYPERLINK("http://codeforces.com/contest/567/problem/C","CF567-D2-C")</f>
        <v>CF567-D2-C</v>
      </c>
      <c r="C123" s="95"/>
      <c r="D123" s="95"/>
      <c r="E123" s="95"/>
      <c r="F123" s="95"/>
      <c r="G123" s="95"/>
      <c r="H123" s="97"/>
      <c r="I123" s="39">
        <f t="shared" si="1"/>
        <v>0</v>
      </c>
      <c r="J123" s="111"/>
      <c r="K123" s="112"/>
      <c r="L123" s="80"/>
      <c r="M123" s="16"/>
    </row>
    <row r="124">
      <c r="A124" s="92" t="s">
        <v>444</v>
      </c>
      <c r="B124" s="126" t="str">
        <f>HYPERLINK("http://codeforces.com/contest/617/problem/C","CF617-D2-C")</f>
        <v>CF617-D2-C</v>
      </c>
      <c r="C124" s="95"/>
      <c r="D124" s="95"/>
      <c r="E124" s="95"/>
      <c r="F124" s="95"/>
      <c r="G124" s="95"/>
      <c r="H124" s="97"/>
      <c r="I124" s="39">
        <f t="shared" si="1"/>
        <v>0</v>
      </c>
      <c r="J124" s="49"/>
      <c r="K124" s="36"/>
      <c r="L124" s="95"/>
      <c r="M124" s="120"/>
    </row>
    <row r="125">
      <c r="A125" s="92" t="s">
        <v>447</v>
      </c>
      <c r="B125" s="126" t="str">
        <f>HYPERLINK("http://codeforces.com/contest/337/problem/C","CF337-D2-C")</f>
        <v>CF337-D2-C</v>
      </c>
      <c r="C125" s="95"/>
      <c r="D125" s="95"/>
      <c r="E125" s="95"/>
      <c r="F125" s="95"/>
      <c r="G125" s="95"/>
      <c r="H125" s="97"/>
      <c r="I125" s="39">
        <f t="shared" si="1"/>
        <v>0</v>
      </c>
      <c r="J125" s="49"/>
      <c r="K125" s="36"/>
      <c r="L125" s="95"/>
      <c r="M125" s="120"/>
    </row>
    <row r="126">
      <c r="A126" s="137" t="s">
        <v>448</v>
      </c>
      <c r="B126" s="78" t="str">
        <f>HYPERLINK("http://codeforces.com/contest/496/problem/B","CF496-D2-B")</f>
        <v>CF496-D2-B</v>
      </c>
      <c r="C126" s="95"/>
      <c r="D126" s="95"/>
      <c r="E126" s="95"/>
      <c r="F126" s="95"/>
      <c r="G126" s="95"/>
      <c r="H126" s="97"/>
      <c r="I126" s="39">
        <f t="shared" si="1"/>
        <v>0</v>
      </c>
      <c r="J126" s="49"/>
      <c r="K126" s="36"/>
      <c r="L126" s="95"/>
      <c r="M126" s="120"/>
    </row>
    <row r="127">
      <c r="A127" s="137" t="s">
        <v>449</v>
      </c>
      <c r="B127" s="78" t="str">
        <f>HYPERLINK("http://codeforces.com/contest/471/problem/B","CF471-D2-B")</f>
        <v>CF471-D2-B</v>
      </c>
      <c r="C127" s="95"/>
      <c r="D127" s="95"/>
      <c r="E127" s="95"/>
      <c r="F127" s="95"/>
      <c r="G127" s="95"/>
      <c r="H127" s="97"/>
      <c r="I127" s="39">
        <f t="shared" si="1"/>
        <v>0</v>
      </c>
      <c r="J127" s="49"/>
      <c r="K127" s="36"/>
      <c r="L127" s="95"/>
      <c r="M127" s="120"/>
    </row>
    <row r="128">
      <c r="A128" s="137" t="s">
        <v>451</v>
      </c>
      <c r="B128" s="78" t="str">
        <f>HYPERLINK("http://codeforces.com/contest/146/problem/B","CF146-D2-B")</f>
        <v>CF146-D2-B</v>
      </c>
      <c r="C128" s="95"/>
      <c r="D128" s="95"/>
      <c r="E128" s="95"/>
      <c r="F128" s="95"/>
      <c r="G128" s="95"/>
      <c r="H128" s="97"/>
      <c r="I128" s="39">
        <f t="shared" si="1"/>
        <v>0</v>
      </c>
      <c r="J128" s="49"/>
      <c r="K128" s="36"/>
      <c r="L128" s="95"/>
      <c r="M128" s="120"/>
    </row>
    <row r="129">
      <c r="A129" s="92"/>
      <c r="B129" s="51"/>
      <c r="C129" s="95"/>
      <c r="D129" s="95"/>
      <c r="E129" s="95"/>
      <c r="F129" s="95"/>
      <c r="G129" s="95"/>
      <c r="H129" s="97"/>
      <c r="I129" s="39">
        <f t="shared" si="1"/>
        <v>0</v>
      </c>
      <c r="J129" s="49"/>
      <c r="K129" s="36"/>
      <c r="L129" s="95"/>
      <c r="M129" s="120"/>
    </row>
    <row r="130">
      <c r="A130" s="51"/>
      <c r="B130" s="51"/>
      <c r="C130" s="95"/>
      <c r="D130" s="95"/>
      <c r="E130" s="95"/>
      <c r="F130" s="95"/>
      <c r="G130" s="95"/>
      <c r="H130" s="97"/>
      <c r="I130" s="39">
        <f t="shared" si="1"/>
        <v>0</v>
      </c>
      <c r="J130" s="49"/>
      <c r="K130" s="36"/>
      <c r="L130" s="95"/>
      <c r="M130" s="116" t="str">
        <f>HYPERLINK("https://www.youtube.com/watch?v=ZNYQrKpR42g","Watch - Measuring Algorithms Perfromance - 2")</f>
        <v>Watch - Measuring Algorithms Perfromance - 2</v>
      </c>
    </row>
    <row r="131">
      <c r="A131" s="51"/>
      <c r="B131" s="51"/>
      <c r="C131" s="95"/>
      <c r="D131" s="95"/>
      <c r="E131" s="95"/>
      <c r="F131" s="95"/>
      <c r="G131" s="95"/>
      <c r="H131" s="97"/>
      <c r="I131" s="39">
        <f t="shared" si="1"/>
        <v>0</v>
      </c>
      <c r="J131" s="49"/>
      <c r="K131" s="36"/>
      <c r="L131" s="95"/>
      <c r="M131" s="199" t="str">
        <f>HYPERLINK("https://www.youtube.com/watch?v=RASvnfG2SSE","Watch - Graph Theory - Tree Diameter and Isomorphism")</f>
        <v>Watch - Graph Theory - Tree Diameter and Isomorphism</v>
      </c>
    </row>
    <row r="132">
      <c r="A132" s="117" t="s">
        <v>457</v>
      </c>
      <c r="B132" s="118" t="str">
        <f>HYPERLINK("http://www.spoj.com/problems/PT07Z/","SPOJ PT07Z")</f>
        <v>SPOJ PT07Z</v>
      </c>
      <c r="C132" s="95"/>
      <c r="D132" s="95"/>
      <c r="E132" s="95"/>
      <c r="F132" s="95"/>
      <c r="G132" s="95"/>
      <c r="H132" s="97"/>
      <c r="I132" s="39">
        <f t="shared" si="1"/>
        <v>0</v>
      </c>
      <c r="J132" s="49"/>
      <c r="K132" s="36"/>
      <c r="L132" s="95"/>
      <c r="M132" s="126" t="str">
        <f>HYPERLINK("https://github.com/abdullaAshraf/Problem-Solving/blob/master/SPOJ/PT07Z.cpp","Sol")</f>
        <v>Sol</v>
      </c>
    </row>
    <row r="133">
      <c r="A133" s="117" t="s">
        <v>460</v>
      </c>
      <c r="B133" s="118" t="str">
        <f>HYPERLINK("https://uva.onlinejudge.org/index.php?option=com_onlinejudge&amp;Itemid=8&amp;page=show_problem&amp;problem=1249","UVA 10308")</f>
        <v>UVA 10308</v>
      </c>
      <c r="C133" s="95"/>
      <c r="D133" s="95"/>
      <c r="E133" s="95"/>
      <c r="F133" s="95"/>
      <c r="G133" s="95"/>
      <c r="H133" s="97"/>
      <c r="I133" s="39">
        <f t="shared" si="1"/>
        <v>0</v>
      </c>
      <c r="J133" s="49"/>
      <c r="K133" s="36"/>
      <c r="L133" s="95"/>
      <c r="M133" s="126" t="str">
        <f>HYPERLINK("https://github.com/ilyesG/Competitive-Programming/blob/master/UVA/UVA%2010308.cpp","Sol")</f>
        <v>Sol</v>
      </c>
    </row>
    <row r="134">
      <c r="A134" s="171" t="s">
        <v>463</v>
      </c>
      <c r="B134" s="153" t="str">
        <f>HYPERLINK("https://icpcarchive.ecs.baylor.edu/index.php?option=com_onlinejudge&amp;Itemid=8&amp;page=show_problem&amp;problem=936","LIVEARCHIVE 2935")</f>
        <v>LIVEARCHIVE 2935</v>
      </c>
      <c r="C134" s="95"/>
      <c r="D134" s="95"/>
      <c r="E134" s="95"/>
      <c r="F134" s="95"/>
      <c r="G134" s="95"/>
      <c r="H134" s="97"/>
      <c r="I134" s="39">
        <f t="shared" si="1"/>
        <v>0</v>
      </c>
      <c r="J134" s="49"/>
      <c r="K134" s="36"/>
      <c r="L134" s="95"/>
      <c r="M134" s="126" t="str">
        <f>HYPERLINK("https://github.com/mostafa-saad/MyCompetitiveProgramming/blob/master/LiveArchive/LiveArchive_2935.txt","Sol")</f>
        <v>Sol</v>
      </c>
    </row>
    <row r="135">
      <c r="A135" s="92"/>
      <c r="B135" s="51"/>
      <c r="C135" s="95"/>
      <c r="D135" s="95"/>
      <c r="E135" s="95"/>
      <c r="F135" s="95"/>
      <c r="G135" s="95"/>
      <c r="H135" s="97"/>
      <c r="I135" s="39">
        <f t="shared" si="1"/>
        <v>0</v>
      </c>
      <c r="J135" s="49"/>
      <c r="K135" s="36"/>
      <c r="L135" s="95"/>
      <c r="M135" s="120"/>
    </row>
    <row r="136">
      <c r="A136" s="92" t="s">
        <v>465</v>
      </c>
      <c r="B136" s="126" t="str">
        <f>HYPERLINK("http://codeforces.com/contest/224/problem/C","CF224-D2-C")</f>
        <v>CF224-D2-C</v>
      </c>
      <c r="C136" s="95"/>
      <c r="D136" s="95"/>
      <c r="E136" s="95"/>
      <c r="F136" s="95"/>
      <c r="G136" s="95"/>
      <c r="H136" s="97"/>
      <c r="I136" s="39">
        <f t="shared" si="1"/>
        <v>0</v>
      </c>
      <c r="J136" s="49"/>
      <c r="K136" s="36"/>
      <c r="L136" s="95"/>
      <c r="M136" s="120"/>
    </row>
    <row r="137">
      <c r="A137" s="92" t="s">
        <v>466</v>
      </c>
      <c r="B137" s="126" t="str">
        <f>HYPERLINK("http://codeforces.com/contest/672/problem/C","CF672-D2-C")</f>
        <v>CF672-D2-C</v>
      </c>
      <c r="C137" s="95"/>
      <c r="D137" s="95"/>
      <c r="E137" s="95"/>
      <c r="F137" s="95"/>
      <c r="G137" s="95"/>
      <c r="H137" s="97"/>
      <c r="I137" s="39">
        <f t="shared" si="1"/>
        <v>0</v>
      </c>
      <c r="J137" s="49"/>
      <c r="K137" s="36"/>
      <c r="L137" s="95"/>
      <c r="M137" s="120"/>
    </row>
    <row r="138">
      <c r="A138" s="92" t="s">
        <v>469</v>
      </c>
      <c r="B138" s="126" t="str">
        <f>HYPERLINK("http://codeforces.com/contest/118/problem/C","CF118-D2-C")</f>
        <v>CF118-D2-C</v>
      </c>
      <c r="C138" s="95"/>
      <c r="D138" s="95"/>
      <c r="E138" s="95"/>
      <c r="F138" s="95"/>
      <c r="G138" s="95"/>
      <c r="H138" s="97"/>
      <c r="I138" s="39">
        <f t="shared" si="1"/>
        <v>0</v>
      </c>
      <c r="J138" s="49"/>
      <c r="K138" s="36"/>
      <c r="L138" s="95"/>
      <c r="M138" s="120"/>
    </row>
    <row r="139">
      <c r="A139" s="92" t="s">
        <v>471</v>
      </c>
      <c r="B139" s="126" t="str">
        <f>HYPERLINK("http://codeforces.com/contest/365/problem/C","CF365-D2-C")</f>
        <v>CF365-D2-C</v>
      </c>
      <c r="C139" s="95"/>
      <c r="D139" s="95"/>
      <c r="E139" s="95"/>
      <c r="F139" s="95"/>
      <c r="G139" s="95"/>
      <c r="H139" s="97"/>
      <c r="I139" s="39">
        <f t="shared" si="1"/>
        <v>0</v>
      </c>
      <c r="J139" s="49"/>
      <c r="K139" s="36"/>
      <c r="L139" s="95"/>
      <c r="M139" s="120"/>
    </row>
    <row r="140">
      <c r="A140" s="105" t="s">
        <v>474</v>
      </c>
      <c r="B140" s="110" t="str">
        <f>HYPERLINK("http://codeforces.com/contest/294/problem/C","CF294-D2-C")</f>
        <v>CF294-D2-C</v>
      </c>
      <c r="C140" s="95"/>
      <c r="D140" s="95"/>
      <c r="E140" s="95"/>
      <c r="F140" s="95"/>
      <c r="G140" s="95"/>
      <c r="H140" s="97"/>
      <c r="I140" s="39">
        <f t="shared" si="1"/>
        <v>0</v>
      </c>
      <c r="J140" s="16"/>
      <c r="K140" s="80"/>
      <c r="L140" s="80"/>
      <c r="M140" s="110" t="str">
        <f>HYPERLINK("https://www.youtube.com/watch?v=xB6St1GAKUg","Video Solution - Eng Mostafa Saad")</f>
        <v>Video Solution - Eng Mostafa Saad</v>
      </c>
    </row>
    <row r="141">
      <c r="A141" s="92" t="s">
        <v>477</v>
      </c>
      <c r="B141" s="126" t="str">
        <f>HYPERLINK("http://codeforces.com/contest/721/problem/C","CF721-D2-C")</f>
        <v>CF721-D2-C</v>
      </c>
      <c r="C141" s="95"/>
      <c r="D141" s="95"/>
      <c r="E141" s="95"/>
      <c r="F141" s="95"/>
      <c r="G141" s="95"/>
      <c r="H141" s="97"/>
      <c r="I141" s="39">
        <f t="shared" si="1"/>
        <v>0</v>
      </c>
      <c r="J141" s="49"/>
      <c r="K141" s="36"/>
      <c r="L141" s="95"/>
      <c r="M141" s="120"/>
    </row>
    <row r="142">
      <c r="A142" s="105" t="s">
        <v>478</v>
      </c>
      <c r="B142" s="110" t="str">
        <f>HYPERLINK("http://codeforces.com/contest/474/problem/C","CF474-D2-C")</f>
        <v>CF474-D2-C</v>
      </c>
      <c r="C142" s="95"/>
      <c r="D142" s="95"/>
      <c r="E142" s="95"/>
      <c r="F142" s="95"/>
      <c r="G142" s="95"/>
      <c r="H142" s="97"/>
      <c r="I142" s="39">
        <f t="shared" si="1"/>
        <v>0</v>
      </c>
      <c r="J142" s="49"/>
      <c r="K142" s="36"/>
      <c r="L142" s="80"/>
      <c r="M142" s="85" t="str">
        <f>HYPERLINK("https://www.youtube.com/watch?v=TpRObCQT9Lw","Video Solution - Eng Mostafa Saad")</f>
        <v>Video Solution - Eng Mostafa Saad</v>
      </c>
    </row>
    <row r="143">
      <c r="A143" s="105" t="s">
        <v>481</v>
      </c>
      <c r="B143" s="210" t="str">
        <f>HYPERLINK("http://codeforces.com/contest/592/problem/C","CF592-D2-C")</f>
        <v>CF592-D2-C</v>
      </c>
      <c r="C143" s="95"/>
      <c r="D143" s="95"/>
      <c r="E143" s="95"/>
      <c r="F143" s="95"/>
      <c r="G143" s="95"/>
      <c r="H143" s="97"/>
      <c r="I143" s="39">
        <f t="shared" si="1"/>
        <v>0</v>
      </c>
      <c r="J143" s="111"/>
      <c r="K143" s="112"/>
      <c r="L143" s="80"/>
      <c r="M143" s="80"/>
    </row>
    <row r="144">
      <c r="A144" s="105" t="s">
        <v>484</v>
      </c>
      <c r="B144" s="210" t="str">
        <f>HYPERLINK("http://codeforces.com/contest/776/problem/C","CF776-D2-C")</f>
        <v>CF776-D2-C</v>
      </c>
      <c r="C144" s="95"/>
      <c r="D144" s="95"/>
      <c r="E144" s="95"/>
      <c r="F144" s="95"/>
      <c r="G144" s="95"/>
      <c r="H144" s="97"/>
      <c r="I144" s="39">
        <f t="shared" si="1"/>
        <v>0</v>
      </c>
      <c r="J144" s="111"/>
      <c r="K144" s="112"/>
      <c r="L144" s="80"/>
      <c r="M144" s="114" t="str">
        <f>HYPERLINK("https://www.youtube.com/watch?v=5roeMaM3T3Y","Video Solution - Solver to be (Java)")</f>
        <v>Video Solution - Solver to be (Java)</v>
      </c>
    </row>
    <row r="145">
      <c r="A145" s="137" t="s">
        <v>488</v>
      </c>
      <c r="B145" s="150" t="str">
        <f>HYPERLINK("http://codeforces.com/contest/719/problem/B","CF719-D2-B")</f>
        <v>CF719-D2-B</v>
      </c>
      <c r="C145" s="95"/>
      <c r="D145" s="95"/>
      <c r="E145" s="95"/>
      <c r="F145" s="95"/>
      <c r="G145" s="95"/>
      <c r="H145" s="97"/>
      <c r="I145" s="39">
        <f t="shared" si="1"/>
        <v>0</v>
      </c>
      <c r="J145" s="111"/>
      <c r="K145" s="112"/>
      <c r="L145" s="80"/>
      <c r="M145" s="114"/>
    </row>
    <row r="146">
      <c r="A146" s="137" t="s">
        <v>490</v>
      </c>
      <c r="B146" s="150" t="str">
        <f>HYPERLINK("http://codeforces.com/contest/443/problem/B","CF443-D2-B")</f>
        <v>CF443-D2-B</v>
      </c>
      <c r="C146" s="95"/>
      <c r="D146" s="95"/>
      <c r="E146" s="95"/>
      <c r="F146" s="95"/>
      <c r="G146" s="95"/>
      <c r="H146" s="97"/>
      <c r="I146" s="39">
        <f t="shared" si="1"/>
        <v>0</v>
      </c>
      <c r="J146" s="111"/>
      <c r="K146" s="112"/>
      <c r="L146" s="80"/>
      <c r="M146" s="114"/>
    </row>
    <row r="147">
      <c r="A147" s="137" t="s">
        <v>493</v>
      </c>
      <c r="B147" s="150" t="str">
        <f>HYPERLINK("http://codeforces.com/contest/131/problem/B","CF131-D2-B")</f>
        <v>CF131-D2-B</v>
      </c>
      <c r="C147" s="95"/>
      <c r="D147" s="95"/>
      <c r="E147" s="95"/>
      <c r="F147" s="95"/>
      <c r="G147" s="95"/>
      <c r="H147" s="97"/>
      <c r="I147" s="39">
        <f t="shared" si="1"/>
        <v>0</v>
      </c>
      <c r="J147" s="111"/>
      <c r="K147" s="112"/>
      <c r="L147" s="80"/>
      <c r="M147" s="114"/>
    </row>
    <row r="148">
      <c r="A148" s="120"/>
      <c r="B148" s="120"/>
      <c r="C148" s="95"/>
      <c r="D148" s="95"/>
      <c r="E148" s="95"/>
      <c r="F148" s="95"/>
      <c r="G148" s="95"/>
      <c r="H148" s="97"/>
      <c r="I148" s="39">
        <f t="shared" si="1"/>
        <v>0</v>
      </c>
      <c r="J148" s="49"/>
      <c r="K148" s="36"/>
      <c r="L148" s="95"/>
      <c r="M148" s="120"/>
    </row>
    <row r="149">
      <c r="A149" s="124" t="s">
        <v>496</v>
      </c>
      <c r="B149" s="125" t="str">
        <f>HYPERLINK("https://uva.onlinejudge.org/index.php?option=onlinejudge&amp;page=show_problem&amp;problem=1204","UVA 10263")</f>
        <v>UVA 10263</v>
      </c>
      <c r="C149" s="95"/>
      <c r="D149" s="95"/>
      <c r="E149" s="95"/>
      <c r="F149" s="95"/>
      <c r="G149" s="95"/>
      <c r="H149" s="97"/>
      <c r="I149" s="39">
        <f t="shared" si="1"/>
        <v>0</v>
      </c>
      <c r="J149" s="49"/>
      <c r="K149" s="36"/>
      <c r="L149" s="95"/>
      <c r="M149" s="85" t="str">
        <f>HYPERLINK("https://github.com/MohamedNabil97/CompetitiveProgramming/blob/master/UVA/10263.cpp","Sol to read")</f>
        <v>Sol to read</v>
      </c>
    </row>
    <row r="150">
      <c r="A150" s="124" t="s">
        <v>499</v>
      </c>
      <c r="B150" s="125" t="str">
        <f>HYPERLINK("https://uva.onlinejudge.org/index.php?option=com_onlinejudge&amp;Itemid=8&amp;page=show_problem&amp;problem=825","UVA 884")</f>
        <v>UVA 884</v>
      </c>
      <c r="C150" s="95"/>
      <c r="D150" s="95"/>
      <c r="E150" s="95"/>
      <c r="F150" s="95"/>
      <c r="G150" s="95"/>
      <c r="H150" s="97"/>
      <c r="I150" s="39">
        <f t="shared" si="1"/>
        <v>0</v>
      </c>
      <c r="J150" s="49"/>
      <c r="K150" s="36"/>
      <c r="L150" s="95"/>
      <c r="M150" s="120"/>
    </row>
    <row r="151">
      <c r="A151" s="124" t="s">
        <v>502</v>
      </c>
      <c r="B151" s="212" t="str">
        <f>HYPERLINK("https://uva.onlinejudge.org/index.php?option=onlinejudge&amp;page=show_problem&amp;problem=4601","UVA 12748")</f>
        <v>UVA 12748</v>
      </c>
      <c r="C151" s="95"/>
      <c r="D151" s="95"/>
      <c r="E151" s="95"/>
      <c r="F151" s="95"/>
      <c r="G151" s="95"/>
      <c r="H151" s="97"/>
      <c r="I151" s="39">
        <f t="shared" si="1"/>
        <v>0</v>
      </c>
      <c r="J151" s="49"/>
      <c r="K151" s="36"/>
      <c r="L151" s="95"/>
      <c r="M151" s="126" t="str">
        <f>HYPERLINK("https://github.com/MeGaCrazy/CompetitiveProgramming/blob/29ebad1d90e70a17ac4e646e5f049b980fb777de/UVA/UVA_12748.cpp","Sol")</f>
        <v>Sol</v>
      </c>
    </row>
    <row r="152">
      <c r="A152" s="136" t="s">
        <v>506</v>
      </c>
      <c r="B152" s="180" t="str">
        <f>HYPERLINK("https://uva.onlinejudge.org/index.php?option=com_onlinejudge&amp;Itemid=8&amp;page=show_problem&amp;problem=206","UVA 270")</f>
        <v>UVA 270</v>
      </c>
      <c r="C152" s="95"/>
      <c r="D152" s="95"/>
      <c r="E152" s="95"/>
      <c r="F152" s="95"/>
      <c r="G152" s="95"/>
      <c r="H152" s="97"/>
      <c r="I152" s="39">
        <f t="shared" si="1"/>
        <v>0</v>
      </c>
      <c r="J152" s="49"/>
      <c r="K152" s="36"/>
      <c r="L152" s="95"/>
      <c r="M152" s="108" t="str">
        <f>HYPERLINK("https://www.youtube.com/watch?v=EbB6g4GuNrQ","Video Solution - Eng Mohamed Nasser. Don't Code O(N^3)")</f>
        <v>Video Solution - Eng Mohamed Nasser. Don't Code O(N^3)</v>
      </c>
    </row>
    <row r="153">
      <c r="A153" s="136" t="s">
        <v>510</v>
      </c>
      <c r="B153" s="157" t="str">
        <f>HYPERLINK("http://www.spoj.com/problems/POUR1/","SPOJ POUR1")</f>
        <v>SPOJ POUR1</v>
      </c>
      <c r="C153" s="95"/>
      <c r="D153" s="95"/>
      <c r="E153" s="95"/>
      <c r="F153" s="95"/>
      <c r="G153" s="95"/>
      <c r="H153" s="97"/>
      <c r="I153" s="39">
        <f t="shared" si="1"/>
        <v>0</v>
      </c>
      <c r="J153" s="111"/>
      <c r="K153" s="112"/>
      <c r="L153" s="80"/>
      <c r="M153" s="123" t="str">
        <f>HYPERLINK("https://www.youtube.com/watch?v=dMacXPeTyak&amp;feature=youtu.be","Video Solution - Eng Moaz Rashad")</f>
        <v>Video Solution - Eng Moaz Rashad</v>
      </c>
    </row>
    <row r="154">
      <c r="A154" s="136"/>
      <c r="B154" s="157" t="str">
        <f>HYPERLINK("http://codeforces.com/contest/23/problem/C","CF23-D12-C")</f>
        <v>CF23-D12-C</v>
      </c>
      <c r="C154" s="95"/>
      <c r="D154" s="95"/>
      <c r="E154" s="95"/>
      <c r="F154" s="95"/>
      <c r="G154" s="95"/>
      <c r="H154" s="97"/>
      <c r="I154" s="39">
        <f t="shared" si="1"/>
        <v>0</v>
      </c>
      <c r="J154" s="111"/>
      <c r="K154" s="112"/>
      <c r="L154" s="80"/>
      <c r="M154" s="123"/>
    </row>
    <row r="155">
      <c r="A155" s="136"/>
      <c r="B155" s="157" t="str">
        <f>HYPERLINK("http://codeforces.com/problemset/problem/869/C","CF869-D2-C")</f>
        <v>CF869-D2-C</v>
      </c>
      <c r="C155" s="95"/>
      <c r="D155" s="95"/>
      <c r="E155" s="95"/>
      <c r="F155" s="95"/>
      <c r="G155" s="95"/>
      <c r="H155" s="97"/>
      <c r="I155" s="39">
        <f t="shared" si="1"/>
        <v>0</v>
      </c>
      <c r="J155" s="111"/>
      <c r="K155" s="112"/>
      <c r="L155" s="80"/>
      <c r="M155" s="123"/>
    </row>
    <row r="156">
      <c r="A156" s="136"/>
      <c r="B156" s="136" t="s">
        <v>516</v>
      </c>
      <c r="C156" s="95"/>
      <c r="D156" s="95"/>
      <c r="E156" s="95"/>
      <c r="F156" s="95"/>
      <c r="G156" s="95"/>
      <c r="H156" s="97"/>
      <c r="I156" s="39">
        <f t="shared" si="1"/>
        <v>0</v>
      </c>
      <c r="J156" s="111"/>
      <c r="K156" s="112"/>
      <c r="L156" s="80"/>
      <c r="M156" s="92" t="s">
        <v>518</v>
      </c>
    </row>
    <row r="157">
      <c r="A157" s="120"/>
      <c r="B157" s="120"/>
      <c r="C157" s="95"/>
      <c r="D157" s="95"/>
      <c r="E157" s="95"/>
      <c r="F157" s="95"/>
      <c r="G157" s="95"/>
      <c r="H157" s="97"/>
      <c r="I157" s="39">
        <f t="shared" si="1"/>
        <v>0</v>
      </c>
      <c r="J157" s="49"/>
      <c r="K157" s="36"/>
      <c r="L157" s="95"/>
    </row>
    <row r="158">
      <c r="A158" s="120"/>
      <c r="B158" s="120"/>
      <c r="C158" s="95"/>
      <c r="D158" s="95"/>
      <c r="E158" s="95"/>
      <c r="F158" s="95"/>
      <c r="G158" s="95"/>
      <c r="H158" s="97"/>
      <c r="I158" s="39">
        <f t="shared" si="1"/>
        <v>0</v>
      </c>
      <c r="J158" s="49"/>
      <c r="K158" s="36"/>
      <c r="L158" s="95"/>
      <c r="M158" s="199" t="str">
        <f>HYPERLINK("https://www.youtube.com/watch?v=j__Kredt7vY","Watch Video - Expected Value")</f>
        <v>Watch Video - Expected Value</v>
      </c>
    </row>
    <row r="159">
      <c r="A159" s="171" t="s">
        <v>520</v>
      </c>
      <c r="B159" s="213" t="str">
        <f>HYPERLINK("https://uva.onlinejudge.org/index.php?option=com_onlinejudge&amp;Itemid=8&amp;page=show_problem&amp;problem=1718","UVA 10777")</f>
        <v>UVA 10777</v>
      </c>
      <c r="C159" s="95"/>
      <c r="D159" s="95"/>
      <c r="E159" s="95"/>
      <c r="F159" s="95"/>
      <c r="G159" s="95"/>
      <c r="H159" s="97"/>
      <c r="I159" s="39">
        <f t="shared" si="1"/>
        <v>0</v>
      </c>
      <c r="J159" s="49"/>
      <c r="K159" s="36"/>
      <c r="L159" s="95"/>
      <c r="M159" s="126" t="str">
        <f>HYPERLINK("https://github.com/ilyesG/Competitive-Programming/blob/master/UVA/UVA%2010777.cpp","Sol")</f>
        <v>Sol</v>
      </c>
    </row>
    <row r="160">
      <c r="A160" s="171"/>
      <c r="B160" s="213" t="str">
        <f>HYPERLINK("http://codeforces.com/contest/839/problem/C","CF839-D2-C")</f>
        <v>CF839-D2-C</v>
      </c>
      <c r="C160" s="95"/>
      <c r="D160" s="95"/>
      <c r="E160" s="95"/>
      <c r="F160" s="95"/>
      <c r="G160" s="95"/>
      <c r="H160" s="97"/>
      <c r="I160" s="39">
        <f t="shared" si="1"/>
        <v>0</v>
      </c>
      <c r="J160" s="49"/>
      <c r="K160" s="36"/>
      <c r="L160" s="95"/>
      <c r="M160" s="120"/>
    </row>
    <row r="161">
      <c r="A161" s="171"/>
      <c r="B161" s="213" t="str">
        <f>HYPERLINK("http://codeforces.com/contest/454/problem/C","CF454-D2-C")</f>
        <v>CF454-D2-C</v>
      </c>
      <c r="C161" s="95"/>
      <c r="D161" s="95"/>
      <c r="E161" s="95"/>
      <c r="F161" s="95"/>
      <c r="G161" s="95"/>
      <c r="H161" s="97"/>
      <c r="I161" s="39">
        <f t="shared" si="1"/>
        <v>0</v>
      </c>
      <c r="J161" s="49"/>
      <c r="K161" s="36"/>
      <c r="L161" s="95"/>
      <c r="M161" s="120"/>
    </row>
    <row r="162">
      <c r="A162" s="171"/>
      <c r="B162" s="171" t="s">
        <v>528</v>
      </c>
      <c r="C162" s="95"/>
      <c r="D162" s="95"/>
      <c r="E162" s="95"/>
      <c r="F162" s="95"/>
      <c r="G162" s="95"/>
      <c r="H162" s="97"/>
      <c r="I162" s="39">
        <f t="shared" si="1"/>
        <v>0</v>
      </c>
      <c r="J162" s="49"/>
      <c r="K162" s="36"/>
      <c r="L162" s="95"/>
      <c r="M162" s="120"/>
    </row>
    <row r="163">
      <c r="A163" s="171"/>
      <c r="B163" s="213" t="str">
        <f>HYPERLINK("https://www.hackerrank.com/challenges/lazy-sorting","HACKR lazy-sorting")</f>
        <v>HACKR lazy-sorting</v>
      </c>
      <c r="C163" s="95"/>
      <c r="D163" s="95"/>
      <c r="E163" s="95"/>
      <c r="F163" s="95"/>
      <c r="G163" s="95"/>
      <c r="H163" s="97"/>
      <c r="I163" s="39">
        <f t="shared" si="1"/>
        <v>0</v>
      </c>
      <c r="J163" s="49"/>
      <c r="K163" s="36"/>
      <c r="L163" s="95"/>
      <c r="M163" s="126" t="str">
        <f>HYPERLINK("https://www.youtube.com/watch?v=j__Kredt7vY","Revise Expected Value")</f>
        <v>Revise Expected Value</v>
      </c>
    </row>
    <row r="164">
      <c r="A164" s="136"/>
      <c r="B164" s="157" t="str">
        <f>HYPERLINK("http://www.spoj.com/problems/ALIENS/","SPOJ ALIENS")</f>
        <v>SPOJ ALIENS</v>
      </c>
      <c r="C164" s="95"/>
      <c r="D164" s="95"/>
      <c r="E164" s="95"/>
      <c r="F164" s="95"/>
      <c r="G164" s="95"/>
      <c r="H164" s="97"/>
      <c r="I164" s="39">
        <f t="shared" si="1"/>
        <v>0</v>
      </c>
      <c r="J164" s="49"/>
      <c r="K164" s="36"/>
      <c r="L164" s="95"/>
      <c r="M164" s="126" t="str">
        <f>HYPERLINK("https://github.com/mostafa-saad/MyCompetitiveProgramming/blob/master/SPOJ/SPOJ_ALIENS.txt","Sol - Practice on min enclosing circle")</f>
        <v>Sol - Practice on min enclosing circle</v>
      </c>
    </row>
    <row r="165">
      <c r="A165" s="136"/>
      <c r="B165" s="157" t="str">
        <f>HYPERLINK("http://codeforces.com/contest/340/problem/B","CF340-D2-B")</f>
        <v>CF340-D2-B</v>
      </c>
      <c r="C165" s="95"/>
      <c r="D165" s="95"/>
      <c r="E165" s="95"/>
      <c r="F165" s="95"/>
      <c r="G165" s="95"/>
      <c r="H165" s="97"/>
      <c r="I165" s="39">
        <f t="shared" si="1"/>
        <v>0</v>
      </c>
      <c r="J165" s="49"/>
      <c r="K165" s="36"/>
      <c r="L165" s="95"/>
      <c r="M165" s="120"/>
    </row>
    <row r="166">
      <c r="A166" s="120"/>
      <c r="B166" s="120"/>
      <c r="C166" s="95"/>
      <c r="D166" s="95"/>
      <c r="E166" s="95"/>
      <c r="F166" s="95"/>
      <c r="G166" s="95"/>
      <c r="H166" s="97"/>
      <c r="I166" s="39">
        <f t="shared" si="1"/>
        <v>0</v>
      </c>
      <c r="J166" s="49"/>
      <c r="K166" s="36"/>
      <c r="L166" s="95"/>
      <c r="M166" s="214" t="s">
        <v>461</v>
      </c>
    </row>
    <row r="167">
      <c r="A167" s="215"/>
      <c r="B167" s="215"/>
      <c r="C167" s="216"/>
      <c r="D167" s="216"/>
      <c r="E167" s="216"/>
      <c r="F167" s="216"/>
      <c r="G167" s="216"/>
      <c r="H167" s="217"/>
      <c r="I167" s="217">
        <f t="shared" ref="I167:I169" si="2">SUM(E167:G167)</f>
        <v>0</v>
      </c>
      <c r="J167" s="216"/>
      <c r="K167" s="216"/>
      <c r="L167" s="216"/>
      <c r="M167" s="215"/>
    </row>
    <row r="168">
      <c r="A168" s="120"/>
      <c r="B168" s="120"/>
      <c r="C168" s="127"/>
      <c r="D168" s="219" t="s">
        <v>468</v>
      </c>
      <c r="H168" s="97"/>
      <c r="I168" s="97">
        <f t="shared" si="2"/>
        <v>0</v>
      </c>
      <c r="J168" s="4" t="s">
        <v>542</v>
      </c>
    </row>
    <row r="169">
      <c r="A169" s="215"/>
      <c r="B169" s="215"/>
      <c r="C169" s="216"/>
      <c r="D169" s="216"/>
      <c r="E169" s="216"/>
      <c r="F169" s="216"/>
      <c r="G169" s="216"/>
      <c r="H169" s="217"/>
      <c r="I169" s="217">
        <f t="shared" si="2"/>
        <v>0</v>
      </c>
      <c r="J169" s="216"/>
      <c r="K169" s="216"/>
      <c r="L169" s="216"/>
      <c r="M169" s="215"/>
    </row>
    <row r="170">
      <c r="A170" s="92" t="s">
        <v>543</v>
      </c>
      <c r="B170" s="126" t="str">
        <f>HYPERLINK("http://codeforces.com/contest/427/problem/C","CF427-D2-C")</f>
        <v>CF427-D2-C</v>
      </c>
      <c r="C170" s="95"/>
      <c r="D170" s="95"/>
      <c r="E170" s="95"/>
      <c r="F170" s="95"/>
      <c r="G170" s="95"/>
      <c r="H170" s="97"/>
      <c r="I170" s="39">
        <f t="shared" ref="I170:I208" si="3">SUM(E170:H170)</f>
        <v>0</v>
      </c>
      <c r="J170" s="49"/>
      <c r="K170" s="36"/>
      <c r="L170" s="95"/>
      <c r="M170" s="120"/>
    </row>
    <row r="171">
      <c r="A171" s="92" t="s">
        <v>547</v>
      </c>
      <c r="B171" s="126" t="str">
        <f>HYPERLINK("http://codeforces.com/contest/139/problem/C","CF139-D2-C")</f>
        <v>CF139-D2-C</v>
      </c>
      <c r="C171" s="95"/>
      <c r="D171" s="95"/>
      <c r="E171" s="95"/>
      <c r="F171" s="95"/>
      <c r="G171" s="95"/>
      <c r="H171" s="97"/>
      <c r="I171" s="39">
        <f t="shared" si="3"/>
        <v>0</v>
      </c>
      <c r="J171" s="49"/>
      <c r="K171" s="36"/>
      <c r="L171" s="95"/>
      <c r="M171" s="120"/>
    </row>
    <row r="172">
      <c r="A172" s="92" t="s">
        <v>551</v>
      </c>
      <c r="B172" s="126" t="str">
        <f>HYPERLINK("http://codeforces.com/contest/742/problem/C","CF742-D2-C")</f>
        <v>CF742-D2-C</v>
      </c>
      <c r="C172" s="95"/>
      <c r="D172" s="95"/>
      <c r="E172" s="95"/>
      <c r="F172" s="95"/>
      <c r="G172" s="95"/>
      <c r="H172" s="97"/>
      <c r="I172" s="39">
        <f t="shared" si="3"/>
        <v>0</v>
      </c>
      <c r="J172" s="49"/>
      <c r="K172" s="36"/>
      <c r="L172" s="95"/>
      <c r="M172" s="120"/>
    </row>
    <row r="173">
      <c r="A173" s="92" t="s">
        <v>553</v>
      </c>
      <c r="B173" s="126" t="str">
        <f>HYPERLINK("http://codeforces.com/contest/298/problem/C","CF298-D2-C")</f>
        <v>CF298-D2-C</v>
      </c>
      <c r="C173" s="95"/>
      <c r="D173" s="95"/>
      <c r="E173" s="95"/>
      <c r="F173" s="95"/>
      <c r="G173" s="95"/>
      <c r="H173" s="97"/>
      <c r="I173" s="39">
        <f t="shared" si="3"/>
        <v>0</v>
      </c>
      <c r="J173" s="49"/>
      <c r="K173" s="36"/>
      <c r="L173" s="95"/>
      <c r="M173" s="120"/>
    </row>
    <row r="174">
      <c r="A174" s="92" t="s">
        <v>554</v>
      </c>
      <c r="B174" s="126" t="str">
        <f>HYPERLINK("http://codeforces.com/contest/246/problem/C","CF246-D2-C")</f>
        <v>CF246-D2-C</v>
      </c>
      <c r="C174" s="95"/>
      <c r="D174" s="95"/>
      <c r="E174" s="95"/>
      <c r="F174" s="95"/>
      <c r="G174" s="95"/>
      <c r="H174" s="97"/>
      <c r="I174" s="39">
        <f t="shared" si="3"/>
        <v>0</v>
      </c>
      <c r="J174" s="49"/>
      <c r="K174" s="36"/>
      <c r="L174" s="95"/>
      <c r="M174" s="120"/>
    </row>
    <row r="175">
      <c r="A175" s="92" t="s">
        <v>557</v>
      </c>
      <c r="B175" s="126" t="str">
        <f>HYPERLINK("http://codeforces.com/contest/80/problem/C","CF80-D2-C")</f>
        <v>CF80-D2-C</v>
      </c>
      <c r="C175" s="95"/>
      <c r="D175" s="95"/>
      <c r="E175" s="95"/>
      <c r="F175" s="95"/>
      <c r="G175" s="95"/>
      <c r="H175" s="97"/>
      <c r="I175" s="39">
        <f t="shared" si="3"/>
        <v>0</v>
      </c>
      <c r="J175" s="49"/>
      <c r="K175" s="36"/>
      <c r="L175" s="95"/>
      <c r="M175" s="120"/>
    </row>
    <row r="176">
      <c r="A176" s="92" t="s">
        <v>559</v>
      </c>
      <c r="B176" s="126" t="str">
        <f>HYPERLINK("http://codeforces.com/contest/192/problem/C","CF192-D2-C")</f>
        <v>CF192-D2-C</v>
      </c>
      <c r="C176" s="95"/>
      <c r="D176" s="95"/>
      <c r="E176" s="95"/>
      <c r="F176" s="95"/>
      <c r="G176" s="95"/>
      <c r="H176" s="97"/>
      <c r="I176" s="39">
        <f t="shared" si="3"/>
        <v>0</v>
      </c>
      <c r="J176" s="49"/>
      <c r="K176" s="36"/>
      <c r="L176" s="95"/>
      <c r="M176" s="120"/>
    </row>
    <row r="177">
      <c r="A177" s="92" t="s">
        <v>561</v>
      </c>
      <c r="B177" s="126" t="str">
        <f>HYPERLINK("http://codeforces.com/contest/106/problem/C","CF106-D2-C")</f>
        <v>CF106-D2-C</v>
      </c>
      <c r="C177" s="95"/>
      <c r="D177" s="95"/>
      <c r="E177" s="95"/>
      <c r="F177" s="95"/>
      <c r="G177" s="95"/>
      <c r="H177" s="97"/>
      <c r="I177" s="39">
        <f t="shared" si="3"/>
        <v>0</v>
      </c>
      <c r="J177" s="49"/>
      <c r="K177" s="36"/>
      <c r="L177" s="95"/>
      <c r="M177" s="120"/>
    </row>
    <row r="178">
      <c r="A178" s="92" t="s">
        <v>564</v>
      </c>
      <c r="B178" s="126" t="str">
        <f>HYPERLINK("http://codeforces.com/contest/373/problem/C","CF373-D2-C")</f>
        <v>CF373-D2-C</v>
      </c>
      <c r="C178" s="95"/>
      <c r="D178" s="95"/>
      <c r="E178" s="95"/>
      <c r="F178" s="95"/>
      <c r="G178" s="95"/>
      <c r="H178" s="97"/>
      <c r="I178" s="39">
        <f t="shared" si="3"/>
        <v>0</v>
      </c>
      <c r="J178" s="49"/>
      <c r="K178" s="36"/>
      <c r="L178" s="95"/>
      <c r="M178" s="120"/>
    </row>
    <row r="179">
      <c r="A179" s="92" t="s">
        <v>566</v>
      </c>
      <c r="B179" s="126" t="str">
        <f>HYPERLINK("http://codeforces.com/contest/56/problem/C","CF56-D2-C")</f>
        <v>CF56-D2-C</v>
      </c>
      <c r="C179" s="95"/>
      <c r="D179" s="95"/>
      <c r="E179" s="95"/>
      <c r="F179" s="95"/>
      <c r="G179" s="95"/>
      <c r="H179" s="97"/>
      <c r="I179" s="39">
        <f t="shared" si="3"/>
        <v>0</v>
      </c>
      <c r="J179" s="49"/>
      <c r="K179" s="36"/>
      <c r="L179" s="95"/>
      <c r="M179" s="120"/>
    </row>
    <row r="180">
      <c r="A180" s="92"/>
      <c r="B180" s="51"/>
      <c r="C180" s="95"/>
      <c r="D180" s="95"/>
      <c r="E180" s="95"/>
      <c r="F180" s="95"/>
      <c r="G180" s="95"/>
      <c r="H180" s="97"/>
      <c r="I180" s="39">
        <f t="shared" si="3"/>
        <v>0</v>
      </c>
      <c r="J180" s="49"/>
      <c r="K180" s="36"/>
      <c r="L180" s="95"/>
      <c r="M180" s="120"/>
    </row>
    <row r="181">
      <c r="A181" s="92" t="s">
        <v>569</v>
      </c>
      <c r="B181" s="126" t="str">
        <f>HYPERLINK("http://codeforces.com/contest/205/problem/C","CF205-D2-C")</f>
        <v>CF205-D2-C</v>
      </c>
      <c r="C181" s="95"/>
      <c r="D181" s="95"/>
      <c r="E181" s="95"/>
      <c r="F181" s="95"/>
      <c r="G181" s="95"/>
      <c r="H181" s="97"/>
      <c r="I181" s="39">
        <f t="shared" si="3"/>
        <v>0</v>
      </c>
      <c r="J181" s="49"/>
      <c r="K181" s="36"/>
      <c r="L181" s="95"/>
      <c r="M181" s="120"/>
    </row>
    <row r="182">
      <c r="A182" s="92" t="s">
        <v>571</v>
      </c>
      <c r="B182" s="126" t="str">
        <f>HYPERLINK("http://codeforces.com/contest/315/problem/C","CF315-D2-C")</f>
        <v>CF315-D2-C</v>
      </c>
      <c r="C182" s="95"/>
      <c r="D182" s="95"/>
      <c r="E182" s="95"/>
      <c r="F182" s="95"/>
      <c r="G182" s="95"/>
      <c r="H182" s="97"/>
      <c r="I182" s="39">
        <f t="shared" si="3"/>
        <v>0</v>
      </c>
      <c r="J182" s="49"/>
      <c r="K182" s="36"/>
      <c r="L182" s="95"/>
      <c r="M182" s="120"/>
    </row>
    <row r="183">
      <c r="A183" s="92" t="s">
        <v>574</v>
      </c>
      <c r="B183" s="126" t="str">
        <f>HYPERLINK("http://codeforces.com/contest/355/problem/C","CF355-D2-C")</f>
        <v>CF355-D2-C</v>
      </c>
      <c r="C183" s="95"/>
      <c r="D183" s="95"/>
      <c r="E183" s="95"/>
      <c r="F183" s="95"/>
      <c r="G183" s="95"/>
      <c r="H183" s="97"/>
      <c r="I183" s="39">
        <f t="shared" si="3"/>
        <v>0</v>
      </c>
      <c r="J183" s="49"/>
      <c r="K183" s="36"/>
      <c r="L183" s="95"/>
      <c r="M183" s="120"/>
    </row>
    <row r="184">
      <c r="A184" s="92" t="s">
        <v>575</v>
      </c>
      <c r="B184" s="126" t="str">
        <f>HYPERLINK("http://codeforces.com/contest/96/problem/C","CF96-D2-C")</f>
        <v>CF96-D2-C</v>
      </c>
      <c r="C184" s="95"/>
      <c r="D184" s="95"/>
      <c r="E184" s="95"/>
      <c r="F184" s="95"/>
      <c r="G184" s="95"/>
      <c r="H184" s="97"/>
      <c r="I184" s="39">
        <f t="shared" si="3"/>
        <v>0</v>
      </c>
      <c r="J184" s="49"/>
      <c r="K184" s="36"/>
      <c r="L184" s="95"/>
      <c r="M184" s="120"/>
    </row>
    <row r="185">
      <c r="A185" s="92" t="s">
        <v>577</v>
      </c>
      <c r="B185" s="126" t="str">
        <f>HYPERLINK("http://codeforces.com/contest/66/problem/C","CF66-D2-C")</f>
        <v>CF66-D2-C</v>
      </c>
      <c r="C185" s="95"/>
      <c r="D185" s="95"/>
      <c r="E185" s="95"/>
      <c r="F185" s="95"/>
      <c r="G185" s="95"/>
      <c r="H185" s="97"/>
      <c r="I185" s="39">
        <f t="shared" si="3"/>
        <v>0</v>
      </c>
      <c r="J185" s="49"/>
      <c r="K185" s="36"/>
      <c r="L185" s="95"/>
      <c r="M185" s="120"/>
    </row>
    <row r="186">
      <c r="A186" s="92" t="s">
        <v>580</v>
      </c>
      <c r="B186" s="126" t="str">
        <f>HYPERLINK("http://codeforces.com/contest/554/problem/C","CF554-D2-C")</f>
        <v>CF554-D2-C</v>
      </c>
      <c r="C186" s="95"/>
      <c r="D186" s="95"/>
      <c r="E186" s="95"/>
      <c r="F186" s="95"/>
      <c r="G186" s="95"/>
      <c r="H186" s="97"/>
      <c r="I186" s="39">
        <f t="shared" si="3"/>
        <v>0</v>
      </c>
      <c r="J186" s="49"/>
      <c r="K186" s="36"/>
      <c r="L186" s="95"/>
      <c r="M186" s="120"/>
    </row>
    <row r="187">
      <c r="A187" s="92" t="s">
        <v>582</v>
      </c>
      <c r="B187" s="126" t="str">
        <f>HYPERLINK("http://codeforces.com/contest/467/problem/C","CF467-D2-C")</f>
        <v>CF467-D2-C</v>
      </c>
      <c r="C187" s="95"/>
      <c r="D187" s="95"/>
      <c r="E187" s="95"/>
      <c r="F187" s="95"/>
      <c r="G187" s="95"/>
      <c r="H187" s="97"/>
      <c r="I187" s="39">
        <f t="shared" si="3"/>
        <v>0</v>
      </c>
      <c r="J187" s="49"/>
      <c r="K187" s="36"/>
      <c r="L187" s="95"/>
      <c r="M187" s="120"/>
    </row>
    <row r="188">
      <c r="A188" s="92" t="s">
        <v>584</v>
      </c>
      <c r="B188" s="126" t="str">
        <f>HYPERLINK("http://codeforces.com/contest/610/problem/C","CF610-D2-C")</f>
        <v>CF610-D2-C</v>
      </c>
      <c r="C188" s="95"/>
      <c r="D188" s="95"/>
      <c r="E188" s="95"/>
      <c r="F188" s="95"/>
      <c r="G188" s="95"/>
      <c r="H188" s="97"/>
      <c r="I188" s="39">
        <f t="shared" si="3"/>
        <v>0</v>
      </c>
      <c r="J188" s="49"/>
      <c r="K188" s="36"/>
      <c r="L188" s="95"/>
      <c r="M188" s="120"/>
    </row>
    <row r="189">
      <c r="A189" s="92" t="s">
        <v>586</v>
      </c>
      <c r="B189" s="126" t="str">
        <f>HYPERLINK("http://codeforces.com/contest/734/problem/C","CF734-D2-C")</f>
        <v>CF734-D2-C</v>
      </c>
      <c r="C189" s="95"/>
      <c r="D189" s="95"/>
      <c r="E189" s="95"/>
      <c r="F189" s="95"/>
      <c r="G189" s="95"/>
      <c r="H189" s="97"/>
      <c r="I189" s="39">
        <f t="shared" si="3"/>
        <v>0</v>
      </c>
      <c r="J189" s="49"/>
      <c r="K189" s="36"/>
      <c r="L189" s="95"/>
      <c r="M189" s="120"/>
    </row>
    <row r="190">
      <c r="A190" s="92" t="s">
        <v>589</v>
      </c>
      <c r="B190" s="126" t="str">
        <f>HYPERLINK("http://codeforces.com/contest/478/problem/C","CF478-D2-C")</f>
        <v>CF478-D2-C</v>
      </c>
      <c r="C190" s="95"/>
      <c r="D190" s="95"/>
      <c r="E190" s="95"/>
      <c r="F190" s="95"/>
      <c r="G190" s="95"/>
      <c r="H190" s="97"/>
      <c r="I190" s="39">
        <f t="shared" si="3"/>
        <v>0</v>
      </c>
      <c r="J190" s="49"/>
      <c r="K190" s="36"/>
      <c r="L190" s="95"/>
      <c r="M190" s="120"/>
    </row>
    <row r="191">
      <c r="A191" s="92"/>
      <c r="B191" s="51"/>
      <c r="C191" s="95"/>
      <c r="D191" s="95"/>
      <c r="E191" s="95"/>
      <c r="F191" s="95"/>
      <c r="G191" s="95"/>
      <c r="H191" s="97"/>
      <c r="I191" s="39">
        <f t="shared" si="3"/>
        <v>0</v>
      </c>
      <c r="J191" s="49"/>
      <c r="K191" s="36"/>
      <c r="L191" s="95"/>
      <c r="M191" s="120"/>
    </row>
    <row r="192">
      <c r="A192" s="92" t="s">
        <v>593</v>
      </c>
      <c r="B192" s="126" t="str">
        <f>HYPERLINK("http://codeforces.com/contest/157/problem/C","CF157-D2-C")</f>
        <v>CF157-D2-C</v>
      </c>
      <c r="C192" s="95"/>
      <c r="D192" s="95"/>
      <c r="E192" s="95"/>
      <c r="F192" s="95"/>
      <c r="G192" s="95"/>
      <c r="H192" s="97"/>
      <c r="I192" s="39">
        <f t="shared" si="3"/>
        <v>0</v>
      </c>
      <c r="J192" s="49"/>
      <c r="K192" s="36"/>
      <c r="L192" s="95"/>
      <c r="M192" s="120"/>
    </row>
    <row r="193">
      <c r="A193" s="92" t="s">
        <v>595</v>
      </c>
      <c r="B193" s="126" t="str">
        <f>HYPERLINK("http://codeforces.com/contest/596/problem/C","CF596-D2-C")</f>
        <v>CF596-D2-C</v>
      </c>
      <c r="C193" s="95"/>
      <c r="D193" s="95"/>
      <c r="E193" s="95"/>
      <c r="F193" s="95"/>
      <c r="G193" s="95"/>
      <c r="H193" s="97"/>
      <c r="I193" s="39">
        <f t="shared" si="3"/>
        <v>0</v>
      </c>
      <c r="J193" s="49"/>
      <c r="K193" s="36"/>
      <c r="L193" s="95"/>
      <c r="M193" s="120"/>
    </row>
    <row r="194">
      <c r="A194" s="92" t="s">
        <v>598</v>
      </c>
      <c r="B194" s="126" t="str">
        <f>HYPERLINK("http://codeforces.com/contest/284/problem/C","CF284-D2-C")</f>
        <v>CF284-D2-C</v>
      </c>
      <c r="C194" s="95"/>
      <c r="D194" s="95"/>
      <c r="E194" s="95"/>
      <c r="F194" s="95"/>
      <c r="G194" s="95"/>
      <c r="H194" s="97"/>
      <c r="I194" s="39">
        <f t="shared" si="3"/>
        <v>0</v>
      </c>
      <c r="J194" s="49"/>
      <c r="K194" s="36"/>
      <c r="L194" s="95"/>
      <c r="M194" s="120"/>
    </row>
    <row r="195">
      <c r="A195" s="92" t="s">
        <v>600</v>
      </c>
      <c r="B195" s="126" t="str">
        <f>HYPERLINK("http://codeforces.com/contest/279/problem/C","CF279-D2-C")</f>
        <v>CF279-D2-C</v>
      </c>
      <c r="C195" s="95"/>
      <c r="D195" s="95"/>
      <c r="E195" s="95"/>
      <c r="F195" s="95"/>
      <c r="G195" s="95"/>
      <c r="H195" s="97"/>
      <c r="I195" s="39">
        <f t="shared" si="3"/>
        <v>0</v>
      </c>
      <c r="J195" s="49"/>
      <c r="K195" s="36"/>
      <c r="L195" s="95"/>
      <c r="M195" s="120"/>
    </row>
    <row r="196">
      <c r="A196" s="92" t="s">
        <v>601</v>
      </c>
      <c r="B196" s="126" t="str">
        <f>HYPERLINK("http://codeforces.com/contest/239/problem/C","CF239-D2-C")</f>
        <v>CF239-D2-C</v>
      </c>
      <c r="C196" s="95"/>
      <c r="D196" s="95"/>
      <c r="E196" s="95"/>
      <c r="F196" s="95"/>
      <c r="G196" s="95"/>
      <c r="H196" s="97"/>
      <c r="I196" s="39">
        <f t="shared" si="3"/>
        <v>0</v>
      </c>
      <c r="J196" s="49"/>
      <c r="K196" s="36"/>
      <c r="L196" s="95"/>
      <c r="M196" s="120"/>
    </row>
    <row r="197">
      <c r="A197" s="92" t="s">
        <v>604</v>
      </c>
      <c r="B197" s="126" t="str">
        <f>HYPERLINK("http://codeforces.com/contest/254/problem/C","CF254-D2-C")</f>
        <v>CF254-D2-C</v>
      </c>
      <c r="C197" s="95"/>
      <c r="D197" s="95"/>
      <c r="E197" s="95"/>
      <c r="F197" s="95"/>
      <c r="G197" s="95"/>
      <c r="H197" s="97"/>
      <c r="I197" s="39">
        <f t="shared" si="3"/>
        <v>0</v>
      </c>
      <c r="J197" s="49"/>
      <c r="K197" s="36"/>
      <c r="L197" s="95"/>
      <c r="M197" s="120"/>
    </row>
    <row r="198">
      <c r="A198" s="92" t="s">
        <v>606</v>
      </c>
      <c r="B198" s="126" t="str">
        <f>HYPERLINK("http://codeforces.com/contest/447/problem/C","CF447-D2-C")</f>
        <v>CF447-D2-C</v>
      </c>
      <c r="C198" s="95"/>
      <c r="D198" s="95"/>
      <c r="E198" s="95"/>
      <c r="F198" s="95"/>
      <c r="G198" s="95"/>
      <c r="H198" s="97"/>
      <c r="I198" s="39">
        <f t="shared" si="3"/>
        <v>0</v>
      </c>
      <c r="J198" s="49"/>
      <c r="K198" s="36"/>
      <c r="L198" s="95"/>
      <c r="M198" s="120"/>
    </row>
    <row r="199">
      <c r="A199" s="92" t="s">
        <v>608</v>
      </c>
      <c r="B199" s="126" t="str">
        <f>HYPERLINK("http://codeforces.com/contest/445/problem/C","CF445-D2-C")</f>
        <v>CF445-D2-C</v>
      </c>
      <c r="C199" s="95"/>
      <c r="D199" s="95"/>
      <c r="E199" s="95"/>
      <c r="F199" s="95"/>
      <c r="G199" s="95"/>
      <c r="H199" s="97"/>
      <c r="I199" s="39">
        <f t="shared" si="3"/>
        <v>0</v>
      </c>
      <c r="J199" s="49"/>
      <c r="K199" s="36"/>
      <c r="L199" s="95"/>
      <c r="M199" s="120"/>
    </row>
    <row r="200">
      <c r="A200" s="92" t="s">
        <v>610</v>
      </c>
      <c r="B200" s="126" t="str">
        <f>HYPERLINK("http://codeforces.com/contest/501/problem/C","CF501-D2-C")</f>
        <v>CF501-D2-C</v>
      </c>
      <c r="C200" s="95"/>
      <c r="D200" s="95"/>
      <c r="E200" s="95"/>
      <c r="F200" s="95"/>
      <c r="G200" s="95"/>
      <c r="H200" s="97"/>
      <c r="I200" s="39">
        <f t="shared" si="3"/>
        <v>0</v>
      </c>
      <c r="J200" s="49"/>
      <c r="K200" s="36"/>
      <c r="L200" s="95"/>
      <c r="M200" s="120"/>
    </row>
    <row r="201">
      <c r="A201" s="92" t="s">
        <v>612</v>
      </c>
      <c r="B201" s="126" t="str">
        <f>HYPERLINK("http://codeforces.com/contest/450/problem/C","CF450-D2-C")</f>
        <v>CF450-D2-C</v>
      </c>
      <c r="C201" s="95"/>
      <c r="D201" s="95"/>
      <c r="E201" s="95"/>
      <c r="F201" s="95"/>
      <c r="G201" s="95"/>
      <c r="H201" s="97"/>
      <c r="I201" s="39">
        <f t="shared" si="3"/>
        <v>0</v>
      </c>
      <c r="J201" s="49"/>
      <c r="K201" s="36"/>
      <c r="L201" s="95"/>
      <c r="M201" s="120"/>
    </row>
    <row r="202">
      <c r="A202" s="92"/>
      <c r="B202" s="51"/>
      <c r="C202" s="95"/>
      <c r="D202" s="95"/>
      <c r="E202" s="95"/>
      <c r="F202" s="95"/>
      <c r="G202" s="95"/>
      <c r="H202" s="97"/>
      <c r="I202" s="39">
        <f t="shared" si="3"/>
        <v>0</v>
      </c>
      <c r="J202" s="49"/>
      <c r="K202" s="36"/>
      <c r="L202" s="95"/>
      <c r="M202" s="120"/>
    </row>
    <row r="203">
      <c r="A203" s="92" t="s">
        <v>616</v>
      </c>
      <c r="B203" s="126" t="str">
        <f>HYPERLINK("http://codeforces.com/contest/631/problem/C","CF631-D2-C")</f>
        <v>CF631-D2-C</v>
      </c>
      <c r="C203" s="95"/>
      <c r="D203" s="95"/>
      <c r="E203" s="95"/>
      <c r="F203" s="95"/>
      <c r="G203" s="95"/>
      <c r="H203" s="97"/>
      <c r="I203" s="39">
        <f t="shared" si="3"/>
        <v>0</v>
      </c>
      <c r="J203" s="49"/>
      <c r="K203" s="36"/>
      <c r="L203" s="95"/>
      <c r="M203" s="120"/>
    </row>
    <row r="204">
      <c r="A204" s="92" t="s">
        <v>618</v>
      </c>
      <c r="B204" s="126" t="str">
        <f>HYPERLINK("http://codeforces.com/contest/385/problem/C","CF385-D2-C")</f>
        <v>CF385-D2-C</v>
      </c>
      <c r="C204" s="95"/>
      <c r="D204" s="95"/>
      <c r="E204" s="95"/>
      <c r="F204" s="95"/>
      <c r="G204" s="95"/>
      <c r="H204" s="97"/>
      <c r="I204" s="39">
        <f t="shared" si="3"/>
        <v>0</v>
      </c>
      <c r="J204" s="49"/>
      <c r="K204" s="36"/>
      <c r="L204" s="95"/>
      <c r="M204" s="120"/>
    </row>
    <row r="205">
      <c r="A205" s="92" t="s">
        <v>621</v>
      </c>
      <c r="B205" s="126" t="str">
        <f>HYPERLINK("http://codeforces.com/contest/90/problem/C","CF90-D2-C")</f>
        <v>CF90-D2-C</v>
      </c>
      <c r="C205" s="95"/>
      <c r="D205" s="95"/>
      <c r="E205" s="95"/>
      <c r="F205" s="95"/>
      <c r="G205" s="95"/>
      <c r="H205" s="97"/>
      <c r="I205" s="39">
        <f t="shared" si="3"/>
        <v>0</v>
      </c>
      <c r="J205" s="49"/>
      <c r="K205" s="36"/>
      <c r="L205" s="95"/>
      <c r="M205" s="120"/>
    </row>
    <row r="206">
      <c r="A206" s="92" t="s">
        <v>624</v>
      </c>
      <c r="B206" s="126" t="str">
        <f>HYPERLINK("http://codeforces.com/contest/493/problem/C","CF493-D2-C")</f>
        <v>CF493-D2-C</v>
      </c>
      <c r="C206" s="95"/>
      <c r="D206" s="95"/>
      <c r="E206" s="95"/>
      <c r="F206" s="95"/>
      <c r="G206" s="95"/>
      <c r="H206" s="97"/>
      <c r="I206" s="39">
        <f t="shared" si="3"/>
        <v>0</v>
      </c>
      <c r="J206" s="49"/>
      <c r="K206" s="36"/>
      <c r="L206" s="95"/>
      <c r="M206" s="120"/>
    </row>
    <row r="207">
      <c r="A207" s="92" t="s">
        <v>625</v>
      </c>
      <c r="B207" s="126" t="str">
        <f>HYPERLINK("http://codeforces.com/contest/552/problem/C","CF552-D2-C")</f>
        <v>CF552-D2-C</v>
      </c>
      <c r="C207" s="95"/>
      <c r="D207" s="95"/>
      <c r="E207" s="95"/>
      <c r="F207" s="95"/>
      <c r="G207" s="95"/>
      <c r="H207" s="97"/>
      <c r="I207" s="39">
        <f t="shared" si="3"/>
        <v>0</v>
      </c>
      <c r="J207" s="49"/>
      <c r="K207" s="36"/>
      <c r="L207" s="95"/>
      <c r="M207" s="120"/>
    </row>
    <row r="208">
      <c r="A208" s="92" t="s">
        <v>629</v>
      </c>
      <c r="B208" s="126" t="str">
        <f>HYPERLINK("http://codeforces.com/contest/459/problem/C","CF459-D2-C")</f>
        <v>CF459-D2-C</v>
      </c>
      <c r="C208" s="95"/>
      <c r="D208" s="95"/>
      <c r="E208" s="95"/>
      <c r="F208" s="95"/>
      <c r="G208" s="95"/>
      <c r="H208" s="97"/>
      <c r="I208" s="39">
        <f t="shared" si="3"/>
        <v>0</v>
      </c>
      <c r="J208" s="49"/>
      <c r="K208" s="36"/>
      <c r="L208" s="95"/>
      <c r="M208" s="120"/>
    </row>
  </sheetData>
  <mergeCells count="2">
    <mergeCell ref="D168:G168"/>
    <mergeCell ref="J168:M168"/>
  </mergeCells>
  <conditionalFormatting sqref="K3:K166 K170:K208">
    <cfRule type="cellIs" dxfId="0" priority="1" operator="equal">
      <formula>"No"</formula>
    </cfRule>
  </conditionalFormatting>
  <conditionalFormatting sqref="K3:K166 K170:K208">
    <cfRule type="cellIs" dxfId="0" priority="2" operator="equal">
      <formula>"no"</formula>
    </cfRule>
  </conditionalFormatting>
  <conditionalFormatting sqref="K3:K166 K170:K208">
    <cfRule type="cellIs" dxfId="0" priority="3" operator="equal">
      <formula>"NO"</formula>
    </cfRule>
  </conditionalFormatting>
  <conditionalFormatting sqref="C3:C208">
    <cfRule type="cellIs" dxfId="1" priority="4" operator="equal">
      <formula>"AC"</formula>
    </cfRule>
  </conditionalFormatting>
  <conditionalFormatting sqref="C3:C166 C170:C208">
    <cfRule type="containsText" dxfId="2" priority="5" operator="containsText" text="WA">
      <formula>NOT(ISERROR(SEARCH(("WA"),(C3))))</formula>
    </cfRule>
  </conditionalFormatting>
  <conditionalFormatting sqref="C18:C208">
    <cfRule type="containsText" dxfId="2" priority="6" operator="containsText" text="WA">
      <formula>NOT(ISERROR(SEARCH(("WA"),(C18))))</formula>
    </cfRule>
  </conditionalFormatting>
  <conditionalFormatting sqref="C3:C166 C170:C208">
    <cfRule type="containsText" dxfId="3" priority="7" operator="containsText" text="TLE">
      <formula>NOT(ISERROR(SEARCH(("TLE"),(C3))))</formula>
    </cfRule>
  </conditionalFormatting>
  <conditionalFormatting sqref="C18:C208">
    <cfRule type="containsText" dxfId="3" priority="8" operator="containsText" text="TLE">
      <formula>NOT(ISERROR(SEARCH(("TLE"),(C18))))</formula>
    </cfRule>
  </conditionalFormatting>
  <conditionalFormatting sqref="C3:C166 C170:C208">
    <cfRule type="containsText" dxfId="4" priority="9" operator="containsText" text="RTE">
      <formula>NOT(ISERROR(SEARCH(("RTE"),(C3))))</formula>
    </cfRule>
  </conditionalFormatting>
  <conditionalFormatting sqref="C18:C208">
    <cfRule type="containsText" dxfId="4" priority="10" operator="containsText" text="RTE">
      <formula>NOT(ISERROR(SEARCH(("RTE"),(C18))))</formula>
    </cfRule>
  </conditionalFormatting>
  <conditionalFormatting sqref="C3:C166 C170:C208">
    <cfRule type="containsText" dxfId="5" priority="11" operator="containsText" text="CS">
      <formula>NOT(ISERROR(SEARCH(("CS"),(C3))))</formula>
    </cfRule>
  </conditionalFormatting>
  <conditionalFormatting sqref="C18:C208">
    <cfRule type="containsText" dxfId="5" priority="12" operator="containsText" text="CS">
      <formula>NOT(ISERROR(SEARCH(("CS"),(C18))))</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69"/>
      <c r="B1" s="6" t="s">
        <v>3</v>
      </c>
      <c r="C1" s="8" t="s">
        <v>9</v>
      </c>
      <c r="D1" s="9" t="s">
        <v>10</v>
      </c>
      <c r="E1" s="9" t="s">
        <v>11</v>
      </c>
      <c r="F1" s="8" t="s">
        <v>12</v>
      </c>
      <c r="G1" s="9" t="s">
        <v>13</v>
      </c>
      <c r="H1" s="9" t="s">
        <v>14</v>
      </c>
      <c r="I1" s="9" t="s">
        <v>15</v>
      </c>
      <c r="J1" s="8" t="s">
        <v>16</v>
      </c>
      <c r="K1" s="8" t="s">
        <v>17</v>
      </c>
      <c r="L1" s="8" t="s">
        <v>18</v>
      </c>
      <c r="M1" s="11" t="s">
        <v>19</v>
      </c>
    </row>
    <row r="2">
      <c r="A2" s="74"/>
      <c r="B2" s="50" t="s">
        <v>30</v>
      </c>
      <c r="C2" s="18">
        <f>countif(C5:C10482, "AC")</f>
        <v>0</v>
      </c>
      <c r="D2" s="21">
        <f>ROUND(SUMPRODUCT(D5:D10482,INT(EQ(C5:C10482, "AC")))/MAX(1, C2),1)</f>
        <v>0</v>
      </c>
      <c r="E2" s="21">
        <f>ROUND(SUMPRODUCT(E5:E10504,INT(EQ(C5:C10504, "AC")))/MAX(1, C2))</f>
        <v>0</v>
      </c>
      <c r="F2" s="21">
        <f>ROUND(SUMPRODUCT(F5:F10507,INT(EQ(C5:C10507, "AC")))/MAX(1, C2))</f>
        <v>0</v>
      </c>
      <c r="G2" s="21">
        <f>ROUND(SUMPRODUCT(G5:G10507,INT(EQ(C5:C10507, "AC")))/MAX(1, C2))</f>
        <v>0</v>
      </c>
      <c r="H2" s="21">
        <f>ROUND(SUMPRODUCT(H5:H10507,INT(EQ(C5:C10507, "AC")))/MAX(1, C2))</f>
        <v>0</v>
      </c>
      <c r="I2" s="21">
        <f>ROUND(SUMPRODUCT(I5:I10479,INT(EQ(C5:C10479, "AC")))/MAX(1, C2))</f>
        <v>0</v>
      </c>
      <c r="J2" s="21">
        <f>ROUND(SUMPRODUCT(J5:J10477,INT(EQ(C5:C10477, "AC")))/MAX(1, C2),1)</f>
        <v>0</v>
      </c>
      <c r="K2" s="21">
        <f>SUMPRODUCT(EQ(K5:K10482, "YES"),INT(EQ(C5:C10507, "AC")))</f>
        <v>0</v>
      </c>
      <c r="L2" s="30">
        <f>IFERROR(__xludf.DUMMYFUNCTION("COUNTA(FILTER(C5:C9974, NOT(REGEXMATCH(C5:C9974, ""AC""))))"),0.0)</f>
        <v>0</v>
      </c>
      <c r="M2" s="32">
        <f>IFERROR(__xludf.DUMMYFUNCTION("COUNTA(FILTER(C5:C9968, NOT(REGEXMATCH(C5:C9968, ""AC""))))"),0.0)</f>
        <v>0</v>
      </c>
    </row>
    <row r="3">
      <c r="A3" s="120"/>
      <c r="B3" s="16"/>
      <c r="C3" s="95"/>
      <c r="D3" s="95"/>
      <c r="E3" s="95"/>
      <c r="F3" s="95"/>
      <c r="G3" s="95"/>
      <c r="H3" s="97"/>
      <c r="I3" s="39">
        <f t="shared" ref="I3:I41" si="1">SUM(E3:H3)</f>
        <v>0</v>
      </c>
      <c r="J3" s="49"/>
      <c r="K3" s="36"/>
      <c r="L3" s="95"/>
      <c r="M3" s="222" t="str">
        <f>HYPERLINK("https://www.youtube.com/watch?v=tKGztXjnnuA&amp;t=749s","Watch - ICPC - Training Secrets of Success")</f>
        <v>Watch - ICPC - Training Secrets of Success</v>
      </c>
    </row>
    <row r="4">
      <c r="A4" s="120"/>
      <c r="B4" s="16"/>
      <c r="C4" s="95"/>
      <c r="D4" s="95"/>
      <c r="E4" s="95"/>
      <c r="F4" s="95"/>
      <c r="G4" s="95"/>
      <c r="H4" s="97"/>
      <c r="I4" s="39">
        <f t="shared" si="1"/>
        <v>0</v>
      </c>
      <c r="J4" s="49"/>
      <c r="K4" s="36"/>
      <c r="L4" s="95"/>
      <c r="M4" s="115"/>
    </row>
    <row r="5">
      <c r="A5" s="120"/>
      <c r="B5" s="16"/>
      <c r="C5" s="95"/>
      <c r="D5" s="95"/>
      <c r="E5" s="95"/>
      <c r="F5" s="95"/>
      <c r="G5" s="95"/>
      <c r="H5" s="97"/>
      <c r="I5" s="39">
        <f t="shared" si="1"/>
        <v>0</v>
      </c>
      <c r="J5" s="49"/>
      <c r="K5" s="36"/>
      <c r="L5" s="95"/>
      <c r="M5" s="115" t="str">
        <f>HYPERLINK("https://www.youtube.com/watch?v=x1rCxxKfFbM","Watch - Thinking - Problem Simplification ")</f>
        <v>Watch - Thinking - Problem Simplification </v>
      </c>
    </row>
    <row r="6">
      <c r="A6" s="120"/>
      <c r="B6" s="16"/>
      <c r="C6" s="95"/>
      <c r="D6" s="95"/>
      <c r="E6" s="95"/>
      <c r="F6" s="95"/>
      <c r="G6" s="95"/>
      <c r="H6" s="97"/>
      <c r="I6" s="39">
        <f t="shared" si="1"/>
        <v>0</v>
      </c>
      <c r="J6" s="49"/>
      <c r="K6" s="36"/>
      <c r="L6" s="95"/>
      <c r="M6" s="115" t="str">
        <f>HYPERLINK("https://www.youtube.com/watch?v=7z1498LTCgg","Watch - Thinking - Brainstorm - Rank - Approach ")</f>
        <v>Watch - Thinking - Brainstorm - Rank - Approach </v>
      </c>
    </row>
    <row r="7">
      <c r="A7" s="159"/>
      <c r="B7" s="66"/>
      <c r="C7" s="95"/>
      <c r="D7" s="95"/>
      <c r="E7" s="95"/>
      <c r="F7" s="95"/>
      <c r="G7" s="95"/>
      <c r="H7" s="97"/>
      <c r="I7" s="39">
        <f t="shared" si="1"/>
        <v>0</v>
      </c>
      <c r="J7" s="49"/>
      <c r="K7" s="36"/>
      <c r="L7" s="95"/>
      <c r="M7" s="116" t="str">
        <f>HYPERLINK("https://www.youtube.com/watch?v=9wvqNeX_JnI","Watch - Combinatorics - Permutations and Combinations - 1")</f>
        <v>Watch - Combinatorics - Permutations and Combinations - 1</v>
      </c>
    </row>
    <row r="8">
      <c r="A8" s="159"/>
      <c r="B8" s="66"/>
      <c r="C8" s="95"/>
      <c r="D8" s="95"/>
      <c r="E8" s="95"/>
      <c r="F8" s="95"/>
      <c r="G8" s="95"/>
      <c r="H8" s="97"/>
      <c r="I8" s="39">
        <f t="shared" si="1"/>
        <v>0</v>
      </c>
      <c r="J8" s="49"/>
      <c r="K8" s="36"/>
      <c r="L8" s="95"/>
      <c r="M8" s="116" t="str">
        <f>HYPERLINK("https://www.youtube.com/watch?v=8V_xhaPpjmM","Watch - Combinatorics - Permutations and Combinations - 2")</f>
        <v>Watch - Combinatorics - Permutations and Combinations - 2</v>
      </c>
    </row>
    <row r="9">
      <c r="A9" s="105" t="s">
        <v>695</v>
      </c>
      <c r="B9" s="107" t="str">
        <f>HYPERLINK("http://codeforces.com/contest/746/problem/B","CF746-D2-B")</f>
        <v>CF746-D2-B</v>
      </c>
      <c r="C9" s="95"/>
      <c r="D9" s="95"/>
      <c r="E9" s="95"/>
      <c r="F9" s="95"/>
      <c r="G9" s="95"/>
      <c r="H9" s="97"/>
      <c r="I9" s="39">
        <f t="shared" si="1"/>
        <v>0</v>
      </c>
      <c r="J9" s="49"/>
      <c r="K9" s="36"/>
      <c r="L9" s="95"/>
      <c r="M9" s="85" t="str">
        <f>HYPERLINK("https://www.youtube.com/watch?v=FI5HvI9SQtA","Video Solution - Solver to be (Java)")</f>
        <v>Video Solution - Solver to be (Java)</v>
      </c>
    </row>
    <row r="10">
      <c r="A10" s="92" t="s">
        <v>696</v>
      </c>
      <c r="B10" s="10" t="str">
        <f>HYPERLINK("http://codeforces.com/contest/66/problem/B","CF66-D2-B")</f>
        <v>CF66-D2-B</v>
      </c>
      <c r="C10" s="95"/>
      <c r="D10" s="95"/>
      <c r="E10" s="95"/>
      <c r="F10" s="95"/>
      <c r="G10" s="95"/>
      <c r="H10" s="97"/>
      <c r="I10" s="39">
        <f t="shared" si="1"/>
        <v>0</v>
      </c>
      <c r="J10" s="49"/>
      <c r="K10" s="36"/>
      <c r="L10" s="95"/>
      <c r="M10" s="85" t="str">
        <f>HYPERLINK("https://www.youtube.com/watch?v=XRgCL-gVU7M&amp;feature=youtu.be","Video Solution - Eng Muntaser Abukadeja")</f>
        <v>Video Solution - Eng Muntaser Abukadeja</v>
      </c>
    </row>
    <row r="11">
      <c r="A11" s="92" t="s">
        <v>697</v>
      </c>
      <c r="B11" s="10" t="str">
        <f>HYPERLINK("http://codeforces.com/contest/680/problem/B","CF680-D2-B")</f>
        <v>CF680-D2-B</v>
      </c>
      <c r="C11" s="95"/>
      <c r="D11" s="95"/>
      <c r="E11" s="95"/>
      <c r="F11" s="95"/>
      <c r="G11" s="95"/>
      <c r="H11" s="97"/>
      <c r="I11" s="39">
        <f t="shared" si="1"/>
        <v>0</v>
      </c>
      <c r="J11" s="49"/>
      <c r="K11" s="36"/>
      <c r="L11" s="95"/>
      <c r="M11" s="85" t="str">
        <f>HYPERLINK("https://www.youtube.com/watch?v=oKRNtI-ZI5g&amp;feature=youtu.be","Video Solution - Eng Muntaser Abukadeja")</f>
        <v>Video Solution - Eng Muntaser Abukadeja</v>
      </c>
    </row>
    <row r="12">
      <c r="A12" s="92" t="s">
        <v>698</v>
      </c>
      <c r="B12" s="10" t="str">
        <f>HYPERLINK("http://codeforces.com/contest/16/problem/B","CF16-D2-B")</f>
        <v>CF16-D2-B</v>
      </c>
      <c r="C12" s="95"/>
      <c r="D12" s="95"/>
      <c r="E12" s="95"/>
      <c r="F12" s="95"/>
      <c r="G12" s="95"/>
      <c r="H12" s="97"/>
      <c r="I12" s="39">
        <f t="shared" si="1"/>
        <v>0</v>
      </c>
      <c r="J12" s="49"/>
      <c r="K12" s="36"/>
      <c r="L12" s="95"/>
      <c r="M12" s="85" t="str">
        <f>HYPERLINK("https://www.youtube.com/watch?v=eDg_yuWBS8o&amp;feature=youtu.be","Video Solution - Eng Muntaser Abukadeja")</f>
        <v>Video Solution - Eng Muntaser Abukadeja</v>
      </c>
    </row>
    <row r="13">
      <c r="A13" s="92" t="s">
        <v>699</v>
      </c>
      <c r="B13" s="10" t="str">
        <f>HYPERLINK("http://codeforces.com/contest/463/problem/B","CF463-D2-B")</f>
        <v>CF463-D2-B</v>
      </c>
      <c r="C13" s="95"/>
      <c r="D13" s="95"/>
      <c r="E13" s="95"/>
      <c r="F13" s="95"/>
      <c r="G13" s="95"/>
      <c r="H13" s="97"/>
      <c r="I13" s="39">
        <f t="shared" si="1"/>
        <v>0</v>
      </c>
      <c r="J13" s="49"/>
      <c r="K13" s="36"/>
      <c r="L13" s="95"/>
      <c r="M13" s="85" t="str">
        <f>HYPERLINK("https://www.youtube.com/watch?v=c6X5U5HATAA","Video Solution - Eng Muntaser Abukadeja")</f>
        <v>Video Solution - Eng Muntaser Abukadeja</v>
      </c>
    </row>
    <row r="14">
      <c r="A14" s="92" t="s">
        <v>700</v>
      </c>
      <c r="B14" s="10" t="str">
        <f>HYPERLINK("http://codeforces.com/contest/102/problem/B","CF102-D2-B")</f>
        <v>CF102-D2-B</v>
      </c>
      <c r="C14" s="95"/>
      <c r="D14" s="95"/>
      <c r="E14" s="95"/>
      <c r="F14" s="95"/>
      <c r="G14" s="95"/>
      <c r="H14" s="97"/>
      <c r="I14" s="39">
        <f t="shared" si="1"/>
        <v>0</v>
      </c>
      <c r="J14" s="49"/>
      <c r="K14" s="36"/>
      <c r="L14" s="95"/>
      <c r="M14" s="85" t="str">
        <f>HYPERLINK("https://www.youtube.com/watch?v=_qdIm9Yj9_U","Video Solution - Eng Muntaser Abukadeja")</f>
        <v>Video Solution - Eng Muntaser Abukadeja</v>
      </c>
    </row>
    <row r="15">
      <c r="A15" s="92" t="s">
        <v>701</v>
      </c>
      <c r="B15" s="10" t="str">
        <f>HYPERLINK("http://codeforces.com/contest/47/problem/B","CF47-D2-B")</f>
        <v>CF47-D2-B</v>
      </c>
      <c r="C15" s="95"/>
      <c r="D15" s="95"/>
      <c r="E15" s="95"/>
      <c r="F15" s="95"/>
      <c r="G15" s="95"/>
      <c r="H15" s="97"/>
      <c r="I15" s="39">
        <f t="shared" si="1"/>
        <v>0</v>
      </c>
      <c r="J15" s="49"/>
      <c r="K15" s="36"/>
      <c r="L15" s="95"/>
      <c r="M15" s="85" t="str">
        <f>HYPERLINK("https://www.youtube.com/watch?v=lvK0ZlpWeEY&amp;feature=youtu.be","Video Solution - Eng Samed Hajajla")</f>
        <v>Video Solution - Eng Samed Hajajla</v>
      </c>
    </row>
    <row r="16">
      <c r="A16" s="105" t="s">
        <v>702</v>
      </c>
      <c r="B16" s="145" t="str">
        <f>HYPERLINK("http://codeforces.com/contest/492/problem/B","CF492-D2-B")</f>
        <v>CF492-D2-B</v>
      </c>
      <c r="C16" s="80"/>
      <c r="D16" s="80"/>
      <c r="E16" s="80"/>
      <c r="F16" s="80"/>
      <c r="G16" s="80"/>
      <c r="H16" s="97"/>
      <c r="I16" s="39">
        <f t="shared" si="1"/>
        <v>0</v>
      </c>
      <c r="J16" s="49"/>
      <c r="K16" s="36"/>
      <c r="L16" s="80"/>
      <c r="M16" s="114" t="str">
        <f>HYPERLINK("https://www.youtube.com/watch?v=i4fMKTt8e84","Video Solution - Solver to be (Java)")</f>
        <v>Video Solution - Solver to be (Java)</v>
      </c>
    </row>
    <row r="17">
      <c r="A17" s="92" t="s">
        <v>703</v>
      </c>
      <c r="B17" s="10" t="str">
        <f>HYPERLINK("http://codeforces.com/contest/227/problem/B","CF227-D2-B")</f>
        <v>CF227-D2-B</v>
      </c>
      <c r="C17" s="95"/>
      <c r="D17" s="95"/>
      <c r="E17" s="95"/>
      <c r="F17" s="95"/>
      <c r="G17" s="95"/>
      <c r="H17" s="97"/>
      <c r="I17" s="39">
        <f t="shared" si="1"/>
        <v>0</v>
      </c>
      <c r="J17" s="49"/>
      <c r="K17" s="36"/>
      <c r="L17" s="95"/>
      <c r="M17" s="85" t="str">
        <f>HYPERLINK("https://www.youtube.com/watch?v=76gg4S0A2nk","Video Solution - Eng Abanob Ashraf")</f>
        <v>Video Solution - Eng Abanob Ashraf</v>
      </c>
    </row>
    <row r="18">
      <c r="A18" s="92" t="s">
        <v>704</v>
      </c>
      <c r="B18" s="10" t="str">
        <f>HYPERLINK("http://codeforces.com/contest/78/problem/B","CF78-D2-B")</f>
        <v>CF78-D2-B</v>
      </c>
      <c r="C18" s="95"/>
      <c r="D18" s="95"/>
      <c r="E18" s="95"/>
      <c r="F18" s="95"/>
      <c r="G18" s="95"/>
      <c r="H18" s="97"/>
      <c r="I18" s="39">
        <f t="shared" si="1"/>
        <v>0</v>
      </c>
      <c r="J18" s="49"/>
      <c r="K18" s="36"/>
      <c r="L18" s="95"/>
      <c r="M18" s="85" t="str">
        <f>HYPERLINK("https://www.youtube.com/watch?v=rJN_rI2xiV4","Video Solution - Eng Abanob Ashraf")</f>
        <v>Video Solution - Eng Abanob Ashraf</v>
      </c>
    </row>
    <row r="19">
      <c r="A19" s="159"/>
      <c r="B19" s="66"/>
      <c r="C19" s="95"/>
      <c r="D19" s="95"/>
      <c r="E19" s="95"/>
      <c r="F19" s="95"/>
      <c r="G19" s="95"/>
      <c r="H19" s="97"/>
      <c r="I19" s="39">
        <f t="shared" si="1"/>
        <v>0</v>
      </c>
      <c r="J19" s="49"/>
      <c r="K19" s="36"/>
      <c r="L19" s="95"/>
      <c r="M19" s="154" t="str">
        <f>HYPERLINK("https://www.youtube.com/watch?v=tKGztXjnnuA","Watch - Training-Secrets of Success")</f>
        <v>Watch - Training-Secrets of Success</v>
      </c>
    </row>
    <row r="20">
      <c r="A20" s="159"/>
      <c r="B20" s="66"/>
      <c r="C20" s="95"/>
      <c r="D20" s="95"/>
      <c r="E20" s="95"/>
      <c r="F20" s="95"/>
      <c r="G20" s="95"/>
      <c r="H20" s="97"/>
      <c r="I20" s="39">
        <f t="shared" si="1"/>
        <v>0</v>
      </c>
      <c r="J20" s="49"/>
      <c r="K20" s="36"/>
      <c r="L20" s="95"/>
      <c r="M20" s="116" t="str">
        <f>HYPERLINK("https://www.youtube.com/watch?v=YklnFXpq0ZE","Watch - Number Theory - Fib, GCD, LCM, Pow")</f>
        <v>Watch - Number Theory - Fib, GCD, LCM, Pow</v>
      </c>
    </row>
    <row r="21">
      <c r="A21" s="117" t="s">
        <v>705</v>
      </c>
      <c r="B21" s="223" t="str">
        <f>HYPERLINK("https://uva.onlinejudge.org/index.php?option=onlinejudge&amp;page=show_problem&amp;problem=310","UVA 374")</f>
        <v>UVA 374</v>
      </c>
      <c r="C21" s="95"/>
      <c r="D21" s="95"/>
      <c r="E21" s="95"/>
      <c r="F21" s="95"/>
      <c r="G21" s="95"/>
      <c r="H21" s="97"/>
      <c r="I21" s="39">
        <f t="shared" si="1"/>
        <v>0</v>
      </c>
      <c r="J21" s="49"/>
      <c r="K21" s="36"/>
      <c r="L21" s="95"/>
      <c r="M21" s="120"/>
    </row>
    <row r="22">
      <c r="A22" s="117" t="s">
        <v>706</v>
      </c>
      <c r="B22" s="73" t="str">
        <f>HYPERLINK("https://uva.onlinejudge.org/index.php?option=onlinejudge&amp;page=show_problem&amp;problem=1309","UVA 10368")</f>
        <v>UVA 10368</v>
      </c>
      <c r="C22" s="95"/>
      <c r="D22" s="95"/>
      <c r="E22" s="95"/>
      <c r="F22" s="95"/>
      <c r="G22" s="95"/>
      <c r="H22" s="97"/>
      <c r="I22" s="39">
        <f t="shared" si="1"/>
        <v>0</v>
      </c>
      <c r="J22" s="49"/>
      <c r="K22" s="36"/>
      <c r="L22" s="95"/>
      <c r="M22" s="123" t="str">
        <f>HYPERLINK("https://www.youtube.com/watch?v=86oGEiHeDO0","Video Solution - Eng Moaz Rashad")</f>
        <v>Video Solution - Eng Moaz Rashad</v>
      </c>
    </row>
    <row r="23">
      <c r="A23" s="117" t="s">
        <v>707</v>
      </c>
      <c r="B23" s="73" t="str">
        <f>HYPERLINK("https://uva.onlinejudge.org/index.php?option=onlinejudge&amp;page=show_problem&amp;problem=305","UVA 369")</f>
        <v>UVA 369</v>
      </c>
      <c r="C23" s="95"/>
      <c r="D23" s="95"/>
      <c r="E23" s="95"/>
      <c r="F23" s="95"/>
      <c r="G23" s="95"/>
      <c r="H23" s="97"/>
      <c r="I23" s="39">
        <f t="shared" si="1"/>
        <v>0</v>
      </c>
      <c r="J23" s="49"/>
      <c r="K23" s="36"/>
      <c r="L23" s="95"/>
      <c r="M23" s="120"/>
    </row>
    <row r="24">
      <c r="A24" s="117" t="s">
        <v>708</v>
      </c>
      <c r="B24" s="73" t="str">
        <f>HYPERLINK("https://uva.onlinejudge.org/index.php?option=onlinejudge&amp;page=show_problem&amp;problem=353","UVA 412")</f>
        <v>UVA 412</v>
      </c>
      <c r="C24" s="95"/>
      <c r="D24" s="95"/>
      <c r="E24" s="95"/>
      <c r="F24" s="95"/>
      <c r="G24" s="95"/>
      <c r="H24" s="97"/>
      <c r="I24" s="39">
        <f t="shared" si="1"/>
        <v>0</v>
      </c>
      <c r="J24" s="49"/>
      <c r="K24" s="36"/>
      <c r="L24" s="95"/>
      <c r="M24" s="123" t="str">
        <f>HYPERLINK("https://www.youtube.com/watch?v=NmumgTB7B9c&amp;feature=youtu.be","Video Solution - Eng Mohamed Adel")</f>
        <v>Video Solution - Eng Mohamed Adel</v>
      </c>
    </row>
    <row r="25">
      <c r="A25" s="124" t="s">
        <v>709</v>
      </c>
      <c r="B25" s="125" t="str">
        <f>HYPERLINK("https://uva.onlinejudge.org/index.php?option=onlinejudge&amp;page=show_problem&amp;problem=654","UVA 713")</f>
        <v>UVA 713</v>
      </c>
      <c r="C25" s="14"/>
      <c r="D25" s="49"/>
      <c r="E25" s="49"/>
      <c r="F25" s="49"/>
      <c r="G25" s="49"/>
      <c r="H25" s="39"/>
      <c r="I25" s="39">
        <f t="shared" si="1"/>
        <v>0</v>
      </c>
      <c r="J25" s="49"/>
      <c r="K25" s="36"/>
      <c r="L25" s="49"/>
      <c r="M25" s="225" t="s">
        <v>711</v>
      </c>
    </row>
    <row r="26">
      <c r="A26" s="136" t="s">
        <v>712</v>
      </c>
      <c r="B26" s="180" t="str">
        <f>HYPERLINK("http://acm.timus.ru/problem.aspx?space=1&amp;num=1607","TIMUS 1607")</f>
        <v>TIMUS 1607</v>
      </c>
      <c r="C26" s="14"/>
      <c r="D26" s="49"/>
      <c r="E26" s="49"/>
      <c r="F26" s="49"/>
      <c r="G26" s="49"/>
      <c r="H26" s="39"/>
      <c r="I26" s="39">
        <f t="shared" si="1"/>
        <v>0</v>
      </c>
      <c r="J26" s="49"/>
      <c r="K26" s="36"/>
      <c r="L26" s="49"/>
      <c r="M26" s="79" t="str">
        <f>HYPERLINK("http://xoptutorials.com/index.php/2017/01/01/timus1607/","Can you get AC first submission?")</f>
        <v>Can you get AC first submission?</v>
      </c>
    </row>
    <row r="27">
      <c r="A27" s="136" t="s">
        <v>714</v>
      </c>
      <c r="B27" s="180" t="str">
        <f>HYPERLINK("https://icpcarchive.ecs.baylor.edu/index.php?option=com_onlinejudge&amp;Itemid=8&amp;page=show_problem&amp;problem=558","LIVEARCHIVE 2557")</f>
        <v>LIVEARCHIVE 2557</v>
      </c>
      <c r="C27" s="14"/>
      <c r="D27" s="49"/>
      <c r="E27" s="49"/>
      <c r="F27" s="49"/>
      <c r="G27" s="49"/>
      <c r="H27" s="39"/>
      <c r="I27" s="39">
        <f t="shared" si="1"/>
        <v>0</v>
      </c>
      <c r="J27" s="49"/>
      <c r="K27" s="36"/>
      <c r="L27" s="49"/>
      <c r="M27" s="79" t="str">
        <f>HYPERLINK("https://raw.githubusercontent.com/NadaAlaa/CompetitiveProgramming/master/LiveArchive/2557.cpp","Find a formula")</f>
        <v>Find a formula</v>
      </c>
    </row>
    <row r="28">
      <c r="A28" s="159"/>
      <c r="B28" s="66"/>
      <c r="C28" s="95"/>
      <c r="D28" s="95"/>
      <c r="E28" s="95"/>
      <c r="F28" s="95"/>
      <c r="G28" s="95"/>
      <c r="H28" s="97"/>
      <c r="I28" s="39">
        <f t="shared" si="1"/>
        <v>0</v>
      </c>
      <c r="J28" s="49"/>
      <c r="K28" s="36"/>
      <c r="L28" s="95"/>
      <c r="M28" s="199" t="str">
        <f>HYPERLINK("https://www.youtube.com/watch?v=hqOqr6vFPp8","Watch - Prefix Sum")</f>
        <v>Watch - Prefix Sum</v>
      </c>
    </row>
    <row r="29">
      <c r="A29" s="120" t="s">
        <v>718</v>
      </c>
      <c r="B29" s="223" t="str">
        <f>HYPERLINK("http://codeforces.com/contest/433/problem/B","CF433-D2-B")</f>
        <v>CF433-D2-B</v>
      </c>
      <c r="C29" s="80"/>
      <c r="D29" s="80"/>
      <c r="E29" s="80"/>
      <c r="F29" s="80"/>
      <c r="G29" s="80"/>
      <c r="H29" s="80"/>
      <c r="I29" s="140">
        <f t="shared" si="1"/>
        <v>0</v>
      </c>
      <c r="J29" s="111"/>
      <c r="K29" s="112"/>
      <c r="L29" s="80"/>
      <c r="M29" s="16"/>
    </row>
    <row r="30">
      <c r="A30" s="159"/>
      <c r="B30" s="231" t="s">
        <v>719</v>
      </c>
      <c r="C30" s="95"/>
      <c r="D30" s="95"/>
      <c r="E30" s="95"/>
      <c r="F30" s="95"/>
      <c r="G30" s="95"/>
      <c r="H30" s="97"/>
      <c r="I30" s="39">
        <f t="shared" si="1"/>
        <v>0</v>
      </c>
      <c r="J30" s="49"/>
      <c r="K30" s="36"/>
      <c r="L30" s="95"/>
      <c r="M30" s="120"/>
    </row>
    <row r="31">
      <c r="A31" s="159"/>
      <c r="B31" s="231" t="s">
        <v>722</v>
      </c>
      <c r="C31" s="95"/>
      <c r="D31" s="95"/>
      <c r="E31" s="95"/>
      <c r="F31" s="95"/>
      <c r="G31" s="95"/>
      <c r="H31" s="97"/>
      <c r="I31" s="39">
        <f t="shared" si="1"/>
        <v>0</v>
      </c>
      <c r="J31" s="49"/>
      <c r="K31" s="36"/>
      <c r="L31" s="95"/>
      <c r="M31" s="120"/>
    </row>
    <row r="32">
      <c r="A32" s="92" t="s">
        <v>723</v>
      </c>
      <c r="B32" s="10" t="str">
        <f>HYPERLINK("http://codeforces.com/contest/6/problem/B","CF6-D2-B")</f>
        <v>CF6-D2-B</v>
      </c>
      <c r="C32" s="95"/>
      <c r="D32" s="95"/>
      <c r="E32" s="95"/>
      <c r="F32" s="95"/>
      <c r="G32" s="95"/>
      <c r="H32" s="97"/>
      <c r="I32" s="39">
        <f t="shared" si="1"/>
        <v>0</v>
      </c>
      <c r="J32" s="49"/>
      <c r="K32" s="36"/>
      <c r="L32" s="95"/>
      <c r="M32" s="85" t="str">
        <f>HYPERLINK("https://www.youtube.com/watch?v=FTM7HQahAc8&amp;feature=youtu.be","Video Solution - Eng Muntaser Abukadeja")</f>
        <v>Video Solution - Eng Muntaser Abukadeja</v>
      </c>
    </row>
    <row r="33">
      <c r="A33" s="105" t="s">
        <v>724</v>
      </c>
      <c r="B33" s="145" t="str">
        <f>HYPERLINK("http://codeforces.com/contest/363/problem/B","CF363-D2-B")</f>
        <v>CF363-D2-B</v>
      </c>
      <c r="C33" s="80"/>
      <c r="D33" s="80"/>
      <c r="E33" s="80"/>
      <c r="F33" s="80"/>
      <c r="G33" s="80"/>
      <c r="H33" s="97"/>
      <c r="I33" s="39">
        <f t="shared" si="1"/>
        <v>0</v>
      </c>
      <c r="J33" s="49"/>
      <c r="K33" s="36"/>
      <c r="L33" s="80"/>
      <c r="M33" s="85" t="str">
        <f>HYPERLINK("https://www.youtube.com/watch?v=uwbfFMVMYBg&amp;feature=youtu.be","Video Solution - Eng Muntaser Abukadeja")</f>
        <v>Video Solution - Eng Muntaser Abukadeja</v>
      </c>
    </row>
    <row r="34">
      <c r="A34" s="86" t="s">
        <v>725</v>
      </c>
      <c r="B34" s="233" t="str">
        <f>HYPERLINK("http://codeforces.com/contest/688/problem/B","CF688-D2-B")</f>
        <v>CF688-D2-B</v>
      </c>
      <c r="C34" s="80"/>
      <c r="D34" s="80"/>
      <c r="E34" s="80"/>
      <c r="F34" s="80"/>
      <c r="G34" s="80"/>
      <c r="H34" s="97"/>
      <c r="I34" s="39">
        <f t="shared" si="1"/>
        <v>0</v>
      </c>
      <c r="J34" s="49"/>
      <c r="K34" s="36"/>
      <c r="L34" s="80"/>
      <c r="M34" s="85" t="str">
        <f>HYPERLINK("https://www.youtube.com/watch?v=sy_g77hnbaA","Video Solution - Solver to be (Java)")</f>
        <v>Video Solution - Solver to be (Java)</v>
      </c>
    </row>
    <row r="35">
      <c r="A35" s="86" t="s">
        <v>727</v>
      </c>
      <c r="B35" s="233" t="str">
        <f>HYPERLINK("http://codeforces.com/contest/451/problem/B","CF451-D2-B")</f>
        <v>CF451-D2-B</v>
      </c>
      <c r="C35" s="80"/>
      <c r="D35" s="80"/>
      <c r="E35" s="80"/>
      <c r="F35" s="80"/>
      <c r="G35" s="80"/>
      <c r="H35" s="97"/>
      <c r="I35" s="39">
        <f t="shared" si="1"/>
        <v>0</v>
      </c>
      <c r="J35" s="49"/>
      <c r="K35" s="36"/>
      <c r="L35" s="80"/>
      <c r="M35" s="85" t="str">
        <f>HYPERLINK("https://www.youtube.com/watch?v=I_WHkB7Aeeo","Video Solution - Solver to be (Java)")</f>
        <v>Video Solution - Solver to be (Java)</v>
      </c>
    </row>
    <row r="36">
      <c r="A36" s="106" t="s">
        <v>729</v>
      </c>
      <c r="B36" s="235" t="str">
        <f>HYPERLINK("http://codeforces.com/contest/439/problem/B","CF439-D2-B")</f>
        <v>CF439-D2-B</v>
      </c>
      <c r="C36" s="80"/>
      <c r="D36" s="80"/>
      <c r="E36" s="80"/>
      <c r="F36" s="80"/>
      <c r="G36" s="80"/>
      <c r="H36" s="97"/>
      <c r="I36" s="39">
        <f t="shared" si="1"/>
        <v>0</v>
      </c>
      <c r="J36" s="49"/>
      <c r="K36" s="36"/>
      <c r="L36" s="80"/>
      <c r="M36" s="85" t="str">
        <f>HYPERLINK("https://www.youtube.com/watch?v=KoGeW-vs7VY","Video Solution - Solver to be (Java)")</f>
        <v>Video Solution - Solver to be (Java)</v>
      </c>
    </row>
    <row r="37">
      <c r="A37" s="106" t="s">
        <v>734</v>
      </c>
      <c r="B37" s="235" t="str">
        <f>HYPERLINK("http://codeforces.com/contest/810/problem/B","CF810-D2-B")</f>
        <v>CF810-D2-B</v>
      </c>
      <c r="C37" s="80"/>
      <c r="D37" s="80"/>
      <c r="E37" s="80"/>
      <c r="F37" s="80"/>
      <c r="G37" s="80"/>
      <c r="H37" s="97"/>
      <c r="I37" s="39">
        <f t="shared" si="1"/>
        <v>0</v>
      </c>
      <c r="J37" s="49"/>
      <c r="K37" s="36"/>
      <c r="L37" s="80"/>
      <c r="M37" s="85" t="str">
        <f>HYPERLINK("https://www.youtube.com/watch?v=cFqla_dXSBs","Video Solution - Solver to be (Java)")</f>
        <v>Video Solution - Solver to be (Java)</v>
      </c>
    </row>
    <row r="38">
      <c r="A38" s="86" t="s">
        <v>736</v>
      </c>
      <c r="B38" s="233" t="str">
        <f>HYPERLINK("http://codeforces.com/contest/79/problem/B","CF79-D12-B")</f>
        <v>CF79-D12-B</v>
      </c>
      <c r="C38" s="80"/>
      <c r="D38" s="80"/>
      <c r="E38" s="80"/>
      <c r="F38" s="80"/>
      <c r="G38" s="80"/>
      <c r="H38" s="97"/>
      <c r="I38" s="39">
        <f t="shared" si="1"/>
        <v>0</v>
      </c>
      <c r="J38" s="49"/>
      <c r="K38" s="36"/>
      <c r="L38" s="80"/>
      <c r="M38" s="85" t="str">
        <f>HYPERLINK("https://www.youtube.com/watch?v=QIANdSy3nQg","Video Solution - Solver to be (Java)")</f>
        <v>Video Solution - Solver to be (Java)</v>
      </c>
    </row>
    <row r="39">
      <c r="A39" s="86" t="s">
        <v>283</v>
      </c>
      <c r="B39" s="233" t="str">
        <f>HYPERLINK("http://codeforces.com/contest/88/problem/B","CF88-D2-B")</f>
        <v>CF88-D2-B</v>
      </c>
      <c r="C39" s="80"/>
      <c r="D39" s="80"/>
      <c r="E39" s="80"/>
      <c r="F39" s="80"/>
      <c r="G39" s="80"/>
      <c r="H39" s="97"/>
      <c r="I39" s="39">
        <f t="shared" si="1"/>
        <v>0</v>
      </c>
      <c r="J39" s="49"/>
      <c r="K39" s="36"/>
      <c r="L39" s="80"/>
      <c r="M39" s="85" t="str">
        <f>HYPERLINK("https://www.youtube.com/watch?v=IlM9o1-xgE4&amp;feature=youtu.be","Video Solution - Eng Muntaser Abukadeja")</f>
        <v>Video Solution - Eng Muntaser Abukadeja</v>
      </c>
    </row>
    <row r="40">
      <c r="A40" s="106" t="s">
        <v>739</v>
      </c>
      <c r="B40" s="235" t="str">
        <f>HYPERLINK("http://codeforces.com/contest/766/problem/B","CF766-D2-B")</f>
        <v>CF766-D2-B</v>
      </c>
      <c r="C40" s="80"/>
      <c r="D40" s="80"/>
      <c r="E40" s="80"/>
      <c r="F40" s="80"/>
      <c r="G40" s="80"/>
      <c r="H40" s="97"/>
      <c r="I40" s="39">
        <f t="shared" si="1"/>
        <v>0</v>
      </c>
      <c r="J40" s="49"/>
      <c r="K40" s="36"/>
      <c r="L40" s="80"/>
      <c r="M40" s="85" t="str">
        <f>HYPERLINK("https://www.youtube.com/watch?v=dCChUGZjaS4","Video Solution - Solver to be (Java)")</f>
        <v>Video Solution - Solver to be (Java)</v>
      </c>
    </row>
    <row r="41">
      <c r="A41" s="106" t="s">
        <v>741</v>
      </c>
      <c r="B41" s="235" t="str">
        <f>HYPERLINK("http://codeforces.com/contest/796/problem/B","CF796-D2-B")</f>
        <v>CF796-D2-B</v>
      </c>
      <c r="C41" s="80"/>
      <c r="D41" s="80"/>
      <c r="E41" s="80"/>
      <c r="F41" s="80"/>
      <c r="G41" s="80"/>
      <c r="H41" s="97"/>
      <c r="I41" s="39">
        <f t="shared" si="1"/>
        <v>0</v>
      </c>
      <c r="J41" s="49"/>
      <c r="K41" s="36"/>
      <c r="L41" s="80"/>
      <c r="M41" s="85" t="str">
        <f>HYPERLINK("https://www.youtube.com/watch?v=sLBLgccZ3CM","Video Solution - Solver to be (Java)")</f>
        <v>Video Solution - Solver to be (Java)</v>
      </c>
    </row>
    <row r="42">
      <c r="A42" s="159"/>
      <c r="B42" s="66"/>
      <c r="C42" s="95"/>
      <c r="D42" s="95"/>
      <c r="E42" s="95"/>
      <c r="F42" s="95"/>
      <c r="G42" s="95"/>
      <c r="H42" s="97"/>
      <c r="I42" s="39"/>
      <c r="J42" s="49"/>
      <c r="K42" s="36"/>
      <c r="L42" s="95"/>
      <c r="M42" s="116"/>
    </row>
    <row r="43">
      <c r="A43" s="159"/>
      <c r="B43" s="66"/>
      <c r="C43" s="95"/>
      <c r="D43" s="95"/>
      <c r="E43" s="95"/>
      <c r="F43" s="95"/>
      <c r="G43" s="95"/>
      <c r="H43" s="97"/>
      <c r="I43" s="39">
        <f t="shared" ref="I43:I139" si="2">SUM(E43:H43)</f>
        <v>0</v>
      </c>
      <c r="J43" s="49"/>
      <c r="K43" s="36"/>
      <c r="L43" s="95"/>
      <c r="M43" s="116" t="str">
        <f>HYPERLINK("https://www.youtube.com/watch?v=COB1GHq0YwY","Watch - Graph Theory - BFS")</f>
        <v>Watch - Graph Theory - BFS</v>
      </c>
    </row>
    <row r="44">
      <c r="A44" s="117" t="s">
        <v>743</v>
      </c>
      <c r="B44" s="223" t="str">
        <f>HYPERLINK("http://www.spoj.com/problems/TOE1/","SPOJ TOE1")</f>
        <v>SPOJ TOE1</v>
      </c>
      <c r="C44" s="95"/>
      <c r="D44" s="95"/>
      <c r="E44" s="95"/>
      <c r="F44" s="95"/>
      <c r="G44" s="95"/>
      <c r="H44" s="97"/>
      <c r="I44" s="39">
        <f t="shared" si="2"/>
        <v>0</v>
      </c>
      <c r="J44" s="49"/>
      <c r="K44" s="36"/>
      <c r="L44" s="95"/>
      <c r="M44" s="85" t="str">
        <f>HYPERLINK("https://www.youtube.com/watch?v=VM2c3csK3Ps","Video Solution - Eng Ayman Salah")</f>
        <v>Video Solution - Eng Ayman Salah</v>
      </c>
    </row>
    <row r="45">
      <c r="A45" s="117" t="s">
        <v>745</v>
      </c>
      <c r="B45" s="223" t="str">
        <f>HYPERLINK("http://www.spoj.com/problems/TOE2/","SPOJ TOE2")</f>
        <v>SPOJ TOE2</v>
      </c>
      <c r="C45" s="95"/>
      <c r="D45" s="95"/>
      <c r="E45" s="95"/>
      <c r="F45" s="95"/>
      <c r="G45" s="95"/>
      <c r="H45" s="97"/>
      <c r="I45" s="39">
        <f t="shared" si="2"/>
        <v>0</v>
      </c>
      <c r="J45" s="49"/>
      <c r="K45" s="36"/>
      <c r="L45" s="95"/>
      <c r="M45" s="85" t="str">
        <f>HYPERLINK("https://www.youtube.com/watch?v=LleR_xaCfMY&amp;feature=youtu.be","Video Solution - Eng Essam AlNaggar")</f>
        <v>Video Solution - Eng Essam AlNaggar</v>
      </c>
    </row>
    <row r="46">
      <c r="A46" s="117" t="s">
        <v>748</v>
      </c>
      <c r="B46" s="223" t="str">
        <f>HYPERLINK("https://uva.onlinejudge.org/index.php?option=com_onlinejudge&amp;Itemid=8&amp;page=show_problem&amp;problem=380","UVA 439")</f>
        <v>UVA 439</v>
      </c>
      <c r="C46" s="95"/>
      <c r="D46" s="95"/>
      <c r="E46" s="95"/>
      <c r="F46" s="95"/>
      <c r="G46" s="95"/>
      <c r="H46" s="97"/>
      <c r="I46" s="39">
        <f t="shared" si="2"/>
        <v>0</v>
      </c>
      <c r="J46" s="49"/>
      <c r="K46" s="36"/>
      <c r="L46" s="95"/>
      <c r="M46" s="85" t="str">
        <f>HYPERLINK("https://www.youtube.com/watch?v=_S7BCbISrdo&amp;feature=youtu.be","Video Solution - Eng Magdy Hasan")</f>
        <v>Video Solution - Eng Magdy Hasan</v>
      </c>
    </row>
    <row r="47">
      <c r="A47" s="117" t="s">
        <v>751</v>
      </c>
      <c r="B47" s="223" t="str">
        <f>HYPERLINK("http://codeforces.com/contest/242/problem/C","CF242-D2-C")</f>
        <v>CF242-D2-C</v>
      </c>
      <c r="C47" s="95"/>
      <c r="D47" s="95"/>
      <c r="E47" s="95"/>
      <c r="F47" s="95"/>
      <c r="G47" s="95"/>
      <c r="H47" s="97"/>
      <c r="I47" s="39">
        <f t="shared" si="2"/>
        <v>0</v>
      </c>
      <c r="J47" s="49"/>
      <c r="K47" s="36"/>
      <c r="L47" s="95"/>
      <c r="M47" s="85" t="str">
        <f>HYPERLINK("https://www.youtube.com/watch?v=KmxeOFQ_4Rw","Video Solution - Eng Mostafa Saad")</f>
        <v>Video Solution - Eng Mostafa Saad</v>
      </c>
    </row>
    <row r="48">
      <c r="A48" s="136" t="s">
        <v>753</v>
      </c>
      <c r="B48" s="246" t="s">
        <v>754</v>
      </c>
      <c r="C48" s="95"/>
      <c r="D48" s="95"/>
      <c r="E48" s="95"/>
      <c r="F48" s="95"/>
      <c r="G48" s="95"/>
      <c r="H48" s="97"/>
      <c r="I48" s="39">
        <f t="shared" si="2"/>
        <v>0</v>
      </c>
      <c r="J48" s="49"/>
      <c r="K48" s="36"/>
      <c r="L48" s="95"/>
      <c r="M48" s="85" t="str">
        <f>HYPERLINK("http://xoptutorials.com/index.php/2017/01/01/timus1638/","Can you get AC first submission")</f>
        <v>Can you get AC first submission</v>
      </c>
    </row>
    <row r="49">
      <c r="A49" s="136"/>
      <c r="B49" s="246" t="s">
        <v>757</v>
      </c>
      <c r="C49" s="95"/>
      <c r="D49" s="95"/>
      <c r="E49" s="95"/>
      <c r="F49" s="95"/>
      <c r="G49" s="95"/>
      <c r="H49" s="97"/>
      <c r="I49" s="39">
        <f t="shared" si="2"/>
        <v>0</v>
      </c>
      <c r="J49" s="49"/>
      <c r="K49" s="36"/>
      <c r="L49" s="95"/>
      <c r="M49" s="87"/>
    </row>
    <row r="50">
      <c r="A50" s="159"/>
      <c r="B50" s="66"/>
      <c r="C50" s="95"/>
      <c r="D50" s="95"/>
      <c r="E50" s="95"/>
      <c r="F50" s="95"/>
      <c r="G50" s="95"/>
      <c r="H50" s="97"/>
      <c r="I50" s="39">
        <f t="shared" si="2"/>
        <v>0</v>
      </c>
      <c r="J50" s="49"/>
      <c r="K50" s="36"/>
      <c r="L50" s="95"/>
      <c r="M50" s="120"/>
    </row>
    <row r="51">
      <c r="A51" s="92" t="s">
        <v>759</v>
      </c>
      <c r="B51" s="10" t="str">
        <f>HYPERLINK("http://codeforces.com/contest/129/problem/B","CF129-D2-B")</f>
        <v>CF129-D2-B</v>
      </c>
      <c r="C51" s="95"/>
      <c r="D51" s="95"/>
      <c r="E51" s="95"/>
      <c r="F51" s="95"/>
      <c r="G51" s="95"/>
      <c r="H51" s="97"/>
      <c r="I51" s="39">
        <f t="shared" si="2"/>
        <v>0</v>
      </c>
      <c r="J51" s="49"/>
      <c r="K51" s="36"/>
      <c r="L51" s="95"/>
      <c r="M51" s="85" t="str">
        <f>HYPERLINK("https://www.youtube.com/watch?v=si51JINxbpk&amp;feature=youtu.be","Video Solution - Eng Abanob Ashraf")</f>
        <v>Video Solution - Eng Abanob Ashraf</v>
      </c>
    </row>
    <row r="52">
      <c r="A52" s="92" t="s">
        <v>763</v>
      </c>
      <c r="B52" s="10" t="str">
        <f>HYPERLINK("http://codeforces.com/contest/476/problem/B","CF476-D2-B")</f>
        <v>CF476-D2-B</v>
      </c>
      <c r="C52" s="95"/>
      <c r="D52" s="95"/>
      <c r="E52" s="95"/>
      <c r="F52" s="95"/>
      <c r="G52" s="95"/>
      <c r="H52" s="97"/>
      <c r="I52" s="39">
        <f t="shared" si="2"/>
        <v>0</v>
      </c>
      <c r="J52" s="49"/>
      <c r="K52" s="36"/>
      <c r="L52" s="95"/>
      <c r="M52" s="85" t="str">
        <f>HYPERLINK("https://www.youtube.com/watch?v=uzA2fH9Ol7I&amp;feature=youtu.be","Video Solution - Eng Mohamed Adel")</f>
        <v>Video Solution - Eng Mohamed Adel</v>
      </c>
    </row>
    <row r="53">
      <c r="A53" s="92" t="s">
        <v>764</v>
      </c>
      <c r="B53" s="10" t="str">
        <f>HYPERLINK("http://codeforces.com/contest/469/problem/B","CF469-D2-B")</f>
        <v>CF469-D2-B</v>
      </c>
      <c r="C53" s="95"/>
      <c r="D53" s="95"/>
      <c r="E53" s="95"/>
      <c r="F53" s="95"/>
      <c r="G53" s="95"/>
      <c r="H53" s="97"/>
      <c r="I53" s="39">
        <f t="shared" si="2"/>
        <v>0</v>
      </c>
      <c r="J53" s="49"/>
      <c r="K53" s="36"/>
      <c r="L53" s="95"/>
      <c r="M53" s="85" t="str">
        <f>HYPERLINK("https://www.youtube.com/watch?v=7ns-xfWB-8g","Video Solution - Eng Mohamed Adel")</f>
        <v>Video Solution - Eng Mohamed Adel</v>
      </c>
    </row>
    <row r="54">
      <c r="A54" s="92" t="s">
        <v>765</v>
      </c>
      <c r="B54" s="10" t="str">
        <f>HYPERLINK("http://codeforces.com/contest/215/problem/B","CF215-D2-B")</f>
        <v>CF215-D2-B</v>
      </c>
      <c r="C54" s="95"/>
      <c r="D54" s="95"/>
      <c r="E54" s="95"/>
      <c r="F54" s="95"/>
      <c r="G54" s="95"/>
      <c r="H54" s="97"/>
      <c r="I54" s="39">
        <f t="shared" si="2"/>
        <v>0</v>
      </c>
      <c r="J54" s="49"/>
      <c r="K54" s="36"/>
      <c r="L54" s="95"/>
      <c r="M54" s="252" t="str">
        <f>HYPERLINK("https://www.youtube.com/watch?v=9PMRkDH1SAY&amp;t=4s","Video Solution - Eng Ahmed Salah")</f>
        <v>Video Solution - Eng Ahmed Salah</v>
      </c>
    </row>
    <row r="55">
      <c r="A55" s="92" t="s">
        <v>768</v>
      </c>
      <c r="B55" s="10" t="str">
        <f>HYPERLINK("http://codeforces.com/contest/714/problem/B","CF714-D2-B")</f>
        <v>CF714-D2-B</v>
      </c>
      <c r="C55" s="95"/>
      <c r="D55" s="95"/>
      <c r="E55" s="95"/>
      <c r="F55" s="95"/>
      <c r="G55" s="95"/>
      <c r="H55" s="97"/>
      <c r="I55" s="39">
        <f t="shared" si="2"/>
        <v>0</v>
      </c>
      <c r="J55" s="49"/>
      <c r="K55" s="36"/>
      <c r="L55" s="95"/>
      <c r="M55" s="85" t="str">
        <f>HYPERLINK("https://www.youtube.com/watch?v=aDDoryh3x_g","Video Solution - Eng Muntaser Abukadeja")</f>
        <v>Video Solution - Eng Muntaser Abukadeja</v>
      </c>
    </row>
    <row r="56">
      <c r="A56" s="92" t="s">
        <v>772</v>
      </c>
      <c r="B56" s="10" t="str">
        <f>HYPERLINK("http://codeforces.com/contest/400/problem/B","CF400-D2-B")</f>
        <v>CF400-D2-B</v>
      </c>
      <c r="C56" s="95"/>
      <c r="D56" s="95"/>
      <c r="E56" s="95"/>
      <c r="F56" s="95"/>
      <c r="G56" s="95"/>
      <c r="H56" s="97"/>
      <c r="I56" s="39">
        <f t="shared" si="2"/>
        <v>0</v>
      </c>
      <c r="J56" s="49"/>
      <c r="K56" s="36"/>
      <c r="L56" s="95"/>
      <c r="M56" s="85" t="str">
        <f>HYPERLINK("https://www.youtube.com/watch?v=ZWL57YYKwUM&amp;t=1s","Video Solution - Eng Mohamed Salah")</f>
        <v>Video Solution - Eng Mohamed Salah</v>
      </c>
    </row>
    <row r="57">
      <c r="A57" s="92" t="s">
        <v>774</v>
      </c>
      <c r="B57" s="10" t="str">
        <f>HYPERLINK("http://codeforces.com/contest/152/problem/B","CF152-D2-B")</f>
        <v>CF152-D2-B</v>
      </c>
      <c r="C57" s="95"/>
      <c r="D57" s="95"/>
      <c r="E57" s="95"/>
      <c r="F57" s="95"/>
      <c r="G57" s="95"/>
      <c r="H57" s="97"/>
      <c r="I57" s="39">
        <f t="shared" si="2"/>
        <v>0</v>
      </c>
      <c r="J57" s="49"/>
      <c r="K57" s="36"/>
      <c r="L57" s="95"/>
      <c r="M57" s="85" t="str">
        <f>HYPERLINK("https://www.youtube.com/watch?v=PNB_OSbdCpQ&amp;feature=youtu.be","Video Solution - Eng Muntaser Abukadeja")</f>
        <v>Video Solution - Eng Muntaser Abukadeja</v>
      </c>
    </row>
    <row r="58">
      <c r="A58" s="92" t="s">
        <v>777</v>
      </c>
      <c r="B58" s="10" t="str">
        <f>HYPERLINK("http://codeforces.com/contest/186/problem/B","CF186-D2-B")</f>
        <v>CF186-D2-B</v>
      </c>
      <c r="C58" s="95"/>
      <c r="D58" s="95"/>
      <c r="E58" s="95"/>
      <c r="F58" s="95"/>
      <c r="G58" s="95"/>
      <c r="H58" s="97"/>
      <c r="I58" s="39">
        <f t="shared" si="2"/>
        <v>0</v>
      </c>
      <c r="J58" s="49"/>
      <c r="K58" s="36"/>
      <c r="L58" s="95"/>
      <c r="M58" s="85" t="str">
        <f>HYPERLINK("https://www.youtube.com/watch?v=WdzdNdsaku4","Video Solution - Eng Mohamed Salah")</f>
        <v>Video Solution - Eng Mohamed Salah</v>
      </c>
    </row>
    <row r="59">
      <c r="A59" s="105" t="s">
        <v>778</v>
      </c>
      <c r="B59" s="145" t="str">
        <f>HYPERLINK("http://codeforces.com/contest/26/problem/B","CF26-D12-B")</f>
        <v>CF26-D12-B</v>
      </c>
      <c r="C59" s="95"/>
      <c r="D59" s="95"/>
      <c r="E59" s="95"/>
      <c r="F59" s="95"/>
      <c r="G59" s="95"/>
      <c r="H59" s="97"/>
      <c r="I59" s="39">
        <f t="shared" si="2"/>
        <v>0</v>
      </c>
      <c r="J59" s="49"/>
      <c r="K59" s="36"/>
      <c r="L59" s="95"/>
      <c r="M59" s="85" t="str">
        <f>HYPERLINK("https://www.youtube.com/watch?v=bz1ZEbzCFfU","Video Solution - Solver to be (Java)")</f>
        <v>Video Solution - Solver to be (Java)</v>
      </c>
    </row>
    <row r="60">
      <c r="A60" s="86" t="s">
        <v>780</v>
      </c>
      <c r="B60" s="233" t="str">
        <f>HYPERLINK("http://codeforces.com/contest/148/problem/B","CF148-D2-B")</f>
        <v>CF148-D2-B</v>
      </c>
      <c r="C60" s="95"/>
      <c r="D60" s="95"/>
      <c r="E60" s="95"/>
      <c r="F60" s="95"/>
      <c r="G60" s="95"/>
      <c r="H60" s="97"/>
      <c r="I60" s="39">
        <f t="shared" si="2"/>
        <v>0</v>
      </c>
      <c r="J60" s="49"/>
      <c r="K60" s="36"/>
      <c r="L60" s="95"/>
      <c r="M60" s="120"/>
    </row>
    <row r="61">
      <c r="A61" s="159"/>
      <c r="B61" s="66"/>
      <c r="C61" s="95"/>
      <c r="D61" s="95"/>
      <c r="E61" s="95"/>
      <c r="F61" s="95"/>
      <c r="G61" s="95"/>
      <c r="H61" s="97"/>
      <c r="I61" s="39">
        <f t="shared" si="2"/>
        <v>0</v>
      </c>
      <c r="J61" s="49"/>
      <c r="K61" s="36"/>
      <c r="L61" s="95"/>
      <c r="M61" s="116" t="str">
        <f>HYPERLINK("https://www.youtube.com/watch?v=gFdP6X4CyKU","Watch - Intro to DP - 1")</f>
        <v>Watch - Intro to DP - 1</v>
      </c>
    </row>
    <row r="62">
      <c r="A62" s="159"/>
      <c r="B62" s="66"/>
      <c r="C62" s="95"/>
      <c r="D62" s="95"/>
      <c r="E62" s="95"/>
      <c r="F62" s="95"/>
      <c r="G62" s="95"/>
      <c r="H62" s="97"/>
      <c r="I62" s="39">
        <f t="shared" si="2"/>
        <v>0</v>
      </c>
      <c r="J62" s="49"/>
      <c r="K62" s="36"/>
      <c r="L62" s="95"/>
      <c r="M62" s="116" t="str">
        <f>HYPERLINK("https://www.youtube.com/watch?v=1j3srLj-C5Q","Watch - Intro to DP - 2")</f>
        <v>Watch - Intro to DP - 2</v>
      </c>
    </row>
    <row r="63">
      <c r="A63" s="117" t="s">
        <v>783</v>
      </c>
      <c r="B63" s="118" t="str">
        <f>HYPERLINK("http://codeforces.com/contest/699/problem/C","CF699-D2-C")</f>
        <v>CF699-D2-C</v>
      </c>
      <c r="C63" s="80"/>
      <c r="D63" s="80"/>
      <c r="E63" s="80"/>
      <c r="F63" s="80"/>
      <c r="G63" s="80"/>
      <c r="H63" s="97"/>
      <c r="I63" s="39">
        <f t="shared" si="2"/>
        <v>0</v>
      </c>
      <c r="J63" s="49"/>
      <c r="K63" s="36"/>
      <c r="L63" s="80"/>
      <c r="M63" s="16"/>
    </row>
    <row r="64">
      <c r="A64" s="117" t="s">
        <v>785</v>
      </c>
      <c r="B64" s="118" t="str">
        <f>HYPERLINK("http://codeforces.com/contest/545/problem/C","CF545-D2-C")</f>
        <v>CF545-D2-C</v>
      </c>
      <c r="C64" s="80"/>
      <c r="D64" s="80"/>
      <c r="E64" s="80"/>
      <c r="F64" s="80"/>
      <c r="G64" s="80"/>
      <c r="H64" s="97"/>
      <c r="I64" s="39">
        <f t="shared" si="2"/>
        <v>0</v>
      </c>
      <c r="J64" s="49"/>
      <c r="K64" s="36"/>
      <c r="L64" s="80"/>
      <c r="M64" s="80"/>
    </row>
    <row r="65">
      <c r="A65" s="117" t="s">
        <v>787</v>
      </c>
      <c r="B65" s="118" t="str">
        <f>HYPERLINK("http://codeforces.com/contest/550/problem/C","CF550-D2-C")</f>
        <v>CF550-D2-C</v>
      </c>
      <c r="C65" s="80"/>
      <c r="D65" s="80"/>
      <c r="E65" s="80"/>
      <c r="F65" s="80"/>
      <c r="G65" s="80"/>
      <c r="H65" s="97"/>
      <c r="I65" s="39">
        <f t="shared" si="2"/>
        <v>0</v>
      </c>
      <c r="J65" s="49"/>
      <c r="K65" s="36"/>
      <c r="L65" s="80"/>
      <c r="M65" s="16"/>
    </row>
    <row r="66">
      <c r="A66" s="117" t="s">
        <v>789</v>
      </c>
      <c r="B66" s="223" t="str">
        <f>HYPERLINK("http://codeforces.com/contest/225/problem/C","CF225-D2-C")</f>
        <v>CF225-D2-C</v>
      </c>
      <c r="C66" s="95"/>
      <c r="D66" s="95"/>
      <c r="E66" s="95"/>
      <c r="F66" s="95"/>
      <c r="G66" s="95"/>
      <c r="H66" s="97"/>
      <c r="I66" s="39">
        <f t="shared" si="2"/>
        <v>0</v>
      </c>
      <c r="J66" s="49"/>
      <c r="K66" s="36"/>
      <c r="L66" s="95"/>
      <c r="M66" s="85" t="str">
        <f>HYPERLINK("https://www.youtube.com/watch?v=O7Tja1S5IYQ","Video Solution - Eng Mostafa Saad")</f>
        <v>Video Solution - Eng Mostafa Saad</v>
      </c>
    </row>
    <row r="67">
      <c r="A67" s="124" t="s">
        <v>793</v>
      </c>
      <c r="B67" s="263" t="str">
        <f>HYPERLINK("https://uva.onlinejudge.org/index.php?option=onlinejudge&amp;page=show_problem&amp;problem=2035","UVA 11094")</f>
        <v>UVA 11094</v>
      </c>
      <c r="C67" s="95"/>
      <c r="D67" s="95"/>
      <c r="E67" s="95"/>
      <c r="F67" s="95"/>
      <c r="G67" s="95"/>
      <c r="H67" s="97"/>
      <c r="I67" s="39">
        <f t="shared" si="2"/>
        <v>0</v>
      </c>
      <c r="J67" s="49"/>
      <c r="K67" s="36"/>
      <c r="L67" s="95"/>
      <c r="M67" s="85" t="str">
        <f>HYPERLINK("https://www.youtube.com/watch?v=vLuFqaQ40RI","Video Solution - Eng Ayman Salah")</f>
        <v>Video Solution - Eng Ayman Salah</v>
      </c>
    </row>
    <row r="68">
      <c r="A68" s="124" t="s">
        <v>795</v>
      </c>
      <c r="B68" s="125" t="str">
        <f>HYPERLINK("https://uva.onlinejudge.org/index.php?option=onlinejudge&amp;page=show_problem&amp;problem=1806","UVA 10865")</f>
        <v>UVA 10865</v>
      </c>
      <c r="C68" s="80"/>
      <c r="D68" s="80"/>
      <c r="E68" s="80"/>
      <c r="F68" s="80"/>
      <c r="G68" s="80"/>
      <c r="H68" s="140"/>
      <c r="I68" s="39">
        <f t="shared" si="2"/>
        <v>0</v>
      </c>
      <c r="J68" s="49"/>
      <c r="K68" s="36"/>
      <c r="L68" s="80"/>
      <c r="M68" s="83" t="str">
        <f>HYPERLINK("https://www.youtube.com/watch?v=VZ7kCc80C6o&amp;feature=youtu.be","Video Solution - Eng Magdy Hasan")</f>
        <v>Video Solution - Eng Magdy Hasan</v>
      </c>
    </row>
    <row r="69">
      <c r="A69" s="136" t="s">
        <v>797</v>
      </c>
      <c r="B69" s="180" t="str">
        <f>HYPERLINK("http://acm.timus.ru/problem.aspx?space=1&amp;num=1054","TIMUS 1054")</f>
        <v>TIMUS 1054</v>
      </c>
      <c r="C69" s="80"/>
      <c r="D69" s="80"/>
      <c r="E69" s="80"/>
      <c r="F69" s="80"/>
      <c r="G69" s="80"/>
      <c r="H69" s="140"/>
      <c r="I69" s="39">
        <f t="shared" si="2"/>
        <v>0</v>
      </c>
      <c r="J69" s="49"/>
      <c r="K69" s="36"/>
      <c r="L69" s="80"/>
      <c r="M69" s="83" t="str">
        <f>HYPERLINK("https://github.com/MeGaCrazy/CompetitiveProgramming/blob/9ebf16b4239c8f58c694f2ae22c8f07d1fa70864/Timus/TIMUS_1054.cpp","Sol")</f>
        <v>Sol</v>
      </c>
    </row>
    <row r="70">
      <c r="A70" s="159"/>
      <c r="B70" s="66"/>
      <c r="C70" s="95"/>
      <c r="D70" s="95"/>
      <c r="E70" s="95"/>
      <c r="F70" s="95"/>
      <c r="G70" s="95"/>
      <c r="H70" s="97"/>
      <c r="I70" s="39">
        <f t="shared" si="2"/>
        <v>0</v>
      </c>
      <c r="J70" s="49"/>
      <c r="K70" s="36"/>
      <c r="L70" s="95"/>
      <c r="M70" s="120"/>
    </row>
    <row r="71">
      <c r="A71" s="92" t="s">
        <v>800</v>
      </c>
      <c r="B71" s="10" t="str">
        <f>HYPERLINK("http://codeforces.com/contest/262/problem/B","CF262-D2-B")</f>
        <v>CF262-D2-B</v>
      </c>
      <c r="C71" s="95"/>
      <c r="D71" s="95"/>
      <c r="E71" s="95"/>
      <c r="F71" s="95"/>
      <c r="G71" s="95"/>
      <c r="H71" s="97"/>
      <c r="I71" s="39">
        <f t="shared" si="2"/>
        <v>0</v>
      </c>
      <c r="J71" s="49"/>
      <c r="K71" s="36"/>
      <c r="L71" s="95"/>
      <c r="M71" s="85" t="str">
        <f>HYPERLINK("https://www.youtube.com/watch?v=6Ic_MPWfhEg","Video Solution - Eng Mohamed Salah")</f>
        <v>Video Solution - Eng Mohamed Salah</v>
      </c>
    </row>
    <row r="72">
      <c r="A72" s="92" t="s">
        <v>802</v>
      </c>
      <c r="B72" s="10" t="str">
        <f>HYPERLINK("http://codeforces.com/contest/385/problem/B","CF385-D2-B")</f>
        <v>CF385-D2-B</v>
      </c>
      <c r="C72" s="95"/>
      <c r="D72" s="95"/>
      <c r="E72" s="95"/>
      <c r="F72" s="95"/>
      <c r="G72" s="95"/>
      <c r="H72" s="97"/>
      <c r="I72" s="39">
        <f t="shared" si="2"/>
        <v>0</v>
      </c>
      <c r="J72" s="49"/>
      <c r="K72" s="36"/>
      <c r="L72" s="95"/>
      <c r="M72" s="85" t="str">
        <f>HYPERLINK("https://www.youtube.com/watch?v=hTUYMzcMuvA","Video Solution - Eng Mohamed Salah")</f>
        <v>Video Solution - Eng Mohamed Salah</v>
      </c>
    </row>
    <row r="73">
      <c r="A73" s="92" t="s">
        <v>804</v>
      </c>
      <c r="B73" s="10" t="str">
        <f>HYPERLINK("http://codeforces.com/contest/376/problem/B","CF376-D2-B")</f>
        <v>CF376-D2-B</v>
      </c>
      <c r="C73" s="95"/>
      <c r="D73" s="95"/>
      <c r="E73" s="95"/>
      <c r="F73" s="95"/>
      <c r="G73" s="95"/>
      <c r="H73" s="97"/>
      <c r="I73" s="39">
        <f t="shared" si="2"/>
        <v>0</v>
      </c>
      <c r="J73" s="49"/>
      <c r="K73" s="36"/>
      <c r="L73" s="95"/>
      <c r="M73" s="85" t="str">
        <f>HYPERLINK("https://www.youtube.com/watch?v=d962qNWSvas&amp;feature=youtu.be","Video Solution - Eng Abanob Ashraf")</f>
        <v>Video Solution - Eng Abanob Ashraf</v>
      </c>
    </row>
    <row r="74">
      <c r="A74" s="92" t="s">
        <v>806</v>
      </c>
      <c r="B74" s="10" t="str">
        <f>HYPERLINK("http://codeforces.com/contest/352/problem/B","CF352-D2-B")</f>
        <v>CF352-D2-B</v>
      </c>
      <c r="C74" s="95"/>
      <c r="D74" s="95"/>
      <c r="E74" s="95"/>
      <c r="F74" s="95"/>
      <c r="G74" s="95"/>
      <c r="H74" s="97"/>
      <c r="I74" s="39">
        <f t="shared" si="2"/>
        <v>0</v>
      </c>
      <c r="J74" s="49"/>
      <c r="K74" s="36"/>
      <c r="L74" s="95"/>
      <c r="M74" s="85" t="str">
        <f>HYPERLINK("https://www.youtube.com/watch?v=7xgzxrYuwUc","Video Solution - Eng Muntaser Abukadeja")</f>
        <v>Video Solution - Eng Muntaser Abukadeja</v>
      </c>
    </row>
    <row r="75">
      <c r="A75" s="92" t="s">
        <v>807</v>
      </c>
      <c r="B75" s="269" t="str">
        <f>HYPERLINK("http://codeforces.com/contest/144/problem/B","CF144-D2-B")</f>
        <v>CF144-D2-B</v>
      </c>
      <c r="C75" s="95"/>
      <c r="D75" s="95"/>
      <c r="E75" s="95"/>
      <c r="F75" s="95"/>
      <c r="G75" s="95"/>
      <c r="H75" s="97"/>
      <c r="I75" s="39">
        <f t="shared" si="2"/>
        <v>0</v>
      </c>
      <c r="J75" s="49"/>
      <c r="K75" s="36"/>
      <c r="L75" s="95"/>
      <c r="M75" s="85" t="str">
        <f>HYPERLINK("https://www.youtube.com/watch?v=9fpKWAPudyo&amp;feature=youtu.be","Video Solution - Eng Muntaser Abukadeja")</f>
        <v>Video Solution - Eng Muntaser Abukadeja</v>
      </c>
    </row>
    <row r="76">
      <c r="A76" s="92" t="s">
        <v>811</v>
      </c>
      <c r="B76" s="10" t="str">
        <f>HYPERLINK("http://codeforces.com/contest/617/problem/B","CF617-D2-B")</f>
        <v>CF617-D2-B</v>
      </c>
      <c r="C76" s="95"/>
      <c r="D76" s="95"/>
      <c r="E76" s="95"/>
      <c r="F76" s="95"/>
      <c r="G76" s="95"/>
      <c r="H76" s="97"/>
      <c r="I76" s="39">
        <f t="shared" si="2"/>
        <v>0</v>
      </c>
      <c r="J76" s="49"/>
      <c r="K76" s="36"/>
      <c r="L76" s="95"/>
      <c r="M76" s="85" t="str">
        <f>HYPERLINK("https://www.youtube.com/watch?v=APkfGgJJVCc","Video Solution - Eng Yahia Ashraf")</f>
        <v>Video Solution - Eng Yahia Ashraf</v>
      </c>
    </row>
    <row r="77">
      <c r="A77" s="92" t="s">
        <v>812</v>
      </c>
      <c r="B77" s="10" t="str">
        <f>HYPERLINK("http://codeforces.com/contest/236/problem/B","CF236-D2-B")</f>
        <v>CF236-D2-B</v>
      </c>
      <c r="C77" s="95"/>
      <c r="D77" s="95"/>
      <c r="E77" s="95"/>
      <c r="F77" s="95"/>
      <c r="G77" s="95"/>
      <c r="H77" s="97"/>
      <c r="I77" s="39">
        <f t="shared" si="2"/>
        <v>0</v>
      </c>
      <c r="J77" s="49"/>
      <c r="K77" s="36"/>
      <c r="L77" s="95"/>
      <c r="M77" s="85" t="str">
        <f>HYPERLINK("https://www.youtube.com/watch?v=Tv2JpMqQWYg","Video Solution - Eng Yahia Ashraf")</f>
        <v>Video Solution - Eng Yahia Ashraf</v>
      </c>
    </row>
    <row r="78">
      <c r="A78" s="105" t="s">
        <v>813</v>
      </c>
      <c r="B78" s="145" t="str">
        <f>HYPERLINK("http://codeforces.com/contest/514/problem/B","CF514-D2-B")</f>
        <v>CF514-D2-B</v>
      </c>
      <c r="C78" s="80"/>
      <c r="D78" s="80"/>
      <c r="E78" s="80"/>
      <c r="F78" s="80"/>
      <c r="G78" s="80"/>
      <c r="H78" s="97"/>
      <c r="I78" s="39">
        <f t="shared" si="2"/>
        <v>0</v>
      </c>
      <c r="J78" s="49"/>
      <c r="K78" s="36"/>
      <c r="L78" s="80"/>
      <c r="M78" s="16"/>
    </row>
    <row r="79">
      <c r="A79" s="105" t="s">
        <v>814</v>
      </c>
      <c r="B79" s="145" t="str">
        <f>HYPERLINK("http://codeforces.com/contest/253/problem/B","CF253-D2-B")</f>
        <v>CF253-D2-B</v>
      </c>
      <c r="C79" s="80"/>
      <c r="D79" s="80"/>
      <c r="E79" s="80"/>
      <c r="F79" s="80"/>
      <c r="G79" s="80"/>
      <c r="H79" s="97"/>
      <c r="I79" s="39">
        <f t="shared" si="2"/>
        <v>0</v>
      </c>
      <c r="J79" s="49"/>
      <c r="K79" s="36"/>
      <c r="L79" s="80"/>
      <c r="M79" s="85" t="str">
        <f>HYPERLINK("https://www.youtube.com/watch?v=ZR0IxC_xoFk","Video Solution - Eng Mohamed Salah")</f>
        <v>Video Solution - Eng Mohamed Salah</v>
      </c>
    </row>
    <row r="80">
      <c r="A80" s="105" t="s">
        <v>816</v>
      </c>
      <c r="B80" s="145" t="str">
        <f>HYPERLINK("http://codeforces.com/contest/520/problem/B","CF520-D2-B")</f>
        <v>CF520-D2-B</v>
      </c>
      <c r="C80" s="80"/>
      <c r="D80" s="80"/>
      <c r="E80" s="80"/>
      <c r="F80" s="80"/>
      <c r="G80" s="80"/>
      <c r="H80" s="97"/>
      <c r="I80" s="39">
        <f t="shared" si="2"/>
        <v>0</v>
      </c>
      <c r="J80" s="49"/>
      <c r="K80" s="36"/>
      <c r="L80" s="80"/>
      <c r="M80" s="85" t="str">
        <f>HYPERLINK("https://www.youtube.com/watch?v=tMsOxSRU4Sk","Video Solution - Solver to be (Java)")</f>
        <v>Video Solution - Solver to be (Java)</v>
      </c>
    </row>
    <row r="81">
      <c r="A81" s="159"/>
      <c r="B81" s="66"/>
      <c r="C81" s="80"/>
      <c r="D81" s="80"/>
      <c r="E81" s="80"/>
      <c r="F81" s="80"/>
      <c r="G81" s="80"/>
      <c r="H81" s="97"/>
      <c r="I81" s="39">
        <f t="shared" si="2"/>
        <v>0</v>
      </c>
      <c r="J81" s="49"/>
      <c r="K81" s="36"/>
      <c r="L81" s="95"/>
      <c r="M81" s="116"/>
    </row>
    <row r="82">
      <c r="A82" s="159"/>
      <c r="B82" s="66"/>
      <c r="C82" s="95"/>
      <c r="D82" s="95"/>
      <c r="E82" s="95"/>
      <c r="F82" s="95"/>
      <c r="G82" s="95"/>
      <c r="H82" s="97"/>
      <c r="I82" s="39">
        <f t="shared" si="2"/>
        <v>0</v>
      </c>
      <c r="J82" s="49"/>
      <c r="K82" s="36"/>
      <c r="L82" s="95"/>
      <c r="M82" s="116" t="str">
        <f>HYPERLINK("https://www.youtube.com/watch?v=dcMtSmWHLP4","Watch - Computational Geometry - Complex Number and 2D Point")</f>
        <v>Watch - Computational Geometry - Complex Number and 2D Point</v>
      </c>
    </row>
    <row r="83">
      <c r="A83" s="159"/>
      <c r="B83" s="66"/>
      <c r="C83" s="95"/>
      <c r="D83" s="95"/>
      <c r="E83" s="95"/>
      <c r="F83" s="95"/>
      <c r="G83" s="95"/>
      <c r="H83" s="97"/>
      <c r="I83" s="39">
        <f t="shared" si="2"/>
        <v>0</v>
      </c>
      <c r="J83" s="49"/>
      <c r="K83" s="36"/>
      <c r="L83" s="95"/>
      <c r="M83" s="116" t="str">
        <f>HYPERLINK("https://www.youtube.com/watch?v=1Vi2h7dKdEQ","Watch - Computational Geometry - Lines and Distances")</f>
        <v>Watch - Computational Geometry - Lines and Distances</v>
      </c>
    </row>
    <row r="84">
      <c r="A84" s="117" t="s">
        <v>820</v>
      </c>
      <c r="B84" s="223" t="str">
        <f>HYPERLINK("https://uva.onlinejudge.org/index.php?option=com_onlinejudge&amp;Itemid=8&amp;page=show_problem&amp;problem=314","UVA 378")</f>
        <v>UVA 378</v>
      </c>
      <c r="C84" s="95"/>
      <c r="D84" s="95"/>
      <c r="E84" s="95"/>
      <c r="F84" s="95"/>
      <c r="G84" s="95"/>
      <c r="H84" s="97"/>
      <c r="I84" s="39">
        <f t="shared" si="2"/>
        <v>0</v>
      </c>
      <c r="J84" s="49"/>
      <c r="K84" s="36"/>
      <c r="L84" s="95"/>
      <c r="M84" s="120"/>
    </row>
    <row r="85">
      <c r="A85" s="124" t="s">
        <v>823</v>
      </c>
      <c r="B85" s="263" t="str">
        <f>HYPERLINK("https://uva.onlinejudge.org/index.php?option=com_onlinejudge&amp;Itemid=8&amp;page=show_problem&amp;problem=1018","UVA 10077")</f>
        <v>UVA 10077</v>
      </c>
      <c r="C85" s="95"/>
      <c r="D85" s="95"/>
      <c r="E85" s="95"/>
      <c r="F85" s="95"/>
      <c r="G85" s="95"/>
      <c r="H85" s="97"/>
      <c r="I85" s="39">
        <f t="shared" si="2"/>
        <v>0</v>
      </c>
      <c r="J85" s="49"/>
      <c r="K85" s="36"/>
      <c r="L85" s="95"/>
      <c r="M85" s="120"/>
    </row>
    <row r="86">
      <c r="A86" s="124" t="s">
        <v>824</v>
      </c>
      <c r="B86" s="125" t="str">
        <f>HYPERLINK("http://codeforces.com/contest/505/problem/B","CF505-D2-B")</f>
        <v>CF505-D2-B</v>
      </c>
      <c r="C86" s="95"/>
      <c r="D86" s="95"/>
      <c r="E86" s="95"/>
      <c r="F86" s="95"/>
      <c r="G86" s="95"/>
      <c r="H86" s="97"/>
      <c r="I86" s="39">
        <f t="shared" si="2"/>
        <v>0</v>
      </c>
      <c r="J86" s="111"/>
      <c r="K86" s="112"/>
      <c r="L86" s="80"/>
      <c r="M86" s="279" t="str">
        <f>HYPERLINK("https://www.youtube.com/watch?v=4516VTXcDJM&amp;feature=youtu.be","Video Solution - Eng Muntaser Abukadeja")</f>
        <v>Video Solution - Eng Muntaser Abukadeja</v>
      </c>
    </row>
    <row r="87">
      <c r="A87" s="159"/>
      <c r="B87" s="66"/>
      <c r="C87" s="95"/>
      <c r="D87" s="95"/>
      <c r="E87" s="95"/>
      <c r="F87" s="95"/>
      <c r="G87" s="95"/>
      <c r="H87" s="97"/>
      <c r="I87" s="39">
        <f t="shared" si="2"/>
        <v>0</v>
      </c>
      <c r="J87" s="49"/>
      <c r="K87" s="36"/>
      <c r="L87" s="95"/>
      <c r="M87" s="105"/>
    </row>
    <row r="88">
      <c r="A88" s="190" t="s">
        <v>182</v>
      </c>
      <c r="B88" s="280" t="str">
        <f>HYPERLINK("http://codeforces.com/contest/371/problem/B","CF371-D2-B")</f>
        <v>CF371-D2-B</v>
      </c>
      <c r="C88" s="80"/>
      <c r="D88" s="80"/>
      <c r="E88" s="80"/>
      <c r="F88" s="80"/>
      <c r="G88" s="80"/>
      <c r="H88" s="80"/>
      <c r="I88" s="140">
        <f t="shared" si="2"/>
        <v>0</v>
      </c>
      <c r="J88" s="111"/>
      <c r="K88" s="112"/>
      <c r="L88" s="80"/>
      <c r="M88" s="85" t="str">
        <f>HYPERLINK("https://www.youtube.com/watch?v=s9jsw8Uj4uI&amp;feature=youtu.be","Video Solution - Eng Abanob Ashraf")</f>
        <v>Video Solution - Eng Abanob Ashraf</v>
      </c>
    </row>
    <row r="89">
      <c r="A89" s="92" t="s">
        <v>830</v>
      </c>
      <c r="B89" s="10" t="str">
        <f>HYPERLINK("http://codeforces.com/contest/445/problem/B","CF445-D2-B")</f>
        <v>CF445-D2-B</v>
      </c>
      <c r="C89" s="95"/>
      <c r="D89" s="95"/>
      <c r="E89" s="95"/>
      <c r="F89" s="95"/>
      <c r="G89" s="95"/>
      <c r="H89" s="97"/>
      <c r="I89" s="39">
        <f t="shared" si="2"/>
        <v>0</v>
      </c>
      <c r="J89" s="49"/>
      <c r="K89" s="36"/>
      <c r="L89" s="95"/>
      <c r="M89" s="120"/>
    </row>
    <row r="90">
      <c r="A90" s="92" t="s">
        <v>832</v>
      </c>
      <c r="B90" s="10" t="str">
        <f>HYPERLINK("http://codeforces.com/contest/584/problem/B","CF584-D2-B")</f>
        <v>CF584-D2-B</v>
      </c>
      <c r="C90" s="95"/>
      <c r="D90" s="95"/>
      <c r="E90" s="95"/>
      <c r="F90" s="95"/>
      <c r="G90" s="95"/>
      <c r="H90" s="97"/>
      <c r="I90" s="39">
        <f t="shared" si="2"/>
        <v>0</v>
      </c>
      <c r="J90" s="49"/>
      <c r="K90" s="36"/>
      <c r="L90" s="95"/>
      <c r="M90" s="85" t="str">
        <f>HYPERLINK("https://www.youtube.com/watch?v=-Dh_FyJiJ9Q","Video Solution - Eng Yahia Ashraf")</f>
        <v>Video Solution - Eng Yahia Ashraf</v>
      </c>
    </row>
    <row r="91">
      <c r="A91" s="92" t="s">
        <v>834</v>
      </c>
      <c r="B91" s="10" t="str">
        <f>HYPERLINK("http://codeforces.com/contest/448/problem/B","CF448-D2-B")</f>
        <v>CF448-D2-B</v>
      </c>
      <c r="C91" s="95"/>
      <c r="D91" s="95"/>
      <c r="E91" s="95"/>
      <c r="F91" s="95"/>
      <c r="G91" s="95"/>
      <c r="H91" s="97"/>
      <c r="I91" s="39">
        <f t="shared" si="2"/>
        <v>0</v>
      </c>
      <c r="J91" s="49"/>
      <c r="K91" s="36"/>
      <c r="L91" s="95"/>
      <c r="M91" s="85" t="str">
        <f>HYPERLINK("https://www.youtube.com/watch?v=-J0VaYdgbRc","Video Solution - Eng Mohamed Salah")</f>
        <v>Video Solution - Eng Mohamed Salah</v>
      </c>
    </row>
    <row r="92">
      <c r="A92" s="92" t="s">
        <v>836</v>
      </c>
      <c r="B92" s="10" t="str">
        <f>HYPERLINK("http://codeforces.com/contest/716/problem/B","CF716-D2-B")</f>
        <v>CF716-D2-B</v>
      </c>
      <c r="C92" s="95"/>
      <c r="D92" s="95"/>
      <c r="E92" s="95"/>
      <c r="F92" s="95"/>
      <c r="G92" s="95"/>
      <c r="H92" s="97"/>
      <c r="I92" s="39">
        <f t="shared" si="2"/>
        <v>0</v>
      </c>
      <c r="J92" s="49"/>
      <c r="K92" s="36"/>
      <c r="L92" s="95"/>
      <c r="M92" s="85" t="str">
        <f>HYPERLINK("https://www.youtube.com/watch?v=lu6BhwVMNhw","Video Solution - Eng Mohamed Salah")</f>
        <v>Video Solution - Eng Mohamed Salah</v>
      </c>
    </row>
    <row r="93">
      <c r="A93" s="92" t="s">
        <v>838</v>
      </c>
      <c r="B93" s="10" t="str">
        <f>HYPERLINK("http://codeforces.com/contest/544/problem/B","CF544-D2-B")</f>
        <v>CF544-D2-B</v>
      </c>
      <c r="C93" s="95"/>
      <c r="D93" s="95"/>
      <c r="E93" s="95"/>
      <c r="F93" s="95"/>
      <c r="G93" s="95"/>
      <c r="H93" s="97"/>
      <c r="I93" s="39">
        <f t="shared" si="2"/>
        <v>0</v>
      </c>
      <c r="J93" s="49"/>
      <c r="K93" s="36"/>
      <c r="L93" s="95"/>
      <c r="M93" s="85" t="str">
        <f>HYPERLINK("https://www.youtube.com/watch?v=7MC9PFQTlxs","Video Solution - Eng Mohamed Salah")</f>
        <v>Video Solution - Eng Mohamed Salah</v>
      </c>
    </row>
    <row r="94">
      <c r="A94" s="105" t="s">
        <v>840</v>
      </c>
      <c r="B94" s="145" t="str">
        <f>HYPERLINK("http://codeforces.com/contest/141/problem/B","CF141-D2-B")</f>
        <v>CF141-D2-B</v>
      </c>
      <c r="C94" s="80"/>
      <c r="D94" s="80"/>
      <c r="E94" s="80"/>
      <c r="F94" s="80"/>
      <c r="G94" s="80"/>
      <c r="H94" s="97"/>
      <c r="I94" s="39">
        <f t="shared" si="2"/>
        <v>0</v>
      </c>
      <c r="J94" s="49"/>
      <c r="K94" s="36"/>
      <c r="L94" s="80"/>
      <c r="M94" s="80"/>
    </row>
    <row r="95">
      <c r="A95" s="105" t="s">
        <v>841</v>
      </c>
      <c r="B95" s="145" t="str">
        <f>HYPERLINK("http://codeforces.com/contest/369/problem/B","CF369-D2-B")</f>
        <v>CF369-D2-B</v>
      </c>
      <c r="C95" s="80"/>
      <c r="D95" s="80"/>
      <c r="E95" s="80"/>
      <c r="F95" s="80"/>
      <c r="G95" s="80"/>
      <c r="H95" s="97"/>
      <c r="I95" s="39">
        <f t="shared" si="2"/>
        <v>0</v>
      </c>
      <c r="J95" s="49"/>
      <c r="K95" s="36"/>
      <c r="L95" s="80"/>
      <c r="M95" s="85" t="str">
        <f>HYPERLINK("https://www.youtube.com/watch?v=1CHX-WYiQvA","Video Solution - Eng Yahia Ashraf")</f>
        <v>Video Solution - Eng Yahia Ashraf</v>
      </c>
    </row>
    <row r="96">
      <c r="A96" s="190" t="s">
        <v>843</v>
      </c>
      <c r="B96" s="280" t="str">
        <f>HYPERLINK("http://codeforces.com/contest/791/problem/B","CF791-D2-B")</f>
        <v>CF791-D2-B</v>
      </c>
      <c r="C96" s="14"/>
      <c r="D96" s="49"/>
      <c r="E96" s="49"/>
      <c r="F96" s="49"/>
      <c r="G96" s="49"/>
      <c r="H96" s="39"/>
      <c r="I96" s="39">
        <f t="shared" si="2"/>
        <v>0</v>
      </c>
      <c r="J96" s="49"/>
      <c r="K96" s="36"/>
      <c r="L96" s="49"/>
      <c r="M96" s="85" t="str">
        <f>HYPERLINK("https://www.youtube.com/watch?v=3tVJoeUE0Ag&amp;feature=youtu.be","Video Solution - Eng Mohamed Salah")</f>
        <v>Video Solution - Eng Mohamed Salah</v>
      </c>
    </row>
    <row r="97">
      <c r="A97" s="86" t="s">
        <v>846</v>
      </c>
      <c r="B97" s="233" t="str">
        <f>HYPERLINK("http://codeforces.com/contest/550/problem/B","CF550-D2-B")</f>
        <v>CF550-D2-B</v>
      </c>
      <c r="C97" s="14"/>
      <c r="D97" s="49"/>
      <c r="E97" s="49"/>
      <c r="F97" s="49"/>
      <c r="G97" s="49"/>
      <c r="H97" s="39"/>
      <c r="I97" s="39">
        <f t="shared" si="2"/>
        <v>0</v>
      </c>
      <c r="J97" s="49"/>
      <c r="K97" s="36"/>
      <c r="L97" s="49"/>
      <c r="M97" s="185" t="str">
        <f>HYPERLINK("https://www.youtube.com/watch?v=o5fKByvQguE","Video Solution - SolverToBe (Java)")</f>
        <v>Video Solution - SolverToBe (Java)</v>
      </c>
    </row>
    <row r="98">
      <c r="A98" s="159"/>
      <c r="B98" s="66"/>
      <c r="C98" s="80"/>
      <c r="D98" s="80"/>
      <c r="E98" s="80"/>
      <c r="F98" s="80"/>
      <c r="G98" s="80"/>
      <c r="H98" s="97"/>
      <c r="I98" s="39">
        <f t="shared" si="2"/>
        <v>0</v>
      </c>
      <c r="J98" s="49"/>
      <c r="K98" s="36"/>
      <c r="L98" s="95"/>
      <c r="M98" s="116"/>
    </row>
    <row r="99">
      <c r="A99" s="159"/>
      <c r="B99" s="66"/>
      <c r="C99" s="80"/>
      <c r="D99" s="80"/>
      <c r="E99" s="80"/>
      <c r="F99" s="80"/>
      <c r="G99" s="80"/>
      <c r="H99" s="97"/>
      <c r="I99" s="39">
        <f t="shared" si="2"/>
        <v>0</v>
      </c>
      <c r="J99" s="49"/>
      <c r="K99" s="36"/>
      <c r="L99" s="95"/>
      <c r="M99" s="57" t="str">
        <f>HYPERLINK("https://www.youtube.com/watch?v=WTr12dK2Se0","Watch - Focused and Diffused Thinking")</f>
        <v>Watch - Focused and Diffused Thinking</v>
      </c>
    </row>
    <row r="100">
      <c r="A100" s="159"/>
      <c r="B100" s="66"/>
      <c r="C100" s="80"/>
      <c r="D100" s="80"/>
      <c r="E100" s="80"/>
      <c r="F100" s="80"/>
      <c r="G100" s="80"/>
      <c r="H100" s="97"/>
      <c r="I100" s="39">
        <f t="shared" si="2"/>
        <v>0</v>
      </c>
      <c r="J100" s="49"/>
      <c r="K100" s="36"/>
      <c r="L100" s="95"/>
      <c r="M100" s="116" t="str">
        <f>HYPERLINK("https://www.youtube.com/watch?v=HQ5ANfzSDn0","Watch - Graph Theory - MST - Kruskal")</f>
        <v>Watch - Graph Theory - MST - Kruskal</v>
      </c>
    </row>
    <row r="101">
      <c r="A101" s="117" t="s">
        <v>425</v>
      </c>
      <c r="B101" s="223" t="str">
        <f>HYPERLINK("https://uva.onlinejudge.org/index.php?option=com_onlinejudge&amp;Itemid=8&amp;page=show_problem&amp;problem=1088","UVA 10147")</f>
        <v>UVA 10147</v>
      </c>
      <c r="C101" s="95"/>
      <c r="D101" s="95"/>
      <c r="E101" s="95"/>
      <c r="F101" s="95"/>
      <c r="G101" s="95"/>
      <c r="H101" s="97"/>
      <c r="I101" s="39">
        <f t="shared" si="2"/>
        <v>0</v>
      </c>
      <c r="J101" s="49"/>
      <c r="K101" s="36"/>
      <c r="L101" s="95"/>
      <c r="M101" s="83" t="str">
        <f>HYPERLINK("https://www.youtube.com/watch?v=yNkLz4OVXtI","Video Solution - Eng Mahmoud Adel")</f>
        <v>Video Solution - Eng Mahmoud Adel</v>
      </c>
    </row>
    <row r="102">
      <c r="A102" s="171" t="s">
        <v>266</v>
      </c>
      <c r="B102" s="223" t="str">
        <f>HYPERLINK("https://uva.onlinejudge.org/index.php?option=com_onlinejudge&amp;Itemid=8&amp;page=show_problem&amp;problem=1541","UVA 10600")</f>
        <v>UVA 10600</v>
      </c>
      <c r="C102" s="95"/>
      <c r="D102" s="95"/>
      <c r="E102" s="95"/>
      <c r="F102" s="95"/>
      <c r="G102" s="95"/>
      <c r="H102" s="97"/>
      <c r="I102" s="39">
        <f t="shared" si="2"/>
        <v>0</v>
      </c>
      <c r="J102" s="49"/>
      <c r="K102" s="36"/>
      <c r="L102" s="95"/>
      <c r="M102" s="83" t="str">
        <f>HYPERLINK("https://www.youtube.com/watch?v=94EApxauQQE&amp;feature=youtu.be","Video Solution - Eng Moaz Rashad")</f>
        <v>Video Solution - Eng Moaz Rashad</v>
      </c>
    </row>
    <row r="103">
      <c r="A103" s="117" t="s">
        <v>854</v>
      </c>
      <c r="B103" s="223" t="str">
        <f>HYPERLINK("https://uva.onlinejudge.org/index.php?option=onlinejudge&amp;page=show_problem&amp;problem=2498","UVA 11503")</f>
        <v>UVA 11503</v>
      </c>
      <c r="C103" s="95"/>
      <c r="D103" s="95"/>
      <c r="E103" s="95"/>
      <c r="F103" s="95"/>
      <c r="G103" s="95"/>
      <c r="H103" s="97"/>
      <c r="I103" s="39">
        <f t="shared" si="2"/>
        <v>0</v>
      </c>
      <c r="J103" s="49"/>
      <c r="K103" s="36"/>
      <c r="L103" s="95"/>
      <c r="M103" s="83" t="str">
        <f>HYPERLINK("https://www.youtube.com/watch?v=kO_XbOt1drc","Video Solution - Eng Moaz Rashad")</f>
        <v>Video Solution - Eng Moaz Rashad</v>
      </c>
    </row>
    <row r="104">
      <c r="A104" s="117" t="s">
        <v>855</v>
      </c>
      <c r="B104" s="223" t="str">
        <f>HYPERLINK("https://uva.onlinejudge.org/index.php?option=com_onlinejudge&amp;Itemid=8&amp;page=show_problem&amp;problem=1310","UVA 10369")</f>
        <v>UVA 10369</v>
      </c>
      <c r="C104" s="95"/>
      <c r="D104" s="95"/>
      <c r="E104" s="95"/>
      <c r="F104" s="95"/>
      <c r="G104" s="95"/>
      <c r="H104" s="97"/>
      <c r="I104" s="39">
        <f t="shared" si="2"/>
        <v>0</v>
      </c>
      <c r="J104" s="49"/>
      <c r="K104" s="36"/>
      <c r="L104" s="95"/>
      <c r="M104" s="120"/>
    </row>
    <row r="105">
      <c r="A105" s="124" t="s">
        <v>857</v>
      </c>
      <c r="B105" s="125" t="str">
        <f>HYPERLINK("https://uva.onlinejudge.org/index.php?option=com_onlinejudge&amp;Itemid=8&amp;page=show_problem&amp;problem=58","UVA 122")</f>
        <v>UVA 122</v>
      </c>
      <c r="C105" s="14"/>
      <c r="D105" s="49"/>
      <c r="E105" s="49"/>
      <c r="F105" s="49"/>
      <c r="G105" s="49"/>
      <c r="H105" s="39"/>
      <c r="I105" s="39">
        <f t="shared" si="2"/>
        <v>0</v>
      </c>
      <c r="J105" s="49"/>
      <c r="K105" s="36"/>
      <c r="L105" s="49"/>
      <c r="M105" s="185" t="str">
        <f>HYPERLINK("https://www.youtube.com/watch?v=b6D-7cqN2jM","Video Solution - SolverToBe (Java)")</f>
        <v>Video Solution - SolverToBe (Java)</v>
      </c>
    </row>
    <row r="106">
      <c r="A106" s="136" t="s">
        <v>858</v>
      </c>
      <c r="B106" s="180" t="str">
        <f>HYPERLINK("https://uva.onlinejudge.org/index.php?option=com_onlinejudge&amp;Itemid=8&amp;page=show_problem&amp;problem=3415","UVA 12263")</f>
        <v>UVA 12263</v>
      </c>
      <c r="C106" s="14"/>
      <c r="D106" s="49"/>
      <c r="E106" s="49"/>
      <c r="F106" s="49"/>
      <c r="G106" s="49"/>
      <c r="H106" s="39"/>
      <c r="I106" s="39">
        <f t="shared" si="2"/>
        <v>0</v>
      </c>
      <c r="J106" s="49"/>
      <c r="K106" s="36"/>
      <c r="L106" s="49"/>
      <c r="M106" s="185" t="str">
        <f>HYPERLINK("https://ideone.com/6IMSkX","Editorial to read")</f>
        <v>Editorial to read</v>
      </c>
    </row>
    <row r="107">
      <c r="A107" s="136" t="s">
        <v>861</v>
      </c>
      <c r="B107" s="180" t="str">
        <f>HYPERLINK("http://acm.timus.ru/problem.aspx?space=1&amp;num=1100","TIMUS 1100")</f>
        <v>TIMUS 1100</v>
      </c>
      <c r="C107" s="14"/>
      <c r="D107" s="49"/>
      <c r="E107" s="49"/>
      <c r="F107" s="49"/>
      <c r="G107" s="49"/>
      <c r="H107" s="39"/>
      <c r="I107" s="39">
        <f t="shared" si="2"/>
        <v>0</v>
      </c>
      <c r="J107" s="49"/>
      <c r="K107" s="36"/>
      <c r="L107" s="49"/>
      <c r="M107" s="185" t="str">
        <f>HYPERLINK("https://github.com/marioyc/Online-Judge-Solutions/blob/master/Timus%20Online%20Judge/1100%20-%20Final%20Standings.cpp","Stable sort exercise")</f>
        <v>Stable sort exercise</v>
      </c>
    </row>
    <row r="108">
      <c r="A108" s="136" t="s">
        <v>863</v>
      </c>
      <c r="B108" s="180" t="str">
        <f>HYPERLINK("http://acm.timus.ru/problem.aspx?space=1&amp;num=1349","TIMUS 1349")</f>
        <v>TIMUS 1349</v>
      </c>
      <c r="C108" s="14"/>
      <c r="D108" s="49"/>
      <c r="E108" s="49"/>
      <c r="F108" s="49"/>
      <c r="G108" s="49"/>
      <c r="H108" s="39"/>
      <c r="I108" s="39">
        <f t="shared" si="2"/>
        <v>0</v>
      </c>
      <c r="J108" s="49"/>
      <c r="K108" s="36"/>
      <c r="L108" s="49"/>
      <c r="M108" s="185" t="str">
        <f>HYPERLINK("http://xoptutorials.com/index.php/2017/01/01/timus1349/","Learn Fermat’s Last Theorem")</f>
        <v>Learn Fermat’s Last Theorem</v>
      </c>
    </row>
    <row r="109">
      <c r="A109" s="159"/>
      <c r="B109" s="66"/>
      <c r="C109" s="95"/>
      <c r="D109" s="95"/>
      <c r="E109" s="95"/>
      <c r="F109" s="95"/>
      <c r="G109" s="95"/>
      <c r="H109" s="97"/>
      <c r="I109" s="39">
        <f t="shared" si="2"/>
        <v>0</v>
      </c>
      <c r="J109" s="49"/>
      <c r="K109" s="36"/>
      <c r="L109" s="95"/>
      <c r="M109" s="120"/>
    </row>
    <row r="110">
      <c r="A110" s="92" t="s">
        <v>865</v>
      </c>
      <c r="B110" s="10" t="str">
        <f>HYPERLINK("http://codeforces.com/contest/415/problem/B","CF415-D2-B")</f>
        <v>CF415-D2-B</v>
      </c>
      <c r="C110" s="95"/>
      <c r="D110" s="95"/>
      <c r="E110" s="95"/>
      <c r="F110" s="95"/>
      <c r="G110" s="95"/>
      <c r="H110" s="97"/>
      <c r="I110" s="39">
        <f t="shared" si="2"/>
        <v>0</v>
      </c>
      <c r="J110" s="49"/>
      <c r="K110" s="36"/>
      <c r="L110" s="95"/>
      <c r="M110" s="83" t="str">
        <f>HYPERLINK("https://www.youtube.com/watch?v=ZNxSTHmpLGc&amp;feature=youtu.be","Video Solution - Eng Salma Yehia")</f>
        <v>Video Solution - Eng Salma Yehia</v>
      </c>
    </row>
    <row r="111">
      <c r="A111" s="92" t="s">
        <v>867</v>
      </c>
      <c r="B111" s="10" t="str">
        <f>HYPERLINK("http://codeforces.com/contest/602/problem/B","CF602-D2-B")</f>
        <v>CF602-D2-B</v>
      </c>
      <c r="C111" s="95"/>
      <c r="D111" s="95"/>
      <c r="E111" s="95"/>
      <c r="F111" s="95"/>
      <c r="G111" s="95"/>
      <c r="H111" s="97"/>
      <c r="I111" s="39">
        <f t="shared" si="2"/>
        <v>0</v>
      </c>
      <c r="J111" s="49"/>
      <c r="K111" s="36"/>
      <c r="L111" s="95"/>
      <c r="M111" s="120"/>
    </row>
    <row r="112">
      <c r="A112" s="92" t="s">
        <v>869</v>
      </c>
      <c r="B112" s="284" t="str">
        <f>HYPERLINK("http://codeforces.com/contest/614/problem/B","CF614-D2-B")</f>
        <v>CF614-D2-B</v>
      </c>
      <c r="C112" s="95"/>
      <c r="D112" s="95"/>
      <c r="E112" s="95"/>
      <c r="F112" s="95"/>
      <c r="G112" s="95"/>
      <c r="H112" s="97"/>
      <c r="I112" s="39">
        <f t="shared" si="2"/>
        <v>0</v>
      </c>
      <c r="J112" s="49"/>
      <c r="K112" s="36"/>
      <c r="L112" s="95"/>
      <c r="M112" s="51"/>
    </row>
    <row r="113">
      <c r="A113" s="92" t="s">
        <v>871</v>
      </c>
      <c r="B113" s="10" t="str">
        <f>HYPERLINK("http://codeforces.com/contest/486/problem/B","CF486-D2-B")</f>
        <v>CF486-D2-B</v>
      </c>
      <c r="C113" s="95"/>
      <c r="D113" s="95"/>
      <c r="E113" s="95"/>
      <c r="F113" s="95"/>
      <c r="G113" s="95"/>
      <c r="H113" s="97"/>
      <c r="I113" s="39">
        <f t="shared" si="2"/>
        <v>0</v>
      </c>
      <c r="J113" s="49"/>
      <c r="K113" s="36"/>
      <c r="L113" s="95"/>
      <c r="M113" s="51"/>
    </row>
    <row r="114">
      <c r="A114" s="92" t="s">
        <v>873</v>
      </c>
      <c r="B114" s="10" t="str">
        <f>HYPERLINK("http://codeforces.com/contest/510/problem/B","CF510-D2-B")</f>
        <v>CF510-D2-B</v>
      </c>
      <c r="C114" s="95"/>
      <c r="D114" s="95"/>
      <c r="E114" s="95"/>
      <c r="F114" s="95"/>
      <c r="G114" s="95"/>
      <c r="H114" s="97"/>
      <c r="I114" s="39">
        <f t="shared" si="2"/>
        <v>0</v>
      </c>
      <c r="J114" s="49"/>
      <c r="K114" s="36"/>
      <c r="L114" s="95"/>
      <c r="M114" s="102" t="str">
        <f>HYPERLINK("https://www.youtube.com/watch?v=LHIZzMjnG0k&amp;feature=youtu.be","Video Solution - Eng Mohamed Adel")</f>
        <v>Video Solution - Eng Mohamed Adel</v>
      </c>
    </row>
    <row r="115">
      <c r="A115" s="92" t="s">
        <v>874</v>
      </c>
      <c r="B115" s="10" t="str">
        <f>HYPERLINK("http://codeforces.com/contest/337/problem/B","CF337-D2-B")</f>
        <v>CF337-D2-B</v>
      </c>
      <c r="C115" s="95"/>
      <c r="D115" s="95"/>
      <c r="E115" s="95"/>
      <c r="F115" s="95"/>
      <c r="G115" s="95"/>
      <c r="H115" s="97"/>
      <c r="I115" s="39">
        <f t="shared" si="2"/>
        <v>0</v>
      </c>
      <c r="J115" s="49"/>
      <c r="K115" s="36"/>
      <c r="L115" s="95"/>
      <c r="M115" s="102" t="str">
        <f>HYPERLINK("https://www.youtube.com/watch?v=NaB4pnNbXEY","Video Solution - Eng Mohamed Adel")</f>
        <v>Video Solution - Eng Mohamed Adel</v>
      </c>
    </row>
    <row r="116">
      <c r="A116" s="92" t="s">
        <v>875</v>
      </c>
      <c r="B116" s="10" t="str">
        <f>HYPERLINK("http://codeforces.com/contest/493/problem/B","CF493-D2-B")</f>
        <v>CF493-D2-B</v>
      </c>
      <c r="C116" s="95"/>
      <c r="D116" s="95"/>
      <c r="E116" s="95"/>
      <c r="F116" s="95"/>
      <c r="G116" s="95"/>
      <c r="H116" s="97"/>
      <c r="I116" s="39">
        <f t="shared" si="2"/>
        <v>0</v>
      </c>
      <c r="J116" s="49"/>
      <c r="K116" s="36"/>
      <c r="L116" s="95"/>
      <c r="M116" s="51"/>
    </row>
    <row r="117">
      <c r="A117" s="92" t="s">
        <v>877</v>
      </c>
      <c r="B117" s="10" t="str">
        <f>HYPERLINK("http://codeforces.com/contest/608/problem/B","CF608-D2-B")</f>
        <v>CF608-D2-B</v>
      </c>
      <c r="C117" s="95"/>
      <c r="D117" s="95"/>
      <c r="E117" s="95"/>
      <c r="F117" s="95"/>
      <c r="G117" s="95"/>
      <c r="H117" s="97"/>
      <c r="I117" s="39">
        <f t="shared" si="2"/>
        <v>0</v>
      </c>
      <c r="J117" s="49"/>
      <c r="K117" s="36"/>
      <c r="L117" s="95"/>
      <c r="M117" s="51"/>
    </row>
    <row r="118">
      <c r="A118" s="105" t="s">
        <v>878</v>
      </c>
      <c r="B118" s="145" t="str">
        <f>HYPERLINK("http://codeforces.com/contest/621/problem/B","CF621-D2-B")</f>
        <v>CF621-D2-B</v>
      </c>
      <c r="C118" s="80"/>
      <c r="D118" s="80"/>
      <c r="E118" s="80"/>
      <c r="F118" s="80"/>
      <c r="G118" s="80"/>
      <c r="H118" s="97"/>
      <c r="I118" s="39">
        <f t="shared" si="2"/>
        <v>0</v>
      </c>
      <c r="J118" s="49"/>
      <c r="K118" s="36"/>
      <c r="L118" s="80"/>
      <c r="M118" s="83" t="str">
        <f>HYPERLINK("https://www.youtube.com/watch?v=zKne2u4DuIs&amp;feature=youtu.be","Thanks to Eng Mahmoud Mabrok")</f>
        <v>Thanks to Eng Mahmoud Mabrok</v>
      </c>
    </row>
    <row r="119">
      <c r="A119" s="92" t="s">
        <v>880</v>
      </c>
      <c r="B119" s="10" t="str">
        <f>HYPERLINK("http://codeforces.com/contest/580/problem/B","CF580-D2-B")</f>
        <v>CF580-D2-B</v>
      </c>
      <c r="C119" s="95"/>
      <c r="D119" s="95"/>
      <c r="E119" s="95"/>
      <c r="F119" s="95"/>
      <c r="G119" s="95"/>
      <c r="H119" s="97"/>
      <c r="I119" s="39">
        <f t="shared" si="2"/>
        <v>0</v>
      </c>
      <c r="J119" s="49"/>
      <c r="K119" s="36"/>
      <c r="L119" s="95"/>
      <c r="M119" s="185" t="str">
        <f>HYPERLINK("https://www.youtube.com/watch?v=kUXDNSkFECM","Video Solution - SolverToBe (Java)")</f>
        <v>Video Solution - SolverToBe (Java)</v>
      </c>
    </row>
    <row r="120">
      <c r="A120" s="105" t="s">
        <v>882</v>
      </c>
      <c r="B120" s="145" t="str">
        <f>HYPERLINK("http://codeforces.com/contest/535/problem/B","CF535-D2-B")</f>
        <v>CF535-D2-B</v>
      </c>
      <c r="C120" s="80"/>
      <c r="D120" s="80"/>
      <c r="E120" s="80"/>
      <c r="F120" s="80"/>
      <c r="G120" s="80"/>
      <c r="H120" s="80"/>
      <c r="I120" s="140">
        <f t="shared" si="2"/>
        <v>0</v>
      </c>
      <c r="J120" s="111"/>
      <c r="K120" s="112"/>
      <c r="L120" s="80"/>
      <c r="M120" s="85" t="str">
        <f>HYPERLINK("https://www.youtube.com/watch?v=NPVp5BntYZ4","Video Solution - Eng Abanob Ashraf")</f>
        <v>Video Solution - Eng Abanob Ashraf</v>
      </c>
    </row>
    <row r="121">
      <c r="A121" s="190" t="s">
        <v>884</v>
      </c>
      <c r="B121" s="145" t="str">
        <f>HYPERLINK("http://codeforces.com/contest/979/problem/B","CF979-D2-B")</f>
        <v>CF979-D2-B</v>
      </c>
      <c r="C121" s="80"/>
      <c r="D121" s="80"/>
      <c r="E121" s="80"/>
      <c r="F121" s="80"/>
      <c r="G121" s="80"/>
      <c r="H121" s="80"/>
      <c r="I121" s="140">
        <f t="shared" si="2"/>
        <v>0</v>
      </c>
      <c r="J121" s="111"/>
      <c r="K121" s="112"/>
      <c r="L121" s="80"/>
      <c r="M121" s="87"/>
    </row>
    <row r="122">
      <c r="A122" s="190"/>
      <c r="B122" s="148"/>
      <c r="C122" s="80"/>
      <c r="D122" s="80"/>
      <c r="E122" s="80"/>
      <c r="F122" s="80"/>
      <c r="G122" s="80"/>
      <c r="H122" s="80"/>
      <c r="I122" s="140">
        <f t="shared" si="2"/>
        <v>0</v>
      </c>
      <c r="J122" s="111"/>
      <c r="K122" s="112"/>
      <c r="L122" s="80"/>
      <c r="M122" s="87"/>
    </row>
    <row r="123">
      <c r="A123" s="190" t="s">
        <v>886</v>
      </c>
      <c r="B123" s="148" t="str">
        <f>HYPERLINK("http://codeforces.com/contest/1009/problem/B","CF1009-D12-B")</f>
        <v>CF1009-D12-B</v>
      </c>
      <c r="C123" s="80"/>
      <c r="D123" s="80"/>
      <c r="E123" s="80"/>
      <c r="F123" s="80"/>
      <c r="G123" s="80"/>
      <c r="H123" s="80"/>
      <c r="I123" s="140">
        <f t="shared" si="2"/>
        <v>0</v>
      </c>
      <c r="J123" s="111"/>
      <c r="K123" s="112"/>
      <c r="L123" s="80"/>
      <c r="M123" s="87"/>
    </row>
    <row r="124">
      <c r="A124" s="190"/>
      <c r="B124" s="185" t="str">
        <f>HYPERLINK("https://codeforces.com/contest/1030/problem/B","CF1030-D12-B")</f>
        <v>CF1030-D12-B</v>
      </c>
      <c r="C124" s="80"/>
      <c r="D124" s="80"/>
      <c r="E124" s="80"/>
      <c r="F124" s="80"/>
      <c r="G124" s="80"/>
      <c r="H124" s="80"/>
      <c r="I124" s="140">
        <f t="shared" si="2"/>
        <v>0</v>
      </c>
      <c r="J124" s="111"/>
      <c r="K124" s="112"/>
      <c r="L124" s="80"/>
      <c r="M124" s="87"/>
    </row>
    <row r="125">
      <c r="A125" s="190"/>
      <c r="B125" s="285" t="str">
        <f>HYPERLINK("https://codeforces.com/contest/1051/problem/B", "CF1051-D2-B")</f>
        <v>CF1051-D2-B</v>
      </c>
      <c r="C125" s="80"/>
      <c r="D125" s="80"/>
      <c r="E125" s="80"/>
      <c r="F125" s="80"/>
      <c r="G125" s="80"/>
      <c r="H125" s="80"/>
      <c r="I125" s="140">
        <f t="shared" si="2"/>
        <v>0</v>
      </c>
      <c r="J125" s="111"/>
      <c r="K125" s="112"/>
      <c r="L125" s="80"/>
      <c r="M125" s="87"/>
    </row>
    <row r="126">
      <c r="A126" s="190"/>
      <c r="B126" s="286" t="str">
        <f>HYPERLINK("http://codeforces.com/gym/101864/problem/M","CF101864-GYM-M")</f>
        <v>CF101864-GYM-M</v>
      </c>
      <c r="C126" s="80"/>
      <c r="D126" s="80"/>
      <c r="E126" s="80"/>
      <c r="F126" s="80"/>
      <c r="G126" s="80"/>
      <c r="H126" s="80"/>
      <c r="I126" s="140">
        <f t="shared" si="2"/>
        <v>0</v>
      </c>
      <c r="J126" s="111"/>
      <c r="K126" s="112"/>
      <c r="L126" s="80"/>
      <c r="M126" s="87"/>
    </row>
    <row r="127">
      <c r="A127" s="80"/>
      <c r="B127" s="80"/>
      <c r="C127" s="80"/>
      <c r="D127" s="80"/>
      <c r="E127" s="80"/>
      <c r="F127" s="80"/>
      <c r="G127" s="80"/>
      <c r="H127" s="97"/>
      <c r="I127" s="39">
        <f t="shared" si="2"/>
        <v>0</v>
      </c>
      <c r="J127" s="49"/>
      <c r="K127" s="36"/>
      <c r="L127" s="80"/>
      <c r="M127" s="116"/>
    </row>
    <row r="128">
      <c r="A128" s="80"/>
      <c r="B128" s="80"/>
      <c r="C128" s="80"/>
      <c r="D128" s="80"/>
      <c r="E128" s="80"/>
      <c r="F128" s="80"/>
      <c r="G128" s="80"/>
      <c r="H128" s="97"/>
      <c r="I128" s="39">
        <f t="shared" si="2"/>
        <v>0</v>
      </c>
      <c r="J128" s="49"/>
      <c r="K128" s="36"/>
      <c r="L128" s="80"/>
      <c r="M128" s="116" t="str">
        <f>HYPERLINK("https://www.youtube.com/watch?v=iXxP_liQklk","Watch - Intro to Greedy")</f>
        <v>Watch - Intro to Greedy</v>
      </c>
    </row>
    <row r="129">
      <c r="A129" s="170" t="s">
        <v>892</v>
      </c>
      <c r="B129" s="287" t="str">
        <f>HYPERLINK("http://codeforces.com/contest/282/problem/B","CF282-D2-B")</f>
        <v>CF282-D2-B</v>
      </c>
      <c r="C129" s="80"/>
      <c r="D129" s="80"/>
      <c r="E129" s="80"/>
      <c r="F129" s="80"/>
      <c r="G129" s="80"/>
      <c r="H129" s="97"/>
      <c r="I129" s="39">
        <f t="shared" si="2"/>
        <v>0</v>
      </c>
      <c r="J129" s="49"/>
      <c r="K129" s="36"/>
      <c r="L129" s="80"/>
      <c r="M129" s="16"/>
    </row>
    <row r="130">
      <c r="A130" s="170" t="s">
        <v>897</v>
      </c>
      <c r="B130" s="287" t="str">
        <f>HYPERLINK("http://codeforces.com/contest/435/problem/B","CF435-D2-B")</f>
        <v>CF435-D2-B</v>
      </c>
      <c r="C130" s="80"/>
      <c r="D130" s="80"/>
      <c r="E130" s="80"/>
      <c r="F130" s="80"/>
      <c r="G130" s="80"/>
      <c r="H130" s="97"/>
      <c r="I130" s="39">
        <f t="shared" si="2"/>
        <v>0</v>
      </c>
      <c r="J130" s="49"/>
      <c r="K130" s="36"/>
      <c r="L130" s="80"/>
      <c r="M130" s="85" t="str">
        <f>HYPERLINK("https://www.youtube.com/watch?v=hDsuoSTdytw&amp;feature=youtu.be","Video Solution - Eng Hossam Yehia")</f>
        <v>Video Solution - Eng Hossam Yehia</v>
      </c>
    </row>
    <row r="131">
      <c r="A131" s="170" t="s">
        <v>898</v>
      </c>
      <c r="B131" s="287" t="str">
        <f>HYPERLINK("http://codeforces.com/contest/276/problem/B","CF276-D2-B")</f>
        <v>CF276-D2-B</v>
      </c>
      <c r="C131" s="80"/>
      <c r="D131" s="80"/>
      <c r="E131" s="80"/>
      <c r="F131" s="80"/>
      <c r="G131" s="80"/>
      <c r="H131" s="97"/>
      <c r="I131" s="39">
        <f t="shared" si="2"/>
        <v>0</v>
      </c>
      <c r="J131" s="49"/>
      <c r="K131" s="36"/>
      <c r="L131" s="80"/>
      <c r="M131" s="85" t="str">
        <f>HYPERLINK("https://www.youtube.com/watch?v=WrpG_n0SrbY&amp;feature=youtu.be","Video Solution - Eng Hossam Yehia")</f>
        <v>Video Solution - Eng Hossam Yehia</v>
      </c>
    </row>
    <row r="132">
      <c r="A132" s="170" t="s">
        <v>899</v>
      </c>
      <c r="B132" s="287" t="str">
        <f>HYPERLINK("http://codeforces.com/contest/525/problem/B","CF525-D2-B")</f>
        <v>CF525-D2-B</v>
      </c>
      <c r="C132" s="80"/>
      <c r="D132" s="80"/>
      <c r="E132" s="80"/>
      <c r="F132" s="80"/>
      <c r="G132" s="80"/>
      <c r="H132" s="97"/>
      <c r="I132" s="39">
        <f t="shared" si="2"/>
        <v>0</v>
      </c>
      <c r="J132" s="49"/>
      <c r="K132" s="36"/>
      <c r="L132" s="80"/>
      <c r="M132" s="85" t="str">
        <f>HYPERLINK("https://www.youtube.com/watch?v=NPVp5BntYZ4","Video Solution - Eng Hossam Yehia")</f>
        <v>Video Solution - Eng Hossam Yehia</v>
      </c>
    </row>
    <row r="133">
      <c r="A133" s="170" t="s">
        <v>902</v>
      </c>
      <c r="B133" s="288" t="str">
        <f>HYPERLINK("http://codeforces.com/contest/416/problem/C","CF416-D2-C")</f>
        <v>CF416-D2-C</v>
      </c>
      <c r="C133" s="80"/>
      <c r="D133" s="80"/>
      <c r="E133" s="80"/>
      <c r="F133" s="80"/>
      <c r="G133" s="80"/>
      <c r="H133" s="97"/>
      <c r="I133" s="39">
        <f t="shared" si="2"/>
        <v>0</v>
      </c>
      <c r="J133" s="49"/>
      <c r="K133" s="36"/>
      <c r="L133" s="80"/>
      <c r="M133" s="16"/>
    </row>
    <row r="134">
      <c r="A134" s="170" t="s">
        <v>904</v>
      </c>
      <c r="B134" s="288" t="str">
        <f>HYPERLINK("http://codeforces.com/contest/492/problem/C","CF492-D2-C")</f>
        <v>CF492-D2-C</v>
      </c>
      <c r="C134" s="80"/>
      <c r="D134" s="80"/>
      <c r="E134" s="80"/>
      <c r="F134" s="80"/>
      <c r="G134" s="80"/>
      <c r="H134" s="97"/>
      <c r="I134" s="39">
        <f t="shared" si="2"/>
        <v>0</v>
      </c>
      <c r="J134" s="49"/>
      <c r="K134" s="36"/>
      <c r="L134" s="80"/>
      <c r="M134" s="16"/>
    </row>
    <row r="135">
      <c r="A135" s="124" t="s">
        <v>906</v>
      </c>
      <c r="B135" s="125" t="str">
        <f>HYPERLINK("https://uva.onlinejudge.org/index.php?option=com_onlinejudge&amp;Itemid=8&amp;page=show_problem&amp;problem=41","UVA 105")</f>
        <v>UVA 105</v>
      </c>
      <c r="C135" s="80"/>
      <c r="D135" s="80"/>
      <c r="E135" s="80"/>
      <c r="F135" s="80"/>
      <c r="G135" s="80"/>
      <c r="H135" s="97"/>
      <c r="I135" s="39">
        <f t="shared" si="2"/>
        <v>0</v>
      </c>
      <c r="J135" s="49"/>
      <c r="K135" s="36"/>
      <c r="L135" s="80"/>
      <c r="M135" s="16"/>
    </row>
    <row r="136">
      <c r="A136" s="124" t="s">
        <v>907</v>
      </c>
      <c r="B136" s="263" t="str">
        <f>HYPERLINK("https://uva.onlinejudge.org/index.php?option=onlinejudge&amp;page=show_problem&amp;problem=1217","UVA 10276")</f>
        <v>UVA 10276</v>
      </c>
      <c r="C136" s="95"/>
      <c r="D136" s="95"/>
      <c r="E136" s="95"/>
      <c r="F136" s="95"/>
      <c r="G136" s="95"/>
      <c r="H136" s="97"/>
      <c r="I136" s="39">
        <f t="shared" si="2"/>
        <v>0</v>
      </c>
      <c r="J136" s="49"/>
      <c r="K136" s="36"/>
      <c r="L136" s="95"/>
      <c r="M136" s="83" t="str">
        <f>HYPERLINK("https://www.youtube.com/watch?v=ygWfse3bBLI&amp;feature=youtu.be","Video Solution - Eng Mahmoud Adel")</f>
        <v>Video Solution - Eng Mahmoud Adel</v>
      </c>
    </row>
    <row r="137">
      <c r="A137" s="124" t="s">
        <v>910</v>
      </c>
      <c r="B137" s="263" t="str">
        <f>HYPERLINK("https://uva.onlinejudge.org/index.php?option=onlinejudge&amp;page=show_problem&amp;problem=725","UVA 784")</f>
        <v>UVA 784</v>
      </c>
      <c r="C137" s="95"/>
      <c r="D137" s="95"/>
      <c r="E137" s="95"/>
      <c r="F137" s="95"/>
      <c r="G137" s="95"/>
      <c r="H137" s="97"/>
      <c r="I137" s="39">
        <f t="shared" si="2"/>
        <v>0</v>
      </c>
      <c r="J137" s="49"/>
      <c r="K137" s="36"/>
      <c r="L137" s="95"/>
      <c r="M137" s="83" t="str">
        <f>HYPERLINK("https://www.youtube.com/watch?v=khOAL6TflhE&amp;feature=youtu.be","Video Solution - Eng Mahmoud Adel")</f>
        <v>Video Solution - Eng Mahmoud Adel</v>
      </c>
    </row>
    <row r="138">
      <c r="A138" s="289" t="s">
        <v>911</v>
      </c>
      <c r="B138" s="289" t="s">
        <v>912</v>
      </c>
      <c r="C138" s="95"/>
      <c r="D138" s="95"/>
      <c r="E138" s="95"/>
      <c r="F138" s="95"/>
      <c r="G138" s="95"/>
      <c r="H138" s="97"/>
      <c r="I138" s="39">
        <f t="shared" si="2"/>
        <v>0</v>
      </c>
      <c r="J138" s="49"/>
      <c r="K138" s="36"/>
      <c r="L138" s="95"/>
      <c r="M138" s="144"/>
    </row>
    <row r="139">
      <c r="A139" s="51"/>
      <c r="C139" s="95"/>
      <c r="D139" s="95"/>
      <c r="E139" s="95"/>
      <c r="F139" s="95"/>
      <c r="G139" s="95"/>
      <c r="H139" s="97"/>
      <c r="I139" s="39">
        <f t="shared" si="2"/>
        <v>0</v>
      </c>
      <c r="J139" s="49"/>
      <c r="K139" s="36"/>
      <c r="L139" s="95"/>
      <c r="M139" s="214" t="s">
        <v>461</v>
      </c>
    </row>
    <row r="140">
      <c r="A140" s="215"/>
      <c r="B140" s="290"/>
      <c r="C140" s="216"/>
      <c r="D140" s="216"/>
      <c r="E140" s="216"/>
      <c r="F140" s="216"/>
      <c r="G140" s="216"/>
      <c r="H140" s="217"/>
      <c r="I140" s="217">
        <f t="shared" ref="I140:I142" si="3">SUM(E140:G140)</f>
        <v>0</v>
      </c>
      <c r="J140" s="216"/>
      <c r="K140" s="216"/>
      <c r="L140" s="216"/>
      <c r="M140" s="215"/>
    </row>
    <row r="141">
      <c r="A141" s="120"/>
      <c r="B141" s="16"/>
      <c r="C141" s="127"/>
      <c r="D141" s="219" t="s">
        <v>468</v>
      </c>
      <c r="H141" s="97"/>
      <c r="I141" s="97">
        <f t="shared" si="3"/>
        <v>0</v>
      </c>
      <c r="J141" s="4" t="s">
        <v>915</v>
      </c>
    </row>
    <row r="142">
      <c r="A142" s="215"/>
      <c r="B142" s="290"/>
      <c r="C142" s="216"/>
      <c r="D142" s="216"/>
      <c r="E142" s="216"/>
      <c r="F142" s="216"/>
      <c r="G142" s="216"/>
      <c r="H142" s="217"/>
      <c r="I142" s="217">
        <f t="shared" si="3"/>
        <v>0</v>
      </c>
      <c r="J142" s="216"/>
      <c r="K142" s="216"/>
      <c r="L142" s="216"/>
      <c r="M142" s="215"/>
    </row>
    <row r="143">
      <c r="A143" s="92" t="s">
        <v>916</v>
      </c>
      <c r="B143" s="269" t="str">
        <f>HYPERLINK("http://codeforces.com/contest/465/problem/B","CF465-D2-B")</f>
        <v>CF465-D2-B</v>
      </c>
      <c r="C143" s="95"/>
      <c r="D143" s="95"/>
      <c r="E143" s="95"/>
      <c r="F143" s="95"/>
      <c r="G143" s="95"/>
      <c r="H143" s="97"/>
      <c r="I143" s="39">
        <f t="shared" ref="I143:I221" si="4">SUM(E143:H143)</f>
        <v>0</v>
      </c>
      <c r="J143" s="49"/>
      <c r="K143" s="36"/>
      <c r="L143" s="95"/>
      <c r="M143" s="120"/>
    </row>
    <row r="144">
      <c r="A144" s="92" t="s">
        <v>918</v>
      </c>
      <c r="B144" s="269" t="str">
        <f>HYPERLINK("http://codeforces.com/contest/672/problem/B","CF672-D2-B")</f>
        <v>CF672-D2-B</v>
      </c>
      <c r="C144" s="95"/>
      <c r="D144" s="95"/>
      <c r="E144" s="95"/>
      <c r="F144" s="95"/>
      <c r="G144" s="95"/>
      <c r="H144" s="97"/>
      <c r="I144" s="39">
        <f t="shared" si="4"/>
        <v>0</v>
      </c>
      <c r="J144" s="49"/>
      <c r="K144" s="36"/>
      <c r="L144" s="95"/>
      <c r="M144" s="120"/>
    </row>
    <row r="145">
      <c r="A145" s="92" t="s">
        <v>920</v>
      </c>
      <c r="B145" s="269" t="str">
        <f>HYPERLINK("http://codeforces.com/contest/137/problem/B","CF137-D2-B")</f>
        <v>CF137-D2-B</v>
      </c>
      <c r="C145" s="95"/>
      <c r="D145" s="95"/>
      <c r="E145" s="95"/>
      <c r="F145" s="95"/>
      <c r="G145" s="95"/>
      <c r="H145" s="97"/>
      <c r="I145" s="39">
        <f t="shared" si="4"/>
        <v>0</v>
      </c>
      <c r="J145" s="49"/>
      <c r="K145" s="36"/>
      <c r="L145" s="95"/>
      <c r="M145" s="120"/>
    </row>
    <row r="146">
      <c r="A146" s="92" t="s">
        <v>921</v>
      </c>
      <c r="B146" s="269" t="str">
        <f>HYPERLINK("http://codeforces.com/contest/259/problem/B","CF259-D2-B")</f>
        <v>CF259-D2-B</v>
      </c>
      <c r="C146" s="95"/>
      <c r="D146" s="95"/>
      <c r="E146" s="95"/>
      <c r="F146" s="95"/>
      <c r="G146" s="95"/>
      <c r="H146" s="97"/>
      <c r="I146" s="39">
        <f t="shared" si="4"/>
        <v>0</v>
      </c>
      <c r="J146" s="49"/>
      <c r="K146" s="36"/>
      <c r="L146" s="95"/>
      <c r="M146" s="120"/>
    </row>
    <row r="147">
      <c r="A147" s="92" t="s">
        <v>922</v>
      </c>
      <c r="B147" s="269" t="str">
        <f>HYPERLINK("http://codeforces.com/contest/218/problem/B","CF218-D2-B")</f>
        <v>CF218-D2-B</v>
      </c>
      <c r="C147" s="95"/>
      <c r="D147" s="95"/>
      <c r="E147" s="95"/>
      <c r="F147" s="95"/>
      <c r="G147" s="95"/>
      <c r="H147" s="97"/>
      <c r="I147" s="39">
        <f t="shared" si="4"/>
        <v>0</v>
      </c>
      <c r="J147" s="49"/>
      <c r="K147" s="36"/>
      <c r="L147" s="95"/>
      <c r="M147" s="120"/>
    </row>
    <row r="148">
      <c r="A148" s="92" t="s">
        <v>923</v>
      </c>
      <c r="B148" s="269" t="str">
        <f>HYPERLINK("http://codeforces.com/contest/732/problem/B","CF732-D2-B")</f>
        <v>CF732-D2-B</v>
      </c>
      <c r="C148" s="95"/>
      <c r="D148" s="95"/>
      <c r="E148" s="95"/>
      <c r="F148" s="95"/>
      <c r="G148" s="95"/>
      <c r="H148" s="97"/>
      <c r="I148" s="39">
        <f t="shared" si="4"/>
        <v>0</v>
      </c>
      <c r="J148" s="49"/>
      <c r="K148" s="36"/>
      <c r="L148" s="95"/>
      <c r="M148" s="120"/>
    </row>
    <row r="149">
      <c r="A149" s="92" t="s">
        <v>924</v>
      </c>
      <c r="B149" s="269" t="str">
        <f>HYPERLINK("http://codeforces.com/contest/427/problem/B","CF427-D2-B")</f>
        <v>CF427-D2-B</v>
      </c>
      <c r="C149" s="95"/>
      <c r="D149" s="95"/>
      <c r="E149" s="95"/>
      <c r="F149" s="95"/>
      <c r="G149" s="95"/>
      <c r="H149" s="97"/>
      <c r="I149" s="39">
        <f t="shared" si="4"/>
        <v>0</v>
      </c>
      <c r="J149" s="49"/>
      <c r="K149" s="36"/>
      <c r="L149" s="95"/>
      <c r="M149" s="120"/>
    </row>
    <row r="150">
      <c r="A150" s="92" t="s">
        <v>925</v>
      </c>
      <c r="B150" s="269" t="str">
        <f>HYPERLINK("http://codeforces.com/contest/519/problem/B","CF519-D2-B")</f>
        <v>CF519-D2-B</v>
      </c>
      <c r="C150" s="95"/>
      <c r="D150" s="95"/>
      <c r="E150" s="95"/>
      <c r="F150" s="95"/>
      <c r="G150" s="95"/>
      <c r="H150" s="97"/>
      <c r="I150" s="39">
        <f t="shared" si="4"/>
        <v>0</v>
      </c>
      <c r="J150" s="49"/>
      <c r="K150" s="36"/>
      <c r="L150" s="95"/>
      <c r="M150" s="120"/>
    </row>
    <row r="151">
      <c r="A151" s="92" t="s">
        <v>619</v>
      </c>
      <c r="B151" s="269" t="str">
        <f>HYPERLINK("http://codeforces.com/contest/43/problem/B","CF43-D2-B")</f>
        <v>CF43-D2-B</v>
      </c>
      <c r="C151" s="95"/>
      <c r="D151" s="95"/>
      <c r="E151" s="95"/>
      <c r="F151" s="95"/>
      <c r="G151" s="95"/>
      <c r="H151" s="97"/>
      <c r="I151" s="39">
        <f t="shared" si="4"/>
        <v>0</v>
      </c>
      <c r="J151" s="49"/>
      <c r="K151" s="36"/>
      <c r="L151" s="95"/>
      <c r="M151" s="120"/>
    </row>
    <row r="152">
      <c r="A152" s="92" t="s">
        <v>928</v>
      </c>
      <c r="B152" s="269" t="str">
        <f>HYPERLINK("http://codeforces.com/contest/670/problem/B","CF670-D2-B")</f>
        <v>CF670-D2-B</v>
      </c>
      <c r="C152" s="95"/>
      <c r="D152" s="95"/>
      <c r="E152" s="95"/>
      <c r="F152" s="95"/>
      <c r="G152" s="95"/>
      <c r="H152" s="97"/>
      <c r="I152" s="39">
        <f t="shared" si="4"/>
        <v>0</v>
      </c>
      <c r="J152" s="49"/>
      <c r="K152" s="36"/>
      <c r="L152" s="95"/>
      <c r="M152" s="120"/>
    </row>
    <row r="153">
      <c r="A153" s="92"/>
      <c r="C153" s="95"/>
      <c r="D153" s="95"/>
      <c r="E153" s="95"/>
      <c r="F153" s="95"/>
      <c r="G153" s="95"/>
      <c r="H153" s="97"/>
      <c r="I153" s="39">
        <f t="shared" si="4"/>
        <v>0</v>
      </c>
      <c r="J153" s="49"/>
      <c r="K153" s="36"/>
      <c r="L153" s="95"/>
      <c r="M153" s="120"/>
    </row>
    <row r="154">
      <c r="A154" s="105" t="s">
        <v>930</v>
      </c>
      <c r="B154" s="107" t="str">
        <f>HYPERLINK("http://codeforces.com/contest/90/problem/B","CF90-D2-B")</f>
        <v>CF90-D2-B</v>
      </c>
      <c r="C154" s="80"/>
      <c r="D154" s="80"/>
      <c r="E154" s="80"/>
      <c r="F154" s="80"/>
      <c r="G154" s="80"/>
      <c r="H154" s="97"/>
      <c r="I154" s="39">
        <f t="shared" si="4"/>
        <v>0</v>
      </c>
      <c r="J154" s="49"/>
      <c r="K154" s="36"/>
      <c r="L154" s="80"/>
      <c r="M154" s="16"/>
    </row>
    <row r="155">
      <c r="A155" s="105" t="s">
        <v>931</v>
      </c>
      <c r="B155" s="107" t="str">
        <f>HYPERLINK("http://codeforces.com/contest/284/problem/B","CF284-D2-B")</f>
        <v>CF284-D2-B</v>
      </c>
      <c r="C155" s="80"/>
      <c r="D155" s="80"/>
      <c r="E155" s="80"/>
      <c r="F155" s="80"/>
      <c r="G155" s="80"/>
      <c r="H155" s="97"/>
      <c r="I155" s="39">
        <f t="shared" si="4"/>
        <v>0</v>
      </c>
      <c r="J155" s="49"/>
      <c r="K155" s="36"/>
      <c r="L155" s="80"/>
      <c r="M155" s="16"/>
    </row>
    <row r="156">
      <c r="A156" s="105" t="s">
        <v>933</v>
      </c>
      <c r="B156" s="107" t="str">
        <f>HYPERLINK("http://codeforces.com/contest/285/problem/B","CF285-D2-B")</f>
        <v>CF285-D2-B</v>
      </c>
      <c r="C156" s="80"/>
      <c r="D156" s="80"/>
      <c r="E156" s="80"/>
      <c r="F156" s="80"/>
      <c r="G156" s="80"/>
      <c r="H156" s="97"/>
      <c r="I156" s="39">
        <f t="shared" si="4"/>
        <v>0</v>
      </c>
      <c r="J156" s="49"/>
      <c r="K156" s="36"/>
      <c r="L156" s="80"/>
      <c r="M156" s="16"/>
    </row>
    <row r="157">
      <c r="A157" s="105" t="s">
        <v>934</v>
      </c>
      <c r="B157" s="107" t="str">
        <f>HYPERLINK("http://codeforces.com/contest/706/problem/B","CF706-D2-B")</f>
        <v>CF706-D2-B</v>
      </c>
      <c r="C157" s="80"/>
      <c r="D157" s="80"/>
      <c r="E157" s="80"/>
      <c r="F157" s="80"/>
      <c r="G157" s="80"/>
      <c r="H157" s="97"/>
      <c r="I157" s="39">
        <f t="shared" si="4"/>
        <v>0</v>
      </c>
      <c r="J157" s="49"/>
      <c r="K157" s="36"/>
      <c r="L157" s="80"/>
      <c r="M157" s="16"/>
    </row>
    <row r="158">
      <c r="A158" s="105" t="s">
        <v>936</v>
      </c>
      <c r="B158" s="107" t="str">
        <f>HYPERLINK("http://codeforces.com/contest/424/problem/B","CF424-D2-B")</f>
        <v>CF424-D2-B</v>
      </c>
      <c r="C158" s="80"/>
      <c r="D158" s="80"/>
      <c r="E158" s="80"/>
      <c r="F158" s="80"/>
      <c r="G158" s="80"/>
      <c r="H158" s="97"/>
      <c r="I158" s="39">
        <f t="shared" si="4"/>
        <v>0</v>
      </c>
      <c r="J158" s="49"/>
      <c r="K158" s="36"/>
      <c r="L158" s="80"/>
      <c r="M158" s="16"/>
    </row>
    <row r="159">
      <c r="A159" s="105" t="s">
        <v>937</v>
      </c>
      <c r="B159" s="107" t="str">
        <f>HYPERLINK("http://codeforces.com/contest/651/problem/B","CF651-D2-B")</f>
        <v>CF651-D2-B</v>
      </c>
      <c r="C159" s="80"/>
      <c r="D159" s="80"/>
      <c r="E159" s="80"/>
      <c r="F159" s="80"/>
      <c r="G159" s="80"/>
      <c r="H159" s="97"/>
      <c r="I159" s="39">
        <f t="shared" si="4"/>
        <v>0</v>
      </c>
      <c r="J159" s="49"/>
      <c r="K159" s="36"/>
      <c r="L159" s="80"/>
      <c r="M159" s="16"/>
    </row>
    <row r="160">
      <c r="A160" s="105" t="s">
        <v>939</v>
      </c>
      <c r="B160" s="107" t="str">
        <f>HYPERLINK("http://codeforces.com/contest/313/problem/B","CF313-D2-B")</f>
        <v>CF313-D2-B</v>
      </c>
      <c r="C160" s="80"/>
      <c r="D160" s="80"/>
      <c r="E160" s="80"/>
      <c r="F160" s="80"/>
      <c r="G160" s="80"/>
      <c r="H160" s="97"/>
      <c r="I160" s="39">
        <f t="shared" si="4"/>
        <v>0</v>
      </c>
      <c r="J160" s="49"/>
      <c r="K160" s="36"/>
      <c r="L160" s="80"/>
      <c r="M160" s="16"/>
    </row>
    <row r="161">
      <c r="A161" s="105" t="s">
        <v>940</v>
      </c>
      <c r="B161" s="107" t="str">
        <f>HYPERLINK("http://codeforces.com/contest/255/problem/B","CF255-D2-B")</f>
        <v>CF255-D2-B</v>
      </c>
      <c r="C161" s="80"/>
      <c r="D161" s="80"/>
      <c r="E161" s="80"/>
      <c r="F161" s="80"/>
      <c r="G161" s="80"/>
      <c r="H161" s="97"/>
      <c r="I161" s="39">
        <f t="shared" si="4"/>
        <v>0</v>
      </c>
      <c r="J161" s="49"/>
      <c r="K161" s="36"/>
      <c r="L161" s="80"/>
      <c r="M161" s="16"/>
    </row>
    <row r="162">
      <c r="A162" s="105" t="s">
        <v>941</v>
      </c>
      <c r="B162" s="107" t="str">
        <f>HYPERLINK("http://codeforces.com/contest/327/problem/B","CF327-D2-B")</f>
        <v>CF327-D2-B</v>
      </c>
      <c r="C162" s="80"/>
      <c r="D162" s="80"/>
      <c r="E162" s="80"/>
      <c r="F162" s="80"/>
      <c r="G162" s="80"/>
      <c r="H162" s="97"/>
      <c r="I162" s="39">
        <f t="shared" si="4"/>
        <v>0</v>
      </c>
      <c r="J162" s="49"/>
      <c r="K162" s="36"/>
      <c r="L162" s="80"/>
      <c r="M162" s="16"/>
    </row>
    <row r="163">
      <c r="A163" s="105" t="s">
        <v>943</v>
      </c>
      <c r="B163" s="107" t="str">
        <f>HYPERLINK("http://codeforces.com/contest/743/problem/B","CF743-D2-B")</f>
        <v>CF743-D2-B</v>
      </c>
      <c r="C163" s="80"/>
      <c r="D163" s="80"/>
      <c r="E163" s="80"/>
      <c r="F163" s="80"/>
      <c r="G163" s="80"/>
      <c r="H163" s="97"/>
      <c r="I163" s="39">
        <f t="shared" si="4"/>
        <v>0</v>
      </c>
      <c r="J163" s="49"/>
      <c r="K163" s="36"/>
      <c r="L163" s="80"/>
      <c r="M163" s="297"/>
    </row>
    <row r="164">
      <c r="A164" s="105" t="s">
        <v>948</v>
      </c>
      <c r="B164" s="107" t="str">
        <f>HYPERLINK("http://codeforces.com/contest/581/problem/B","CF581-D2-B")</f>
        <v>CF581-D2-B</v>
      </c>
      <c r="C164" s="80"/>
      <c r="D164" s="80"/>
      <c r="E164" s="80"/>
      <c r="F164" s="80"/>
      <c r="G164" s="80"/>
      <c r="H164" s="97"/>
      <c r="I164" s="39">
        <f t="shared" si="4"/>
        <v>0</v>
      </c>
      <c r="J164" s="49"/>
      <c r="K164" s="36"/>
      <c r="L164" s="80"/>
      <c r="M164" s="16"/>
    </row>
    <row r="165">
      <c r="A165" s="105"/>
      <c r="B165" s="107"/>
      <c r="C165" s="80"/>
      <c r="D165" s="80"/>
      <c r="E165" s="80"/>
      <c r="F165" s="80"/>
      <c r="G165" s="80"/>
      <c r="H165" s="97"/>
      <c r="I165" s="39">
        <f t="shared" si="4"/>
        <v>0</v>
      </c>
      <c r="J165" s="49"/>
      <c r="K165" s="36"/>
      <c r="L165" s="80"/>
      <c r="M165" s="16"/>
    </row>
    <row r="166">
      <c r="A166" s="92" t="s">
        <v>952</v>
      </c>
      <c r="B166" s="269" t="str">
        <f>HYPERLINK("http://codeforces.com/contest/63/problem/B","CF63-D2-B")</f>
        <v>CF63-D2-B</v>
      </c>
      <c r="C166" s="95"/>
      <c r="D166" s="95"/>
      <c r="E166" s="95"/>
      <c r="F166" s="95"/>
      <c r="G166" s="95"/>
      <c r="H166" s="97"/>
      <c r="I166" s="39">
        <f t="shared" si="4"/>
        <v>0</v>
      </c>
      <c r="J166" s="49"/>
      <c r="K166" s="36"/>
      <c r="L166" s="95"/>
      <c r="M166" s="120"/>
    </row>
    <row r="167">
      <c r="A167" s="92" t="s">
        <v>955</v>
      </c>
      <c r="B167" s="269" t="str">
        <f>HYPERLINK("http://codeforces.com/contest/629/problem/B","CF629-D2-B")</f>
        <v>CF629-D2-B</v>
      </c>
      <c r="C167" s="95"/>
      <c r="D167" s="95"/>
      <c r="E167" s="95"/>
      <c r="F167" s="95"/>
      <c r="G167" s="95"/>
      <c r="H167" s="97"/>
      <c r="I167" s="39">
        <f t="shared" si="4"/>
        <v>0</v>
      </c>
      <c r="J167" s="49"/>
      <c r="K167" s="36"/>
      <c r="L167" s="95"/>
      <c r="M167" s="120"/>
    </row>
    <row r="168">
      <c r="A168" s="92" t="s">
        <v>956</v>
      </c>
      <c r="B168" s="269" t="str">
        <f>HYPERLINK("http://codeforces.com/contest/596/problem/B","CF596-D2-B")</f>
        <v>CF596-D2-B</v>
      </c>
      <c r="C168" s="95"/>
      <c r="D168" s="95"/>
      <c r="E168" s="95"/>
      <c r="F168" s="95"/>
      <c r="G168" s="95"/>
      <c r="H168" s="97"/>
      <c r="I168" s="39">
        <f t="shared" si="4"/>
        <v>0</v>
      </c>
      <c r="J168" s="49"/>
      <c r="K168" s="36"/>
      <c r="L168" s="95"/>
      <c r="M168" s="120"/>
    </row>
    <row r="169">
      <c r="A169" s="92" t="s">
        <v>957</v>
      </c>
      <c r="B169" s="269" t="str">
        <f>HYPERLINK("http://codeforces.com/contest/723/problem/B","CF723-D2-B")</f>
        <v>CF723-D2-B</v>
      </c>
      <c r="C169" s="95"/>
      <c r="D169" s="95"/>
      <c r="E169" s="95"/>
      <c r="F169" s="95"/>
      <c r="G169" s="95"/>
      <c r="H169" s="97"/>
      <c r="I169" s="39">
        <f t="shared" si="4"/>
        <v>0</v>
      </c>
      <c r="J169" s="49"/>
      <c r="K169" s="36"/>
      <c r="L169" s="95"/>
      <c r="M169" s="120"/>
    </row>
    <row r="170">
      <c r="A170" s="92" t="s">
        <v>958</v>
      </c>
      <c r="B170" s="269" t="str">
        <f>HYPERLINK("http://codeforces.com/contest/431/problem/B","CF431-D2-B")</f>
        <v>CF431-D2-B</v>
      </c>
      <c r="C170" s="95"/>
      <c r="D170" s="95"/>
      <c r="E170" s="95"/>
      <c r="F170" s="95"/>
      <c r="G170" s="95"/>
      <c r="H170" s="97"/>
      <c r="I170" s="39">
        <f t="shared" si="4"/>
        <v>0</v>
      </c>
      <c r="J170" s="49"/>
      <c r="K170" s="36"/>
      <c r="L170" s="95"/>
      <c r="M170" s="120"/>
    </row>
    <row r="171">
      <c r="A171" s="92" t="s">
        <v>962</v>
      </c>
      <c r="B171" s="269" t="str">
        <f>HYPERLINK("http://codeforces.com/contest/501/problem/B","CF501-D2-B")</f>
        <v>CF501-D2-B</v>
      </c>
      <c r="C171" s="95"/>
      <c r="D171" s="95"/>
      <c r="E171" s="95"/>
      <c r="F171" s="95"/>
      <c r="G171" s="95"/>
      <c r="H171" s="97"/>
      <c r="I171" s="39">
        <f t="shared" si="4"/>
        <v>0</v>
      </c>
      <c r="J171" s="49"/>
      <c r="K171" s="36"/>
      <c r="L171" s="95"/>
      <c r="M171" s="120"/>
    </row>
    <row r="172">
      <c r="A172" s="92" t="s">
        <v>964</v>
      </c>
      <c r="B172" s="269" t="str">
        <f>HYPERLINK("http://codeforces.com/contest/667/problem/B","CF667-D2-B")</f>
        <v>CF667-D2-B</v>
      </c>
      <c r="C172" s="95"/>
      <c r="D172" s="95"/>
      <c r="E172" s="95"/>
      <c r="F172" s="95"/>
      <c r="G172" s="95"/>
      <c r="H172" s="97"/>
      <c r="I172" s="39">
        <f t="shared" si="4"/>
        <v>0</v>
      </c>
      <c r="J172" s="49"/>
      <c r="K172" s="36"/>
      <c r="L172" s="95"/>
      <c r="M172" s="120"/>
    </row>
    <row r="173">
      <c r="A173" s="92" t="s">
        <v>965</v>
      </c>
      <c r="B173" s="269" t="str">
        <f>HYPERLINK("http://codeforces.com/contest/136/problem/B","CF136-D2-B")</f>
        <v>CF136-D2-B</v>
      </c>
      <c r="C173" s="95"/>
      <c r="D173" s="95"/>
      <c r="E173" s="95"/>
      <c r="F173" s="95"/>
      <c r="G173" s="95"/>
      <c r="H173" s="97"/>
      <c r="I173" s="39">
        <f t="shared" si="4"/>
        <v>0</v>
      </c>
      <c r="J173" s="49"/>
      <c r="K173" s="36"/>
      <c r="L173" s="95"/>
      <c r="M173" s="120"/>
    </row>
    <row r="174">
      <c r="A174" s="105" t="s">
        <v>967</v>
      </c>
      <c r="B174" s="107" t="str">
        <f>HYPERLINK("http://codeforces.com/contest/189/problem/B","CF189-D2-B")</f>
        <v>CF189-D2-B</v>
      </c>
      <c r="C174" s="80"/>
      <c r="D174" s="80"/>
      <c r="E174" s="80"/>
      <c r="F174" s="80"/>
      <c r="G174" s="80"/>
      <c r="H174" s="97"/>
      <c r="I174" s="39">
        <f t="shared" si="4"/>
        <v>0</v>
      </c>
      <c r="J174" s="49"/>
      <c r="K174" s="36"/>
      <c r="L174" s="80"/>
      <c r="M174" s="16"/>
    </row>
    <row r="175">
      <c r="A175" s="105" t="s">
        <v>968</v>
      </c>
      <c r="B175" s="107" t="str">
        <f>HYPERLINK("http://codeforces.com/contest/459/problem/B","CF459-D2-B")</f>
        <v>CF459-D2-B</v>
      </c>
      <c r="C175" s="80"/>
      <c r="D175" s="80"/>
      <c r="E175" s="80"/>
      <c r="F175" s="80"/>
      <c r="G175" s="80"/>
      <c r="H175" s="97"/>
      <c r="I175" s="39">
        <f t="shared" si="4"/>
        <v>0</v>
      </c>
      <c r="J175" s="49"/>
      <c r="K175" s="36"/>
      <c r="L175" s="80"/>
      <c r="M175" s="16"/>
    </row>
    <row r="176">
      <c r="A176" s="51"/>
      <c r="C176" s="95"/>
      <c r="D176" s="95"/>
      <c r="E176" s="95"/>
      <c r="F176" s="95"/>
      <c r="G176" s="95"/>
      <c r="H176" s="97"/>
      <c r="I176" s="39">
        <f t="shared" si="4"/>
        <v>0</v>
      </c>
      <c r="J176" s="49"/>
      <c r="K176" s="36"/>
      <c r="L176" s="95"/>
      <c r="M176" s="120"/>
    </row>
    <row r="177">
      <c r="A177" s="92" t="s">
        <v>969</v>
      </c>
      <c r="B177" s="269" t="str">
        <f>HYPERLINK("http://codeforces.com/contest/592/problem/B","CF592-D2-B")</f>
        <v>CF592-D2-B</v>
      </c>
      <c r="C177" s="95"/>
      <c r="D177" s="95"/>
      <c r="E177" s="95"/>
      <c r="F177" s="95"/>
      <c r="G177" s="95"/>
      <c r="H177" s="97"/>
      <c r="I177" s="39">
        <f t="shared" si="4"/>
        <v>0</v>
      </c>
      <c r="J177" s="49"/>
      <c r="K177" s="36"/>
      <c r="L177" s="95"/>
      <c r="M177" s="120"/>
    </row>
    <row r="178">
      <c r="A178" s="92" t="s">
        <v>971</v>
      </c>
      <c r="B178" s="269" t="str">
        <f>HYPERLINK("http://codeforces.com/contest/365/problem/B","CF365-D2-B")</f>
        <v>CF365-D2-B</v>
      </c>
      <c r="C178" s="95"/>
      <c r="D178" s="95"/>
      <c r="E178" s="95"/>
      <c r="F178" s="95"/>
      <c r="G178" s="95"/>
      <c r="H178" s="97"/>
      <c r="I178" s="39">
        <f t="shared" si="4"/>
        <v>0</v>
      </c>
      <c r="J178" s="49"/>
      <c r="K178" s="36"/>
      <c r="L178" s="95"/>
      <c r="M178" s="120"/>
    </row>
    <row r="179">
      <c r="A179" s="92" t="s">
        <v>972</v>
      </c>
      <c r="B179" s="269" t="str">
        <f>HYPERLINK("http://codeforces.com/contest/705/problem/B","CF705-D2-B")</f>
        <v>CF705-D2-B</v>
      </c>
      <c r="C179" s="95"/>
      <c r="D179" s="95"/>
      <c r="E179" s="95"/>
      <c r="F179" s="95"/>
      <c r="G179" s="95"/>
      <c r="H179" s="97"/>
      <c r="I179" s="39">
        <f t="shared" si="4"/>
        <v>0</v>
      </c>
      <c r="J179" s="49"/>
      <c r="K179" s="36"/>
      <c r="L179" s="95"/>
      <c r="M179" s="120"/>
    </row>
    <row r="180">
      <c r="A180" s="92" t="s">
        <v>974</v>
      </c>
      <c r="B180" s="269" t="str">
        <f>HYPERLINK("http://codeforces.com/contest/686/problem/B","CF686-D2-B")</f>
        <v>CF686-D2-B</v>
      </c>
      <c r="C180" s="95"/>
      <c r="D180" s="95"/>
      <c r="E180" s="95"/>
      <c r="F180" s="95"/>
      <c r="G180" s="95"/>
      <c r="H180" s="97"/>
      <c r="I180" s="39">
        <f t="shared" si="4"/>
        <v>0</v>
      </c>
      <c r="J180" s="49"/>
      <c r="K180" s="36"/>
      <c r="L180" s="95"/>
      <c r="M180" s="120"/>
    </row>
    <row r="181">
      <c r="A181" s="92" t="s">
        <v>977</v>
      </c>
      <c r="B181" s="269" t="str">
        <f>HYPERLINK("http://codeforces.com/contest/133/problem/B","CF133-D2-B")</f>
        <v>CF133-D2-B</v>
      </c>
      <c r="C181" s="95"/>
      <c r="D181" s="95"/>
      <c r="E181" s="95"/>
      <c r="F181" s="95"/>
      <c r="G181" s="95"/>
      <c r="H181" s="97"/>
      <c r="I181" s="39">
        <f t="shared" si="4"/>
        <v>0</v>
      </c>
      <c r="J181" s="49"/>
      <c r="K181" s="36"/>
      <c r="L181" s="95"/>
      <c r="M181" s="120"/>
    </row>
    <row r="182">
      <c r="A182" s="92" t="s">
        <v>979</v>
      </c>
      <c r="B182" s="269" t="str">
        <f>HYPERLINK("http://codeforces.com/contest/127/problem/B","CF127-D2-B")</f>
        <v>CF127-D2-B</v>
      </c>
      <c r="C182" s="95"/>
      <c r="D182" s="95"/>
      <c r="E182" s="95"/>
      <c r="F182" s="95"/>
      <c r="G182" s="95"/>
      <c r="H182" s="97"/>
      <c r="I182" s="39">
        <f t="shared" si="4"/>
        <v>0</v>
      </c>
      <c r="J182" s="49"/>
      <c r="K182" s="36"/>
      <c r="L182" s="95"/>
      <c r="M182" s="120"/>
    </row>
    <row r="183">
      <c r="A183" s="92" t="s">
        <v>980</v>
      </c>
      <c r="B183" s="269" t="str">
        <f>HYPERLINK("http://codeforces.com/contest/554/problem/B","CF554-D2-B")</f>
        <v>CF554-D2-B</v>
      </c>
      <c r="C183" s="95"/>
      <c r="D183" s="95"/>
      <c r="E183" s="95"/>
      <c r="F183" s="95"/>
      <c r="G183" s="95"/>
      <c r="H183" s="97"/>
      <c r="I183" s="39">
        <f t="shared" si="4"/>
        <v>0</v>
      </c>
      <c r="J183" s="49"/>
      <c r="K183" s="36"/>
      <c r="L183" s="95"/>
      <c r="M183" s="120"/>
    </row>
    <row r="184">
      <c r="A184" s="92" t="s">
        <v>982</v>
      </c>
      <c r="B184" s="269" t="str">
        <f>HYPERLINK("http://codeforces.com/contest/408/problem/B","CF408-D2-B")</f>
        <v>CF408-D2-B</v>
      </c>
      <c r="C184" s="95"/>
      <c r="D184" s="95"/>
      <c r="E184" s="95"/>
      <c r="F184" s="95"/>
      <c r="G184" s="95"/>
      <c r="H184" s="97"/>
      <c r="I184" s="39">
        <f t="shared" si="4"/>
        <v>0</v>
      </c>
      <c r="J184" s="49"/>
      <c r="K184" s="36"/>
      <c r="L184" s="95"/>
      <c r="M184" s="120"/>
    </row>
    <row r="185">
      <c r="A185" s="92" t="s">
        <v>983</v>
      </c>
      <c r="B185" s="269" t="str">
        <f>HYPERLINK("http://codeforces.com/contest/362/problem/B","CF362-D2-B")</f>
        <v>CF362-D2-B</v>
      </c>
      <c r="C185" s="95"/>
      <c r="D185" s="95"/>
      <c r="E185" s="95"/>
      <c r="F185" s="95"/>
      <c r="G185" s="95"/>
      <c r="H185" s="97"/>
      <c r="I185" s="39">
        <f t="shared" si="4"/>
        <v>0</v>
      </c>
      <c r="J185" s="49"/>
      <c r="K185" s="36"/>
      <c r="L185" s="95"/>
      <c r="M185" s="120"/>
    </row>
    <row r="186">
      <c r="A186" s="92" t="s">
        <v>984</v>
      </c>
      <c r="B186" s="269" t="str">
        <f>HYPERLINK("http://codeforces.com/contest/545/problem/B","CF545-D2-B")</f>
        <v>CF545-D2-B</v>
      </c>
      <c r="C186" s="95"/>
      <c r="D186" s="95"/>
      <c r="E186" s="95"/>
      <c r="F186" s="95"/>
      <c r="G186" s="95"/>
      <c r="H186" s="97"/>
      <c r="I186" s="39">
        <f t="shared" si="4"/>
        <v>0</v>
      </c>
      <c r="J186" s="49"/>
      <c r="K186" s="36"/>
      <c r="L186" s="95"/>
      <c r="M186" s="120"/>
    </row>
    <row r="187">
      <c r="A187" s="105" t="s">
        <v>986</v>
      </c>
      <c r="B187" s="107" t="str">
        <f>HYPERLINK("http://codeforces.com/contest/677/problem/B","CF677-D2-B")</f>
        <v>CF677-D2-B</v>
      </c>
      <c r="C187" s="80"/>
      <c r="D187" s="80"/>
      <c r="E187" s="80"/>
      <c r="F187" s="80"/>
      <c r="G187" s="80"/>
      <c r="H187" s="97"/>
      <c r="I187" s="39">
        <f t="shared" si="4"/>
        <v>0</v>
      </c>
      <c r="J187" s="49"/>
      <c r="K187" s="36"/>
      <c r="L187" s="80"/>
      <c r="M187" s="16"/>
    </row>
    <row r="188">
      <c r="A188" s="105" t="s">
        <v>988</v>
      </c>
      <c r="B188" s="107" t="str">
        <f>HYPERLINK("http://codeforces.com/contest/304/problem/B","CF304-D2-B")</f>
        <v>CF304-D2-B</v>
      </c>
      <c r="C188" s="80"/>
      <c r="D188" s="80"/>
      <c r="E188" s="80"/>
      <c r="F188" s="80"/>
      <c r="G188" s="80"/>
      <c r="H188" s="97"/>
      <c r="I188" s="39">
        <f t="shared" si="4"/>
        <v>0</v>
      </c>
      <c r="J188" s="49"/>
      <c r="K188" s="36"/>
      <c r="L188" s="80"/>
      <c r="M188" s="16"/>
    </row>
    <row r="189">
      <c r="A189" s="105" t="s">
        <v>990</v>
      </c>
      <c r="B189" s="107" t="str">
        <f>HYPERLINK("http://codeforces.com/contest/507/problem/B","CF507-D2-B")</f>
        <v>CF507-D2-B</v>
      </c>
      <c r="C189" s="80"/>
      <c r="D189" s="80"/>
      <c r="E189" s="80"/>
      <c r="F189" s="80"/>
      <c r="G189" s="80"/>
      <c r="H189" s="97"/>
      <c r="I189" s="39">
        <f t="shared" si="4"/>
        <v>0</v>
      </c>
      <c r="J189" s="49"/>
      <c r="K189" s="36"/>
      <c r="L189" s="80"/>
      <c r="M189" s="16"/>
    </row>
    <row r="190">
      <c r="A190" s="105" t="s">
        <v>991</v>
      </c>
      <c r="B190" s="107" t="str">
        <f>HYPERLINK("http://codeforces.com/contest/289/problem/B","CF289-D2-B")</f>
        <v>CF289-D2-B</v>
      </c>
      <c r="C190" s="80"/>
      <c r="D190" s="80"/>
      <c r="E190" s="80"/>
      <c r="F190" s="80"/>
      <c r="G190" s="80"/>
      <c r="H190" s="97"/>
      <c r="I190" s="39">
        <f t="shared" si="4"/>
        <v>0</v>
      </c>
      <c r="J190" s="49"/>
      <c r="K190" s="36"/>
      <c r="L190" s="80"/>
      <c r="M190" s="16"/>
    </row>
    <row r="191">
      <c r="A191" s="51"/>
      <c r="C191" s="95"/>
      <c r="D191" s="95"/>
      <c r="E191" s="95"/>
      <c r="F191" s="95"/>
      <c r="G191" s="95"/>
      <c r="H191" s="97"/>
      <c r="I191" s="39">
        <f t="shared" si="4"/>
        <v>0</v>
      </c>
      <c r="J191" s="49"/>
      <c r="K191" s="36"/>
      <c r="L191" s="95"/>
      <c r="M191" s="120"/>
    </row>
    <row r="192">
      <c r="A192" s="92" t="s">
        <v>994</v>
      </c>
      <c r="B192" s="269" t="str">
        <f>HYPERLINK("http://codeforces.com/contest/387/problem/B","CF387-D2-B")</f>
        <v>CF387-D2-B</v>
      </c>
      <c r="C192" s="95"/>
      <c r="D192" s="95"/>
      <c r="E192" s="95"/>
      <c r="F192" s="95"/>
      <c r="G192" s="95"/>
      <c r="H192" s="97"/>
      <c r="I192" s="39">
        <f t="shared" si="4"/>
        <v>0</v>
      </c>
      <c r="J192" s="49"/>
      <c r="K192" s="36"/>
      <c r="L192" s="95"/>
      <c r="M192" s="120"/>
    </row>
    <row r="193">
      <c r="A193" s="92" t="s">
        <v>996</v>
      </c>
      <c r="B193" s="269" t="str">
        <f>HYPERLINK("http://codeforces.com/contest/740/problem/B","CF740-D2-B")</f>
        <v>CF740-D2-B</v>
      </c>
      <c r="C193" s="95"/>
      <c r="D193" s="95"/>
      <c r="E193" s="95"/>
      <c r="F193" s="95"/>
      <c r="G193" s="95"/>
      <c r="H193" s="97"/>
      <c r="I193" s="39">
        <f t="shared" si="4"/>
        <v>0</v>
      </c>
      <c r="J193" s="49"/>
      <c r="K193" s="36"/>
      <c r="L193" s="95"/>
      <c r="M193" s="120"/>
    </row>
    <row r="194">
      <c r="A194" s="92" t="s">
        <v>998</v>
      </c>
      <c r="B194" s="269" t="str">
        <f>HYPERLINK("http://codeforces.com/contest/735/problem/B","CF735-D2-B")</f>
        <v>CF735-D2-B</v>
      </c>
      <c r="C194" s="95"/>
      <c r="D194" s="95"/>
      <c r="E194" s="95"/>
      <c r="F194" s="95"/>
      <c r="G194" s="95"/>
      <c r="H194" s="97"/>
      <c r="I194" s="39">
        <f t="shared" si="4"/>
        <v>0</v>
      </c>
      <c r="J194" s="49"/>
      <c r="K194" s="36"/>
      <c r="L194" s="95"/>
      <c r="M194" s="120"/>
    </row>
    <row r="195">
      <c r="A195" s="92" t="s">
        <v>999</v>
      </c>
      <c r="B195" s="269" t="str">
        <f>HYPERLINK("http://codeforces.com/contest/104/problem/B","CF104-D2-B")</f>
        <v>CF104-D2-B</v>
      </c>
      <c r="C195" s="95"/>
      <c r="D195" s="95"/>
      <c r="E195" s="95"/>
      <c r="F195" s="95"/>
      <c r="G195" s="95"/>
      <c r="H195" s="97"/>
      <c r="I195" s="39">
        <f t="shared" si="4"/>
        <v>0</v>
      </c>
      <c r="J195" s="49"/>
      <c r="K195" s="36"/>
      <c r="L195" s="95"/>
      <c r="M195" s="120"/>
    </row>
    <row r="196">
      <c r="A196" s="92" t="s">
        <v>1000</v>
      </c>
      <c r="B196" s="269" t="str">
        <f>HYPERLINK("http://codeforces.com/contest/701/problem/B","CF701-D2-B")</f>
        <v>CF701-D2-B</v>
      </c>
      <c r="C196" s="95"/>
      <c r="D196" s="95"/>
      <c r="E196" s="95"/>
      <c r="F196" s="95"/>
      <c r="G196" s="95"/>
      <c r="H196" s="97"/>
      <c r="I196" s="39">
        <f t="shared" si="4"/>
        <v>0</v>
      </c>
      <c r="J196" s="49"/>
      <c r="K196" s="36"/>
      <c r="L196" s="95"/>
      <c r="M196" s="120"/>
    </row>
    <row r="197">
      <c r="A197" s="92" t="s">
        <v>1003</v>
      </c>
      <c r="B197" s="269" t="str">
        <f>HYPERLINK("http://codeforces.com/contest/552/problem/B","CF552-D2-B")</f>
        <v>CF552-D2-B</v>
      </c>
      <c r="C197" s="95"/>
      <c r="D197" s="95"/>
      <c r="E197" s="95"/>
      <c r="F197" s="95"/>
      <c r="G197" s="95"/>
      <c r="H197" s="97"/>
      <c r="I197" s="39">
        <f t="shared" si="4"/>
        <v>0</v>
      </c>
      <c r="J197" s="49"/>
      <c r="K197" s="36"/>
      <c r="L197" s="95"/>
      <c r="M197" s="120"/>
    </row>
    <row r="198">
      <c r="A198" s="92" t="s">
        <v>1005</v>
      </c>
      <c r="B198" s="269" t="str">
        <f>HYPERLINK("http://codeforces.com/contest/474/problem/B","CF474-D2-B")</f>
        <v>CF474-D2-B</v>
      </c>
      <c r="C198" s="95"/>
      <c r="D198" s="95"/>
      <c r="E198" s="95"/>
      <c r="F198" s="95"/>
      <c r="G198" s="95"/>
      <c r="H198" s="97"/>
      <c r="I198" s="39">
        <f t="shared" si="4"/>
        <v>0</v>
      </c>
      <c r="J198" s="49"/>
      <c r="K198" s="36"/>
      <c r="L198" s="95"/>
      <c r="M198" s="120"/>
    </row>
    <row r="199">
      <c r="A199" s="92" t="s">
        <v>1007</v>
      </c>
      <c r="B199" s="269" t="str">
        <f>HYPERLINK("http://codeforces.com/contest/59/problem/B","CF59-D2-B")</f>
        <v>CF59-D2-B</v>
      </c>
      <c r="C199" s="95"/>
      <c r="D199" s="95"/>
      <c r="E199" s="95"/>
      <c r="F199" s="95"/>
      <c r="G199" s="95"/>
      <c r="H199" s="97"/>
      <c r="I199" s="39">
        <f t="shared" si="4"/>
        <v>0</v>
      </c>
      <c r="J199" s="49"/>
      <c r="K199" s="36"/>
      <c r="L199" s="95"/>
      <c r="M199" s="120"/>
    </row>
    <row r="200">
      <c r="A200" s="51"/>
      <c r="C200" s="95"/>
      <c r="D200" s="95"/>
      <c r="E200" s="95"/>
      <c r="F200" s="95"/>
      <c r="G200" s="95"/>
      <c r="H200" s="97"/>
      <c r="I200" s="39">
        <f t="shared" si="4"/>
        <v>0</v>
      </c>
      <c r="J200" s="49"/>
      <c r="K200" s="36"/>
      <c r="L200" s="95"/>
      <c r="M200" s="120"/>
    </row>
    <row r="201">
      <c r="A201" s="92" t="s">
        <v>1010</v>
      </c>
      <c r="B201" s="269" t="str">
        <f>HYPERLINK("http://codeforces.com/contest/192/problem/B","CF192-D2-B")</f>
        <v>CF192-D2-B</v>
      </c>
      <c r="C201" s="95"/>
      <c r="D201" s="95"/>
      <c r="E201" s="95"/>
      <c r="F201" s="95"/>
      <c r="G201" s="95"/>
      <c r="H201" s="97"/>
      <c r="I201" s="39">
        <f t="shared" si="4"/>
        <v>0</v>
      </c>
      <c r="J201" s="49"/>
      <c r="K201" s="36"/>
      <c r="L201" s="95"/>
      <c r="M201" s="120"/>
    </row>
    <row r="202">
      <c r="A202" s="92" t="s">
        <v>1011</v>
      </c>
      <c r="B202" s="269" t="str">
        <f>HYPERLINK("http://codeforces.com/contest/366/problem/B","CF366-D2-B")</f>
        <v>CF366-D2-B</v>
      </c>
      <c r="C202" s="95"/>
      <c r="D202" s="95"/>
      <c r="E202" s="95"/>
      <c r="F202" s="95"/>
      <c r="G202" s="95"/>
      <c r="H202" s="97"/>
      <c r="I202" s="39">
        <f t="shared" si="4"/>
        <v>0</v>
      </c>
      <c r="J202" s="49"/>
      <c r="K202" s="36"/>
      <c r="L202" s="95"/>
      <c r="M202" s="120"/>
    </row>
    <row r="203">
      <c r="A203" s="92" t="s">
        <v>1013</v>
      </c>
      <c r="B203" s="269" t="str">
        <f>HYPERLINK("http://codeforces.com/contest/298/problem/B","CF298-D2-B")</f>
        <v>CF298-D2-B</v>
      </c>
      <c r="C203" s="95"/>
      <c r="D203" s="95"/>
      <c r="E203" s="95"/>
      <c r="F203" s="95"/>
      <c r="G203" s="95"/>
      <c r="H203" s="97"/>
      <c r="I203" s="39">
        <f t="shared" si="4"/>
        <v>0</v>
      </c>
      <c r="J203" s="49"/>
      <c r="K203" s="36"/>
      <c r="L203" s="95"/>
      <c r="M203" s="120"/>
    </row>
    <row r="204">
      <c r="A204" s="92" t="s">
        <v>1016</v>
      </c>
      <c r="B204" s="269" t="str">
        <f>HYPERLINK("http://codeforces.com/contest/389/problem/B","CF389-D2-B")</f>
        <v>CF389-D2-B</v>
      </c>
      <c r="C204" s="95"/>
      <c r="D204" s="95"/>
      <c r="E204" s="95"/>
      <c r="F204" s="95"/>
      <c r="G204" s="95"/>
      <c r="H204" s="97"/>
      <c r="I204" s="39">
        <f t="shared" si="4"/>
        <v>0</v>
      </c>
      <c r="J204" s="49"/>
      <c r="K204" s="36"/>
      <c r="L204" s="95"/>
      <c r="M204" s="120"/>
    </row>
    <row r="205">
      <c r="A205" s="92" t="s">
        <v>1017</v>
      </c>
      <c r="B205" s="269" t="str">
        <f>HYPERLINK("http://codeforces.com/contest/591/problem/B","CF591-D2-B")</f>
        <v>CF591-D2-B</v>
      </c>
      <c r="C205" s="95"/>
      <c r="D205" s="95"/>
      <c r="E205" s="95"/>
      <c r="F205" s="95"/>
      <c r="G205" s="95"/>
      <c r="H205" s="97"/>
      <c r="I205" s="39">
        <f t="shared" si="4"/>
        <v>0</v>
      </c>
      <c r="J205" s="49"/>
      <c r="K205" s="36"/>
      <c r="L205" s="95"/>
      <c r="M205" s="120"/>
    </row>
    <row r="206">
      <c r="A206" s="92" t="s">
        <v>1018</v>
      </c>
      <c r="B206" s="269" t="str">
        <f>HYPERLINK("http://codeforces.com/contest/246/problem/B","CF246-D2-B")</f>
        <v>CF246-D2-B</v>
      </c>
      <c r="C206" s="95"/>
      <c r="D206" s="95"/>
      <c r="E206" s="95"/>
      <c r="F206" s="95"/>
      <c r="G206" s="95"/>
      <c r="H206" s="97"/>
      <c r="I206" s="39">
        <f t="shared" si="4"/>
        <v>0</v>
      </c>
      <c r="J206" s="49"/>
      <c r="K206" s="36"/>
      <c r="L206" s="95"/>
      <c r="M206" s="120"/>
    </row>
    <row r="207">
      <c r="A207" s="92" t="s">
        <v>1020</v>
      </c>
      <c r="B207" s="269" t="str">
        <f>HYPERLINK("http://codeforces.com/contest/682/problem/B","CF682-D2-B")</f>
        <v>CF682-D2-B</v>
      </c>
      <c r="C207" s="95"/>
      <c r="D207" s="95"/>
      <c r="E207" s="95"/>
      <c r="F207" s="95"/>
      <c r="G207" s="95"/>
      <c r="H207" s="97"/>
      <c r="I207" s="39">
        <f t="shared" si="4"/>
        <v>0</v>
      </c>
      <c r="J207" s="49"/>
      <c r="K207" s="36"/>
      <c r="L207" s="95"/>
      <c r="M207" s="120"/>
    </row>
    <row r="208">
      <c r="A208" s="92" t="s">
        <v>701</v>
      </c>
      <c r="B208" s="269" t="str">
        <f>HYPERLINK("http://codeforces.com/contest/58/problem/B","CF58-D2-B")</f>
        <v>CF58-D2-B</v>
      </c>
      <c r="C208" s="95"/>
      <c r="D208" s="95"/>
      <c r="E208" s="95"/>
      <c r="F208" s="95"/>
      <c r="G208" s="95"/>
      <c r="H208" s="97"/>
      <c r="I208" s="39">
        <f t="shared" si="4"/>
        <v>0</v>
      </c>
      <c r="J208" s="49"/>
      <c r="K208" s="36"/>
      <c r="L208" s="95"/>
      <c r="M208" s="120"/>
    </row>
    <row r="209">
      <c r="A209" s="92" t="s">
        <v>1022</v>
      </c>
      <c r="B209" s="269" t="str">
        <f>HYPERLINK("http://codeforces.com/contest/567/problem/B","CF567-D2-B")</f>
        <v>CF567-D2-B</v>
      </c>
      <c r="C209" s="95"/>
      <c r="D209" s="95"/>
      <c r="E209" s="95"/>
      <c r="F209" s="95"/>
      <c r="G209" s="95"/>
      <c r="H209" s="97"/>
      <c r="I209" s="39">
        <f t="shared" si="4"/>
        <v>0</v>
      </c>
      <c r="J209" s="49"/>
      <c r="K209" s="36"/>
      <c r="L209" s="95"/>
      <c r="M209" s="120"/>
    </row>
    <row r="210">
      <c r="A210" s="92" t="s">
        <v>1024</v>
      </c>
      <c r="B210" s="269" t="str">
        <f>HYPERLINK("http://codeforces.com/contest/416/problem/B","CF416-D2-B")</f>
        <v>CF416-D2-B</v>
      </c>
      <c r="C210" s="95"/>
      <c r="D210" s="95"/>
      <c r="E210" s="95"/>
      <c r="F210" s="95"/>
      <c r="G210" s="95"/>
      <c r="H210" s="97"/>
      <c r="I210" s="39">
        <f t="shared" si="4"/>
        <v>0</v>
      </c>
      <c r="J210" s="49"/>
      <c r="K210" s="36"/>
      <c r="L210" s="95"/>
      <c r="M210" s="120"/>
    </row>
    <row r="211">
      <c r="A211" s="51"/>
      <c r="C211" s="95"/>
      <c r="D211" s="95"/>
      <c r="E211" s="95"/>
      <c r="F211" s="95"/>
      <c r="G211" s="95"/>
      <c r="H211" s="97"/>
      <c r="I211" s="39">
        <f t="shared" si="4"/>
        <v>0</v>
      </c>
      <c r="J211" s="49"/>
      <c r="K211" s="36"/>
      <c r="L211" s="95"/>
      <c r="M211" s="120"/>
    </row>
    <row r="212">
      <c r="A212" s="92" t="s">
        <v>1025</v>
      </c>
      <c r="B212" s="269" t="str">
        <f>HYPERLINK("http://codeforces.com/contest/489/problem/B","CF489-D2-B")</f>
        <v>CF489-D2-B</v>
      </c>
      <c r="C212" s="95"/>
      <c r="D212" s="95"/>
      <c r="E212" s="95"/>
      <c r="F212" s="95"/>
      <c r="G212" s="95"/>
      <c r="H212" s="97"/>
      <c r="I212" s="39">
        <f t="shared" si="4"/>
        <v>0</v>
      </c>
      <c r="J212" s="49"/>
      <c r="K212" s="36"/>
      <c r="L212" s="95"/>
      <c r="M212" s="120"/>
    </row>
    <row r="213">
      <c r="A213" s="92" t="s">
        <v>1027</v>
      </c>
      <c r="B213" s="269" t="str">
        <f>HYPERLINK("http://codeforces.com/contest/478/problem/B","CF478-D2-B")</f>
        <v>CF478-D2-B</v>
      </c>
      <c r="C213" s="95"/>
      <c r="D213" s="95"/>
      <c r="E213" s="95"/>
      <c r="F213" s="95"/>
      <c r="G213" s="95"/>
      <c r="H213" s="97"/>
      <c r="I213" s="39">
        <f t="shared" si="4"/>
        <v>0</v>
      </c>
      <c r="J213" s="49"/>
      <c r="K213" s="36"/>
      <c r="L213" s="95"/>
      <c r="M213" s="120"/>
    </row>
    <row r="214">
      <c r="A214" s="92" t="s">
        <v>1028</v>
      </c>
      <c r="B214" s="269" t="str">
        <f>HYPERLINK("http://codeforces.com/contest/94/problem/B","CF94-D2-B")</f>
        <v>CF94-D2-B</v>
      </c>
      <c r="C214" s="95"/>
      <c r="D214" s="95"/>
      <c r="E214" s="95"/>
      <c r="F214" s="95"/>
      <c r="G214" s="95"/>
      <c r="H214" s="97"/>
      <c r="I214" s="39">
        <f t="shared" si="4"/>
        <v>0</v>
      </c>
      <c r="J214" s="49"/>
      <c r="K214" s="36"/>
      <c r="L214" s="95"/>
      <c r="M214" s="120"/>
    </row>
    <row r="215">
      <c r="A215" s="92" t="s">
        <v>1030</v>
      </c>
      <c r="B215" s="269" t="str">
        <f>HYPERLINK("http://codeforces.com/contest/625/problem/B","CF625-D2-B")</f>
        <v>CF625-D2-B</v>
      </c>
      <c r="C215" s="95"/>
      <c r="D215" s="95"/>
      <c r="E215" s="95"/>
      <c r="F215" s="95"/>
      <c r="G215" s="95"/>
      <c r="H215" s="97"/>
      <c r="I215" s="39">
        <f t="shared" si="4"/>
        <v>0</v>
      </c>
      <c r="J215" s="49"/>
      <c r="K215" s="36"/>
      <c r="L215" s="95"/>
      <c r="M215" s="120"/>
    </row>
    <row r="216">
      <c r="A216" s="92" t="s">
        <v>1032</v>
      </c>
      <c r="B216" s="269" t="str">
        <f>HYPERLINK("http://codeforces.com/contest/330/problem/B","CF330-D2-B")</f>
        <v>CF330-D2-B</v>
      </c>
      <c r="C216" s="95"/>
      <c r="D216" s="95"/>
      <c r="E216" s="95"/>
      <c r="F216" s="95"/>
      <c r="G216" s="95"/>
      <c r="H216" s="97"/>
      <c r="I216" s="39">
        <f t="shared" si="4"/>
        <v>0</v>
      </c>
      <c r="J216" s="49"/>
      <c r="K216" s="36"/>
      <c r="L216" s="95"/>
      <c r="M216" s="120"/>
    </row>
    <row r="217">
      <c r="A217" s="92" t="s">
        <v>1033</v>
      </c>
      <c r="B217" s="269" t="str">
        <f>HYPERLINK("http://codeforces.com/contest/92/problem/B","CF92-D2-B")</f>
        <v>CF92-D2-B</v>
      </c>
      <c r="C217" s="95"/>
      <c r="D217" s="95"/>
      <c r="E217" s="95"/>
      <c r="F217" s="95"/>
      <c r="G217" s="95"/>
      <c r="H217" s="97"/>
      <c r="I217" s="39">
        <f t="shared" si="4"/>
        <v>0</v>
      </c>
      <c r="J217" s="49"/>
      <c r="K217" s="36"/>
      <c r="L217" s="95"/>
      <c r="M217" s="120"/>
    </row>
    <row r="218">
      <c r="A218" s="92" t="s">
        <v>1034</v>
      </c>
      <c r="B218" s="269" t="str">
        <f>HYPERLINK("http://codeforces.com/contest/4/problem/B","CF4-D2-B")</f>
        <v>CF4-D2-B</v>
      </c>
      <c r="C218" s="95"/>
      <c r="D218" s="95"/>
      <c r="E218" s="95"/>
      <c r="F218" s="95"/>
      <c r="G218" s="95"/>
      <c r="H218" s="97"/>
      <c r="I218" s="39">
        <f t="shared" si="4"/>
        <v>0</v>
      </c>
      <c r="J218" s="49"/>
      <c r="K218" s="36"/>
      <c r="L218" s="95"/>
      <c r="M218" s="120"/>
    </row>
    <row r="219">
      <c r="A219" s="92" t="s">
        <v>1035</v>
      </c>
      <c r="B219" s="269" t="str">
        <f>HYPERLINK("http://codeforces.com/contest/9/problem/B","CF9-D2-B")</f>
        <v>CF9-D2-B</v>
      </c>
      <c r="C219" s="95"/>
      <c r="D219" s="95"/>
      <c r="E219" s="95"/>
      <c r="F219" s="95"/>
      <c r="G219" s="95"/>
      <c r="H219" s="97"/>
      <c r="I219" s="39">
        <f t="shared" si="4"/>
        <v>0</v>
      </c>
      <c r="J219" s="49"/>
      <c r="K219" s="36"/>
      <c r="L219" s="95"/>
      <c r="M219" s="120"/>
    </row>
    <row r="220">
      <c r="A220" s="92" t="s">
        <v>1038</v>
      </c>
      <c r="B220" s="269" t="str">
        <f>HYPERLINK("http://codeforces.com/contest/508/problem/B","CF508-D2-B")</f>
        <v>CF508-D2-B</v>
      </c>
      <c r="C220" s="95"/>
      <c r="D220" s="95"/>
      <c r="E220" s="95"/>
      <c r="F220" s="95"/>
      <c r="G220" s="95"/>
      <c r="H220" s="97"/>
      <c r="I220" s="39">
        <f t="shared" si="4"/>
        <v>0</v>
      </c>
      <c r="J220" s="49"/>
      <c r="K220" s="36"/>
      <c r="L220" s="95"/>
      <c r="M220" s="120"/>
    </row>
    <row r="221">
      <c r="A221" s="92" t="s">
        <v>1040</v>
      </c>
      <c r="B221" s="269" t="str">
        <f>HYPERLINK("http://codeforces.com/contest/151/problem/B","CF151-D2-B")</f>
        <v>CF151-D2-B</v>
      </c>
      <c r="C221" s="95"/>
      <c r="D221" s="95"/>
      <c r="E221" s="95"/>
      <c r="F221" s="95"/>
      <c r="G221" s="95"/>
      <c r="H221" s="97"/>
      <c r="I221" s="39">
        <f t="shared" si="4"/>
        <v>0</v>
      </c>
      <c r="J221" s="49"/>
      <c r="K221" s="36"/>
      <c r="L221" s="95"/>
      <c r="M221" s="120"/>
    </row>
  </sheetData>
  <mergeCells count="2">
    <mergeCell ref="D141:G141"/>
    <mergeCell ref="J141:M141"/>
  </mergeCells>
  <conditionalFormatting sqref="K3:K139 K143:K221">
    <cfRule type="cellIs" dxfId="0" priority="1" operator="equal">
      <formula>"No"</formula>
    </cfRule>
  </conditionalFormatting>
  <conditionalFormatting sqref="K3:K139 K143:K221">
    <cfRule type="cellIs" dxfId="0" priority="2" operator="equal">
      <formula>"no"</formula>
    </cfRule>
  </conditionalFormatting>
  <conditionalFormatting sqref="K3:K139 K143:K221">
    <cfRule type="cellIs" dxfId="0" priority="3" operator="equal">
      <formula>"NO"</formula>
    </cfRule>
  </conditionalFormatting>
  <conditionalFormatting sqref="C3:C221 D138 C243:C294">
    <cfRule type="cellIs" dxfId="1" priority="4" operator="equal">
      <formula>"AC"</formula>
    </cfRule>
  </conditionalFormatting>
  <conditionalFormatting sqref="C3:C139 D138 C143:C221">
    <cfRule type="containsText" dxfId="2" priority="5" operator="containsText" text="WA">
      <formula>NOT(ISERROR(SEARCH(("WA"),(C3))))</formula>
    </cfRule>
  </conditionalFormatting>
  <conditionalFormatting sqref="C15:C221 D138 C243:C294">
    <cfRule type="containsText" dxfId="2" priority="6" operator="containsText" text="WA">
      <formula>NOT(ISERROR(SEARCH(("WA"),(C15))))</formula>
    </cfRule>
  </conditionalFormatting>
  <conditionalFormatting sqref="C3:C139 D138 C143:C221">
    <cfRule type="containsText" dxfId="3" priority="7" operator="containsText" text="TLE">
      <formula>NOT(ISERROR(SEARCH(("TLE"),(C3))))</formula>
    </cfRule>
  </conditionalFormatting>
  <conditionalFormatting sqref="C15:C221 D138 C243:C294">
    <cfRule type="containsText" dxfId="3" priority="8" operator="containsText" text="TLE">
      <formula>NOT(ISERROR(SEARCH(("TLE"),(C15))))</formula>
    </cfRule>
  </conditionalFormatting>
  <conditionalFormatting sqref="C3:C139 D138 C143:C221">
    <cfRule type="containsText" dxfId="4" priority="9" operator="containsText" text="RTE">
      <formula>NOT(ISERROR(SEARCH(("RTE"),(C3))))</formula>
    </cfRule>
  </conditionalFormatting>
  <conditionalFormatting sqref="C15:C221 D138 C243:C294">
    <cfRule type="containsText" dxfId="4" priority="10" operator="containsText" text="RTE">
      <formula>NOT(ISERROR(SEARCH(("RTE"),(C15))))</formula>
    </cfRule>
  </conditionalFormatting>
  <conditionalFormatting sqref="C3:C139 D138 C143:C221">
    <cfRule type="containsText" dxfId="5" priority="11" operator="containsText" text="CS">
      <formula>NOT(ISERROR(SEARCH(("CS"),(C3))))</formula>
    </cfRule>
  </conditionalFormatting>
  <conditionalFormatting sqref="C15:C221 D138 C243:C294">
    <cfRule type="containsText" dxfId="5" priority="12" operator="containsText" text="CS">
      <formula>NOT(ISERROR(SEARCH(("CS"),(C15))))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69" t="s">
        <v>0</v>
      </c>
      <c r="B1" s="6" t="s">
        <v>3</v>
      </c>
      <c r="C1" s="8" t="s">
        <v>9</v>
      </c>
      <c r="D1" s="9" t="s">
        <v>10</v>
      </c>
      <c r="E1" s="9" t="s">
        <v>11</v>
      </c>
      <c r="F1" s="8" t="s">
        <v>12</v>
      </c>
      <c r="G1" s="9" t="s">
        <v>13</v>
      </c>
      <c r="H1" s="9" t="s">
        <v>14</v>
      </c>
      <c r="I1" s="9" t="s">
        <v>15</v>
      </c>
      <c r="J1" s="8" t="s">
        <v>16</v>
      </c>
      <c r="K1" s="8" t="s">
        <v>17</v>
      </c>
      <c r="L1" s="8" t="s">
        <v>18</v>
      </c>
      <c r="M1" s="11" t="s">
        <v>19</v>
      </c>
    </row>
    <row r="2">
      <c r="A2" s="74"/>
      <c r="B2" s="50" t="s">
        <v>30</v>
      </c>
      <c r="C2" s="18">
        <f>countif(C25:C10548, "AC")</f>
        <v>0</v>
      </c>
      <c r="D2" s="21">
        <f>ROUND(SUMPRODUCT(D25:D10548,INT(EQ(C25:C10548, "AC")))/MAX(1, C2),1)</f>
        <v>0</v>
      </c>
      <c r="E2" s="21">
        <f>ROUND(SUMPRODUCT(E25:E10570,INT(EQ(C25:C10570, "AC")))/MAX(1, C2))</f>
        <v>0</v>
      </c>
      <c r="F2" s="21">
        <f>ROUND(SUMPRODUCT(F25:F10573,INT(EQ(C25:C10573, "AC")))/MAX(1, C2))</f>
        <v>0</v>
      </c>
      <c r="G2" s="21">
        <f>ROUND(SUMPRODUCT(G25:G10573,INT(EQ(C25:C10573, "AC")))/MAX(1, C2))</f>
        <v>0</v>
      </c>
      <c r="H2" s="21">
        <f>ROUND(SUMPRODUCT(H25:H10573,INT(EQ(C25:C10573, "AC")))/MAX(1, C2))</f>
        <v>0</v>
      </c>
      <c r="I2" s="21">
        <f>ROUND(SUMPRODUCT(I25:I10545,INT(EQ(C25:C10545, "AC")))/MAX(1, C2))</f>
        <v>0</v>
      </c>
      <c r="J2" s="21">
        <f>ROUND(SUMPRODUCT(J25:J10543,INT(EQ(C25:C10543, "AC")))/MAX(1, C2),1)</f>
        <v>0</v>
      </c>
      <c r="K2" s="21">
        <f>SUMPRODUCT(EQ(K25:K10548, "YES"),INT(EQ(C25:C10573, "AC")))</f>
        <v>0</v>
      </c>
      <c r="L2" s="30">
        <f>IFERROR(__xludf.DUMMYFUNCTION("COUNTA(FILTER(C25:C10040, NOT(REGEXMATCH(C25:C10040, ""AC""))))"),0.0)</f>
        <v>0</v>
      </c>
      <c r="M2" s="32">
        <f>IFERROR(__xludf.DUMMYFUNCTION("COUNTA(FILTER(C25:C10034, NOT(REGEXMATCH(C25:C10034, ""AC""))))"),0.0)</f>
        <v>0</v>
      </c>
    </row>
    <row r="3">
      <c r="A3" s="105" t="s">
        <v>710</v>
      </c>
      <c r="B3" s="114" t="str">
        <f>HYPERLINK("http://codeforces.com/contest/71/problem/D","CF71-D2-D")</f>
        <v>CF71-D2-D</v>
      </c>
      <c r="C3" s="80"/>
      <c r="D3" s="226"/>
      <c r="E3" s="226"/>
      <c r="F3" s="80"/>
      <c r="G3" s="80"/>
      <c r="H3" s="80"/>
      <c r="I3" s="140">
        <f t="shared" ref="I3:I163" si="1">SUM(E3:H3)</f>
        <v>0</v>
      </c>
      <c r="J3" s="16"/>
      <c r="K3" s="80"/>
      <c r="L3" s="80"/>
      <c r="M3" s="80"/>
    </row>
    <row r="4">
      <c r="A4" s="105" t="s">
        <v>715</v>
      </c>
      <c r="B4" s="145" t="str">
        <f>HYPERLINK("http://codeforces.com/contest/63/problem/D","CF63-D2-D")</f>
        <v>CF63-D2-D</v>
      </c>
      <c r="C4" s="80"/>
      <c r="D4" s="226"/>
      <c r="E4" s="226"/>
      <c r="F4" s="80"/>
      <c r="G4" s="80"/>
      <c r="H4" s="80"/>
      <c r="I4" s="140">
        <f t="shared" si="1"/>
        <v>0</v>
      </c>
      <c r="J4" s="16"/>
      <c r="K4" s="80"/>
      <c r="L4" s="80"/>
      <c r="M4" s="80"/>
    </row>
    <row r="5">
      <c r="A5" s="105" t="s">
        <v>716</v>
      </c>
      <c r="B5" s="145" t="str">
        <f>HYPERLINK("http://codeforces.com/contest/474/problem/D","CF474-D2-D")</f>
        <v>CF474-D2-D</v>
      </c>
      <c r="C5" s="80"/>
      <c r="D5" s="226"/>
      <c r="E5" s="226"/>
      <c r="F5" s="80"/>
      <c r="G5" s="80"/>
      <c r="H5" s="80"/>
      <c r="I5" s="140">
        <f t="shared" si="1"/>
        <v>0</v>
      </c>
      <c r="J5" s="111"/>
      <c r="K5" s="112"/>
      <c r="L5" s="80"/>
      <c r="M5" s="114" t="str">
        <f>HYPERLINK("https://www.youtube.com/watch?v=uRCruqJOQXw","Video Solution - Solver to be (Java)")</f>
        <v>Video Solution - Solver to be (Java)</v>
      </c>
    </row>
    <row r="6">
      <c r="A6" s="105" t="s">
        <v>720</v>
      </c>
      <c r="B6" s="145" t="str">
        <f>HYPERLINK("http://codeforces.com/contest/400/problem/D","CF400-D2-D")</f>
        <v>CF400-D2-D</v>
      </c>
      <c r="C6" s="80"/>
      <c r="D6" s="226"/>
      <c r="E6" s="226"/>
      <c r="F6" s="80"/>
      <c r="G6" s="80"/>
      <c r="H6" s="80"/>
      <c r="I6" s="140">
        <f t="shared" si="1"/>
        <v>0</v>
      </c>
      <c r="J6" s="111"/>
      <c r="K6" s="112"/>
      <c r="L6" s="80"/>
      <c r="M6" s="105"/>
    </row>
    <row r="7">
      <c r="A7" s="105"/>
      <c r="B7" s="145" t="str">
        <f>HYPERLINK("http://codeforces.com/contest/1043/problem/C","CF1043-D12-C")</f>
        <v>CF1043-D12-C</v>
      </c>
      <c r="C7" s="80"/>
      <c r="D7" s="226"/>
      <c r="E7" s="226"/>
      <c r="F7" s="80"/>
      <c r="G7" s="80"/>
      <c r="H7" s="80"/>
      <c r="I7" s="140">
        <f t="shared" si="1"/>
        <v>0</v>
      </c>
      <c r="J7" s="111"/>
      <c r="K7" s="112"/>
      <c r="L7" s="80"/>
      <c r="M7" s="105"/>
    </row>
    <row r="8">
      <c r="A8" s="105"/>
      <c r="B8" s="145" t="str">
        <f>HYPERLINK("https://codeforces.com/contest/1033/problem/C","CF1033-D12-C")</f>
        <v>CF1033-D12-C</v>
      </c>
      <c r="C8" s="80"/>
      <c r="D8" s="226"/>
      <c r="E8" s="226"/>
      <c r="F8" s="80"/>
      <c r="G8" s="80"/>
      <c r="H8" s="80"/>
      <c r="I8" s="140">
        <f t="shared" si="1"/>
        <v>0</v>
      </c>
      <c r="J8" s="111"/>
      <c r="K8" s="112"/>
      <c r="L8" s="80"/>
      <c r="M8" s="105"/>
    </row>
    <row r="9">
      <c r="A9" s="105"/>
      <c r="B9" s="145" t="str">
        <f>HYPERLINK("https://codeforces.com/contest/1066/problem/E","CF1066-D3-E")</f>
        <v>CF1066-D3-E</v>
      </c>
      <c r="C9" s="80"/>
      <c r="D9" s="226"/>
      <c r="E9" s="226"/>
      <c r="F9" s="80"/>
      <c r="G9" s="80"/>
      <c r="H9" s="80"/>
      <c r="I9" s="140">
        <f t="shared" si="1"/>
        <v>0</v>
      </c>
      <c r="J9" s="111"/>
      <c r="K9" s="112"/>
      <c r="L9" s="80"/>
      <c r="M9" s="105"/>
    </row>
    <row r="10">
      <c r="A10" s="105"/>
      <c r="B10" s="145" t="str">
        <f>HYPERLINK("http://codeforces.com/contest/534/problem/D","CF534-D2-D")</f>
        <v>CF534-D2-D</v>
      </c>
      <c r="C10" s="80"/>
      <c r="D10" s="226"/>
      <c r="E10" s="226"/>
      <c r="F10" s="80"/>
      <c r="G10" s="80"/>
      <c r="H10" s="80"/>
      <c r="I10" s="140">
        <f t="shared" si="1"/>
        <v>0</v>
      </c>
      <c r="J10" s="111"/>
      <c r="K10" s="112"/>
      <c r="L10" s="80"/>
      <c r="M10" s="105"/>
    </row>
    <row r="11">
      <c r="A11" s="105"/>
      <c r="B11" s="145" t="str">
        <f>HYPERLINK("http://codeforces.com/problemset/problem/899/E","CF899-D2-E")</f>
        <v>CF899-D2-E</v>
      </c>
      <c r="C11" s="80"/>
      <c r="D11" s="226"/>
      <c r="E11" s="226"/>
      <c r="F11" s="80"/>
      <c r="G11" s="80"/>
      <c r="H11" s="80"/>
      <c r="I11" s="140">
        <f t="shared" si="1"/>
        <v>0</v>
      </c>
      <c r="J11" s="111"/>
      <c r="K11" s="112"/>
      <c r="L11" s="80"/>
      <c r="M11" s="105"/>
    </row>
    <row r="12">
      <c r="A12" s="105"/>
      <c r="B12" s="145" t="str">
        <f>HYPERLINK("http://codeforces.com/contest/729/problem/D","CF729-D12-D")</f>
        <v>CF729-D12-D</v>
      </c>
      <c r="C12" s="80"/>
      <c r="D12" s="226"/>
      <c r="E12" s="226"/>
      <c r="F12" s="80"/>
      <c r="G12" s="80"/>
      <c r="H12" s="80"/>
      <c r="I12" s="140">
        <f t="shared" si="1"/>
        <v>0</v>
      </c>
      <c r="J12" s="111"/>
      <c r="K12" s="112"/>
      <c r="L12" s="80"/>
      <c r="M12" s="105"/>
    </row>
    <row r="13">
      <c r="A13" s="137" t="s">
        <v>728</v>
      </c>
      <c r="B13" s="234" t="str">
        <f>HYPERLINK("http://codeforces.com/contest/340/problem/C","CF340-D2-C")</f>
        <v>CF340-D2-C</v>
      </c>
      <c r="C13" s="80"/>
      <c r="D13" s="226"/>
      <c r="E13" s="226"/>
      <c r="F13" s="80"/>
      <c r="G13" s="80"/>
      <c r="H13" s="80"/>
      <c r="I13" s="140">
        <f t="shared" si="1"/>
        <v>0</v>
      </c>
      <c r="J13" s="111"/>
      <c r="K13" s="112"/>
      <c r="L13" s="80"/>
      <c r="M13" s="105"/>
    </row>
    <row r="14">
      <c r="A14" s="137" t="s">
        <v>732</v>
      </c>
      <c r="B14" s="234" t="str">
        <f>HYPERLINK("http://codeforces.com/contest/697/problem/C","CF697-D2-C")</f>
        <v>CF697-D2-C</v>
      </c>
      <c r="C14" s="80"/>
      <c r="D14" s="226"/>
      <c r="E14" s="226"/>
      <c r="F14" s="80"/>
      <c r="G14" s="80"/>
      <c r="H14" s="80"/>
      <c r="I14" s="140">
        <f t="shared" si="1"/>
        <v>0</v>
      </c>
      <c r="J14" s="111"/>
      <c r="K14" s="112"/>
      <c r="L14" s="80"/>
      <c r="M14" s="105"/>
    </row>
    <row r="15">
      <c r="A15" s="137" t="s">
        <v>735</v>
      </c>
      <c r="B15" s="234" t="str">
        <f>HYPERLINK("http://codeforces.com/contest/404/problem/C","CF404-D2-C")</f>
        <v>CF404-D2-C</v>
      </c>
      <c r="C15" s="80"/>
      <c r="D15" s="226"/>
      <c r="E15" s="226"/>
      <c r="F15" s="80"/>
      <c r="G15" s="80"/>
      <c r="H15" s="80"/>
      <c r="I15" s="140">
        <f t="shared" si="1"/>
        <v>0</v>
      </c>
      <c r="J15" s="111"/>
      <c r="K15" s="112"/>
      <c r="L15" s="80"/>
      <c r="M15" s="105"/>
    </row>
    <row r="16">
      <c r="A16" s="238"/>
      <c r="B16" s="239" t="str">
        <f>HYPERLINK("https://beta.atcoder.jp/contests/abc009/tasks/abc009_3","AtCoder009-ABC-C")</f>
        <v>AtCoder009-ABC-C</v>
      </c>
      <c r="C16" s="80"/>
      <c r="D16" s="226"/>
      <c r="E16" s="226"/>
      <c r="F16" s="80"/>
      <c r="G16" s="80"/>
      <c r="H16" s="80"/>
      <c r="I16" s="140">
        <f t="shared" si="1"/>
        <v>0</v>
      </c>
      <c r="J16" s="49"/>
      <c r="K16" s="36"/>
      <c r="L16" s="80"/>
      <c r="M16" s="227"/>
    </row>
    <row r="17">
      <c r="A17" s="240"/>
      <c r="B17" s="242" t="str">
        <f>HYPERLINK("http://codeforces.com/contest/309/problem/C","CF309-D1-C")</f>
        <v>CF309-D1-C</v>
      </c>
      <c r="C17" s="80"/>
      <c r="D17" s="226"/>
      <c r="E17" s="226"/>
      <c r="F17" s="80"/>
      <c r="G17" s="80"/>
      <c r="H17" s="80"/>
      <c r="I17" s="140">
        <f t="shared" si="1"/>
        <v>0</v>
      </c>
      <c r="J17" s="49"/>
      <c r="K17" s="36"/>
      <c r="L17" s="80"/>
      <c r="M17" s="227"/>
    </row>
    <row r="18">
      <c r="A18" s="238"/>
      <c r="B18" s="239" t="str">
        <f>HYPERLINK("http://codeforces.com/contest/101/problem/B","CF101-D1-B")</f>
        <v>CF101-D1-B</v>
      </c>
      <c r="C18" s="80"/>
      <c r="D18" s="226"/>
      <c r="E18" s="226"/>
      <c r="F18" s="80"/>
      <c r="G18" s="80"/>
      <c r="H18" s="80"/>
      <c r="I18" s="140">
        <f t="shared" si="1"/>
        <v>0</v>
      </c>
      <c r="J18" s="49"/>
      <c r="K18" s="36"/>
      <c r="L18" s="80"/>
      <c r="M18" s="126" t="str">
        <f>HYPERLINK("https://github.com/Huvok/CompetitiveProgramming/blob/master/Codeforces/CF101-D1-B.cpp","Sol")</f>
        <v>Sol</v>
      </c>
    </row>
    <row r="19">
      <c r="A19" s="238"/>
      <c r="B19" s="238" t="s">
        <v>742</v>
      </c>
      <c r="C19" s="80"/>
      <c r="D19" s="226"/>
      <c r="E19" s="226"/>
      <c r="F19" s="80"/>
      <c r="G19" s="80"/>
      <c r="H19" s="80"/>
      <c r="I19" s="140">
        <f t="shared" si="1"/>
        <v>0</v>
      </c>
      <c r="J19" s="49"/>
      <c r="K19" s="36"/>
      <c r="L19" s="80"/>
      <c r="M19" s="51"/>
    </row>
    <row r="20">
      <c r="A20" s="238"/>
      <c r="B20" s="239" t="str">
        <f>HYPERLINK("http://codeforces.com/problemset/problem/961/D","CF961-D12-D")</f>
        <v>CF961-D12-D</v>
      </c>
      <c r="C20" s="80"/>
      <c r="D20" s="226"/>
      <c r="E20" s="226"/>
      <c r="F20" s="80"/>
      <c r="G20" s="80"/>
      <c r="H20" s="80"/>
      <c r="I20" s="140">
        <f t="shared" si="1"/>
        <v>0</v>
      </c>
      <c r="J20" s="49"/>
      <c r="K20" s="36"/>
      <c r="L20" s="80"/>
      <c r="M20" s="51"/>
    </row>
    <row r="21">
      <c r="A21" s="238"/>
      <c r="B21" s="238" t="s">
        <v>744</v>
      </c>
      <c r="C21" s="80"/>
      <c r="D21" s="226"/>
      <c r="E21" s="226"/>
      <c r="F21" s="80"/>
      <c r="G21" s="80"/>
      <c r="H21" s="80"/>
      <c r="I21" s="140">
        <f t="shared" si="1"/>
        <v>0</v>
      </c>
      <c r="J21" s="49"/>
      <c r="K21" s="36"/>
      <c r="L21" s="80"/>
      <c r="M21" s="51"/>
    </row>
    <row r="22">
      <c r="A22" s="238"/>
      <c r="B22" s="239" t="str">
        <f>HYPERLINK("http://codeforces.com/problemset/problem/955/C","CF955-D2-C")</f>
        <v>CF955-D2-C</v>
      </c>
      <c r="C22" s="80"/>
      <c r="D22" s="226"/>
      <c r="E22" s="226"/>
      <c r="F22" s="80"/>
      <c r="G22" s="80"/>
      <c r="H22" s="80"/>
      <c r="I22" s="140">
        <f t="shared" si="1"/>
        <v>0</v>
      </c>
      <c r="J22" s="49"/>
      <c r="K22" s="36"/>
      <c r="L22" s="80"/>
      <c r="M22" s="51"/>
    </row>
    <row r="23">
      <c r="A23" s="238"/>
      <c r="B23" s="238" t="s">
        <v>749</v>
      </c>
      <c r="C23" s="80"/>
      <c r="D23" s="226"/>
      <c r="E23" s="226"/>
      <c r="F23" s="80"/>
      <c r="G23" s="80"/>
      <c r="H23" s="80"/>
      <c r="I23" s="140">
        <f t="shared" si="1"/>
        <v>0</v>
      </c>
      <c r="J23" s="49"/>
      <c r="K23" s="36"/>
      <c r="L23" s="80"/>
      <c r="M23" s="126" t="str">
        <f>HYPERLINK("https://pastebin.com/WHzEMUew","Sol")</f>
        <v>Sol</v>
      </c>
    </row>
    <row r="24">
      <c r="A24" s="224"/>
      <c r="B24" s="245"/>
      <c r="C24" s="80"/>
      <c r="D24" s="226"/>
      <c r="E24" s="226"/>
      <c r="F24" s="80"/>
      <c r="G24" s="80"/>
      <c r="H24" s="80"/>
      <c r="I24" s="140">
        <f t="shared" si="1"/>
        <v>0</v>
      </c>
      <c r="J24" s="49"/>
      <c r="K24" s="36"/>
      <c r="L24" s="80"/>
      <c r="M24" s="227" t="str">
        <f>HYPERLINK("https://www.youtube.com/watch?v=OLu5oskGGqw&amp;list=PLPt2dINI2MIZX2EtY81WI-lDkvhKziLKM&amp;index=11","Watch - Data Structures - Segment Tree (2 vid)")</f>
        <v>Watch - Data Structures - Segment Tree (2 vid)</v>
      </c>
    </row>
    <row r="25">
      <c r="A25" s="247" t="s">
        <v>756</v>
      </c>
      <c r="B25" s="248" t="str">
        <f>HYPERLINK("https://uva.onlinejudge.org/index.php?option=com_onlinejudge&amp;Itemid=8&amp;page=show_problem&amp;problem=3977","UVA 12532")</f>
        <v>UVA 12532</v>
      </c>
      <c r="C25" s="80"/>
      <c r="D25" s="226"/>
      <c r="E25" s="226"/>
      <c r="F25" s="80"/>
      <c r="G25" s="80"/>
      <c r="H25" s="80"/>
      <c r="I25" s="140">
        <f t="shared" si="1"/>
        <v>0</v>
      </c>
      <c r="J25" s="49"/>
      <c r="K25" s="36"/>
      <c r="L25" s="80"/>
      <c r="M25" s="105"/>
    </row>
    <row r="26">
      <c r="A26" s="249" t="s">
        <v>761</v>
      </c>
      <c r="B26" s="250" t="str">
        <f>HYPERLINK("https://icpcarchive.ecs.baylor.edu/index.php?option=com_onlinejudge&amp;Itemid=8&amp;page=show_problem&amp;problem=192","LIVEARCHIVE 2191")</f>
        <v>LIVEARCHIVE 2191</v>
      </c>
      <c r="C26" s="80"/>
      <c r="D26" s="226"/>
      <c r="E26" s="226"/>
      <c r="F26" s="80"/>
      <c r="G26" s="80"/>
      <c r="H26" s="80"/>
      <c r="I26" s="140">
        <f t="shared" si="1"/>
        <v>0</v>
      </c>
      <c r="J26" s="49"/>
      <c r="K26" s="36"/>
      <c r="L26" s="80"/>
      <c r="M26" s="105"/>
    </row>
    <row r="27">
      <c r="A27" s="251" t="s">
        <v>766</v>
      </c>
      <c r="B27" s="250" t="str">
        <f>HYPERLINK("http://www.spoj.com/problems/CDC12_H","SPOJ CDC12_H")</f>
        <v>SPOJ CDC12_H</v>
      </c>
      <c r="C27" s="80"/>
      <c r="D27" s="226"/>
      <c r="E27" s="226"/>
      <c r="F27" s="80"/>
      <c r="G27" s="80"/>
      <c r="H27" s="80"/>
      <c r="I27" s="140">
        <f t="shared" si="1"/>
        <v>0</v>
      </c>
      <c r="J27" s="111"/>
      <c r="K27" s="112"/>
      <c r="L27" s="80"/>
      <c r="M27" s="80"/>
    </row>
    <row r="28">
      <c r="A28" s="249" t="s">
        <v>770</v>
      </c>
      <c r="B28" s="250" t="str">
        <f>HYPERLINK("http://www.spoj.com/problems/CNTPRIME","SPOJ CNTPRIME")</f>
        <v>SPOJ CNTPRIME</v>
      </c>
      <c r="C28" s="80"/>
      <c r="D28" s="226"/>
      <c r="E28" s="226"/>
      <c r="F28" s="80"/>
      <c r="G28" s="80"/>
      <c r="H28" s="80"/>
      <c r="I28" s="140">
        <f t="shared" si="1"/>
        <v>0</v>
      </c>
      <c r="J28" s="111"/>
      <c r="K28" s="112"/>
      <c r="L28" s="80"/>
      <c r="M28" s="80"/>
    </row>
    <row r="29">
      <c r="A29" s="249" t="s">
        <v>771</v>
      </c>
      <c r="B29" s="250" t="str">
        <f>HYPERLINK("http://www.spoj.com/problems/HORRIBLE","SPOJ HORRIBLE")</f>
        <v>SPOJ HORRIBLE</v>
      </c>
      <c r="C29" s="80"/>
      <c r="D29" s="226"/>
      <c r="E29" s="226"/>
      <c r="F29" s="80"/>
      <c r="G29" s="80"/>
      <c r="H29" s="80"/>
      <c r="I29" s="140">
        <f t="shared" si="1"/>
        <v>0</v>
      </c>
      <c r="J29" s="16"/>
      <c r="K29" s="80"/>
      <c r="L29" s="80"/>
      <c r="M29" s="80"/>
    </row>
    <row r="30">
      <c r="A30" s="249" t="s">
        <v>773</v>
      </c>
      <c r="B30" s="250" t="str">
        <f>HYPERLINK("http://www.spoj.com/problems/LITE/","SPOJ LITE")</f>
        <v>SPOJ LITE</v>
      </c>
      <c r="C30" s="80"/>
      <c r="D30" s="226"/>
      <c r="E30" s="226"/>
      <c r="F30" s="80"/>
      <c r="G30" s="80"/>
      <c r="H30" s="80"/>
      <c r="I30" s="140">
        <f t="shared" si="1"/>
        <v>0</v>
      </c>
      <c r="J30" s="49"/>
      <c r="K30" s="36"/>
      <c r="L30" s="80"/>
      <c r="M30" s="105"/>
    </row>
    <row r="31">
      <c r="A31" s="254" t="s">
        <v>776</v>
      </c>
      <c r="B31" s="255" t="str">
        <f>HYPERLINK("http://codeforces.com/contest/52/problem/C","CF52-D12-C")</f>
        <v>CF52-D12-C</v>
      </c>
      <c r="C31" s="80"/>
      <c r="D31" s="226"/>
      <c r="E31" s="226"/>
      <c r="F31" s="80"/>
      <c r="G31" s="80"/>
      <c r="H31" s="80"/>
      <c r="I31" s="140">
        <f t="shared" si="1"/>
        <v>0</v>
      </c>
      <c r="J31" s="111"/>
      <c r="K31" s="111"/>
      <c r="L31" s="16"/>
      <c r="M31" s="51"/>
    </row>
    <row r="32">
      <c r="A32" s="249" t="s">
        <v>779</v>
      </c>
      <c r="B32" s="250" t="str">
        <f>HYPERLINK("http://www.spoj.com/problems/CITY2/","SPOJ CITY2")</f>
        <v>SPOJ CITY2</v>
      </c>
      <c r="C32" s="80"/>
      <c r="D32" s="226"/>
      <c r="E32" s="226"/>
      <c r="F32" s="80"/>
      <c r="G32" s="80"/>
      <c r="H32" s="80"/>
      <c r="I32" s="140">
        <f t="shared" si="1"/>
        <v>0</v>
      </c>
      <c r="J32" s="49"/>
      <c r="K32" s="36"/>
      <c r="M32" s="126" t="str">
        <f>HYPERLINK("https://github.com/mostafa-saad/MyCompetitiveProgramming/blob/master/SPOJ/SPOJ_CITY2.txt","Sol")</f>
        <v>Sol</v>
      </c>
    </row>
    <row r="33">
      <c r="A33" s="247" t="s">
        <v>782</v>
      </c>
      <c r="B33" s="250" t="str">
        <f>HYPERLINK("https://uva.onlinejudge.org/index.php?option=com_onlinejudge&amp;Itemid=8&amp;page=show_problem&amp;problem=3720","UVA 12299")</f>
        <v>UVA 12299</v>
      </c>
      <c r="C33" s="80"/>
      <c r="D33" s="226"/>
      <c r="E33" s="226"/>
      <c r="F33" s="80"/>
      <c r="G33" s="80"/>
      <c r="H33" s="80"/>
      <c r="I33" s="140">
        <f t="shared" si="1"/>
        <v>0</v>
      </c>
      <c r="J33" s="49"/>
      <c r="K33" s="36"/>
      <c r="M33" s="126" t="str">
        <f>HYPERLINK("https://github.com/Emsawy/CompetitiveProgramming/blob/master/UVA/12299.cpp","See sscanf and sprintf usage")</f>
        <v>See sscanf and sprintf usage</v>
      </c>
    </row>
    <row r="34" ht="16.5" customHeight="1">
      <c r="A34" s="260" t="s">
        <v>786</v>
      </c>
      <c r="B34" s="248" t="str">
        <f>HYPERLINK("http://codeforces.com/problemset/problem/514/D","CF514-D2-D")</f>
        <v>CF514-D2-D</v>
      </c>
      <c r="C34" s="80"/>
      <c r="D34" s="226"/>
      <c r="E34" s="226"/>
      <c r="F34" s="80"/>
      <c r="G34" s="80"/>
      <c r="H34" s="80"/>
      <c r="I34" s="140">
        <f t="shared" si="1"/>
        <v>0</v>
      </c>
      <c r="L34" s="16"/>
      <c r="M34" s="92" t="s">
        <v>791</v>
      </c>
    </row>
    <row r="35">
      <c r="A35" s="260" t="s">
        <v>792</v>
      </c>
      <c r="B35" s="264" t="str">
        <f>HYPERLINK("https://uva.onlinejudge.org/index.php?option=com_onlinejudge&amp;Itemid=8&amp;page=show_problem&amp;problem=2397","UVA 11402")</f>
        <v>UVA 11402</v>
      </c>
      <c r="C35" s="80"/>
      <c r="D35" s="226"/>
      <c r="E35" s="226"/>
      <c r="F35" s="80"/>
      <c r="G35" s="80"/>
      <c r="H35" s="80"/>
      <c r="I35" s="140">
        <f t="shared" si="1"/>
        <v>0</v>
      </c>
      <c r="J35" s="111"/>
      <c r="K35" s="111"/>
      <c r="L35" s="16"/>
      <c r="M35" s="126" t="str">
        <f>HYPERLINK("https://github.com/hosamk92/CompetitiveProgramming/blob/master/UVA/UVA%2011402.cpp","Sol")</f>
        <v>Sol</v>
      </c>
    </row>
    <row r="36">
      <c r="A36" s="230" t="s">
        <v>803</v>
      </c>
      <c r="B36" s="267" t="str">
        <f>HYPERLINK("http://www.spoj.com/problems/BRCKTS","SPOJ BRCKTS")</f>
        <v>SPOJ BRCKTS</v>
      </c>
      <c r="C36" s="80"/>
      <c r="D36" s="226"/>
      <c r="E36" s="226"/>
      <c r="F36" s="80"/>
      <c r="G36" s="80"/>
      <c r="H36" s="80"/>
      <c r="I36" s="140">
        <f t="shared" si="1"/>
        <v>0</v>
      </c>
      <c r="J36" s="111"/>
      <c r="K36" s="111"/>
      <c r="L36" s="16"/>
      <c r="M36" s="126" t="str">
        <f>HYPERLINK("https://github.com/AliOsm/CompetitiveProgramming/blob/master/SPOJ/BRCKTS%20-%20Brackets.cpp","Sol")</f>
        <v>Sol</v>
      </c>
    </row>
    <row r="37">
      <c r="A37" s="260" t="s">
        <v>808</v>
      </c>
      <c r="B37" s="264" t="str">
        <f>HYPERLINK("http://codeforces.com/contest/460/problem/C","CF460-D2-C")</f>
        <v>CF460-D2-C</v>
      </c>
      <c r="C37" s="80"/>
      <c r="D37" s="226"/>
      <c r="E37" s="226"/>
      <c r="F37" s="80"/>
      <c r="G37" s="80"/>
      <c r="H37" s="80"/>
      <c r="I37" s="140">
        <f t="shared" si="1"/>
        <v>0</v>
      </c>
      <c r="J37" s="111"/>
      <c r="K37" s="111"/>
      <c r="L37" s="16"/>
      <c r="M37" s="51"/>
    </row>
    <row r="38">
      <c r="A38" s="271" t="str">
        <f>HYPERLINK("https://community.topcoder.com/stat?c=problem_statement&amp;pm=1331&amp;rd=4550","MessageMess")</f>
        <v>MessageMess</v>
      </c>
      <c r="B38" s="273" t="s">
        <v>351</v>
      </c>
      <c r="C38" s="80"/>
      <c r="D38" s="226"/>
      <c r="E38" s="226"/>
      <c r="F38" s="80"/>
      <c r="G38" s="80"/>
      <c r="H38" s="80"/>
      <c r="I38" s="140">
        <f t="shared" si="1"/>
        <v>0</v>
      </c>
      <c r="J38" s="111"/>
      <c r="K38" s="111"/>
      <c r="L38" s="16"/>
      <c r="M38" s="51"/>
    </row>
    <row r="39">
      <c r="A39" s="242" t="str">
        <f>HYPERLINK("https://community.topcoder.com/stat?c=problem_statement&amp;pm=7601&amp;rd=10673","DiceGames")</f>
        <v>DiceGames</v>
      </c>
      <c r="B39" s="275" t="s">
        <v>372</v>
      </c>
      <c r="C39" s="80"/>
      <c r="D39" s="226"/>
      <c r="E39" s="226"/>
      <c r="F39" s="80"/>
      <c r="G39" s="80"/>
      <c r="H39" s="80"/>
      <c r="I39" s="140">
        <f t="shared" si="1"/>
        <v>0</v>
      </c>
      <c r="J39" s="111"/>
      <c r="K39" s="111"/>
      <c r="L39" s="16"/>
      <c r="M39" s="51"/>
    </row>
    <row r="40">
      <c r="A40" s="240" t="s">
        <v>817</v>
      </c>
      <c r="B40" s="243" t="str">
        <f>HYPERLINK("https://uva.onlinejudge.org/index.php?option=com_onlinejudge&amp;Itemid=8&amp;page=show_problem&amp;problem=407","UVA 466")</f>
        <v>UVA 466</v>
      </c>
      <c r="C40" s="80"/>
      <c r="D40" s="226"/>
      <c r="E40" s="226"/>
      <c r="F40" s="80"/>
      <c r="G40" s="80"/>
      <c r="H40" s="80"/>
      <c r="I40" s="140">
        <f t="shared" si="1"/>
        <v>0</v>
      </c>
      <c r="J40" s="111"/>
      <c r="K40" s="111"/>
      <c r="L40" s="16"/>
      <c r="M40" s="51"/>
    </row>
    <row r="41">
      <c r="A41" s="266" t="s">
        <v>819</v>
      </c>
      <c r="B41" s="277" t="str">
        <f>HYPERLINK("https://uva.onlinejudge.org/index.php?option=com_onlinejudge&amp;Itemid=8&amp;page=show_problem&amp;problem=2733","UVA 11686")</f>
        <v>UVA 11686</v>
      </c>
      <c r="C41" s="80"/>
      <c r="D41" s="226"/>
      <c r="E41" s="226"/>
      <c r="F41" s="80"/>
      <c r="G41" s="80"/>
      <c r="H41" s="80"/>
      <c r="I41" s="140">
        <f t="shared" si="1"/>
        <v>0</v>
      </c>
      <c r="J41" s="111"/>
      <c r="K41" s="111"/>
      <c r="L41" s="16"/>
      <c r="M41" s="126" t="str">
        <f>HYPERLINK("https://github.com/VAMPIER000001/CompetitiveProgramming/blob/master/UVA/V-116/UVA%2011686.Cpp","Sol")</f>
        <v>Sol</v>
      </c>
    </row>
    <row r="42">
      <c r="A42" s="270" t="s">
        <v>825</v>
      </c>
      <c r="B42" s="278" t="str">
        <f>HYPERLINK("http://www.spoj.com/problems/KGSS/","SPOJ KGSS")</f>
        <v>SPOJ KGSS</v>
      </c>
      <c r="C42" s="80"/>
      <c r="D42" s="226"/>
      <c r="E42" s="226"/>
      <c r="F42" s="80"/>
      <c r="G42" s="80"/>
      <c r="H42" s="80"/>
      <c r="I42" s="140">
        <f t="shared" si="1"/>
        <v>0</v>
      </c>
      <c r="J42" s="49"/>
      <c r="K42" s="36"/>
      <c r="L42" s="80"/>
      <c r="M42" s="105"/>
    </row>
    <row r="43">
      <c r="A43" s="270"/>
      <c r="B43" s="270" t="s">
        <v>826</v>
      </c>
      <c r="C43" s="80"/>
      <c r="D43" s="226"/>
      <c r="E43" s="226"/>
      <c r="F43" s="80"/>
      <c r="G43" s="80"/>
      <c r="H43" s="80"/>
      <c r="I43" s="140">
        <f t="shared" si="1"/>
        <v>0</v>
      </c>
      <c r="J43" s="49"/>
      <c r="K43" s="36"/>
      <c r="L43" s="80"/>
      <c r="M43" s="105"/>
    </row>
    <row r="44">
      <c r="A44" s="270"/>
      <c r="B44" s="270" t="s">
        <v>827</v>
      </c>
      <c r="C44" s="80"/>
      <c r="D44" s="226"/>
      <c r="E44" s="226"/>
      <c r="F44" s="80"/>
      <c r="G44" s="80"/>
      <c r="H44" s="80"/>
      <c r="I44" s="140">
        <f t="shared" si="1"/>
        <v>0</v>
      </c>
      <c r="J44" s="49"/>
      <c r="K44" s="36"/>
      <c r="L44" s="80"/>
      <c r="M44" s="105"/>
    </row>
    <row r="45">
      <c r="A45" s="270"/>
      <c r="B45" s="278" t="str">
        <f>HYPERLINK("http://codeforces.com/contest/201/problem/B","CF201-D1-B")</f>
        <v>CF201-D1-B</v>
      </c>
      <c r="C45" s="80"/>
      <c r="D45" s="226"/>
      <c r="E45" s="226"/>
      <c r="F45" s="80"/>
      <c r="G45" s="80"/>
      <c r="H45" s="80"/>
      <c r="I45" s="140">
        <f t="shared" si="1"/>
        <v>0</v>
      </c>
      <c r="J45" s="49"/>
      <c r="K45" s="36"/>
      <c r="L45" s="80"/>
      <c r="M45" s="105"/>
    </row>
    <row r="46">
      <c r="A46" s="270"/>
      <c r="B46" s="278" t="str">
        <f>HYPERLINK("http://codeforces.com/contest/380/problem/C","CF380-D1-C")</f>
        <v>CF380-D1-C</v>
      </c>
      <c r="C46" s="80"/>
      <c r="D46" s="226"/>
      <c r="E46" s="226"/>
      <c r="F46" s="80"/>
      <c r="G46" s="80"/>
      <c r="H46" s="80"/>
      <c r="I46" s="140">
        <f t="shared" si="1"/>
        <v>0</v>
      </c>
      <c r="J46" s="49"/>
      <c r="K46" s="36"/>
      <c r="L46" s="80"/>
      <c r="M46" s="105"/>
    </row>
    <row r="47">
      <c r="A47" s="270"/>
      <c r="B47" s="278" t="str">
        <f>HYPERLINK("http://codeforces.com/contest/161/problem/D","CF161-D12-D")</f>
        <v>CF161-D12-D</v>
      </c>
      <c r="C47" s="80"/>
      <c r="D47" s="226"/>
      <c r="E47" s="226"/>
      <c r="F47" s="80"/>
      <c r="G47" s="80"/>
      <c r="H47" s="80"/>
      <c r="I47" s="140">
        <f t="shared" si="1"/>
        <v>0</v>
      </c>
      <c r="J47" s="49"/>
      <c r="K47" s="36"/>
      <c r="L47" s="80"/>
      <c r="M47" s="281" t="str">
        <f>HYPERLINK("https://codeforces.com/blog/entry/20935","Reading: DP on Trees")</f>
        <v>Reading: DP on Trees</v>
      </c>
    </row>
    <row r="48">
      <c r="A48" s="92"/>
      <c r="B48" s="88"/>
      <c r="C48" s="80"/>
      <c r="D48" s="226"/>
      <c r="E48" s="226"/>
      <c r="F48" s="80"/>
      <c r="G48" s="80"/>
      <c r="H48" s="80"/>
      <c r="I48" s="140">
        <f t="shared" si="1"/>
        <v>0</v>
      </c>
      <c r="J48" s="49"/>
      <c r="K48" s="36"/>
      <c r="L48" s="80"/>
      <c r="M48" s="105"/>
    </row>
    <row r="49">
      <c r="A49" s="92" t="s">
        <v>845</v>
      </c>
      <c r="B49" s="88" t="str">
        <f>HYPERLINK("http://codeforces.com/contest/151/problem/D","CF151-D2-D")</f>
        <v>CF151-D2-D</v>
      </c>
      <c r="C49" s="80"/>
      <c r="D49" s="226"/>
      <c r="E49" s="226"/>
      <c r="F49" s="80"/>
      <c r="G49" s="80"/>
      <c r="H49" s="80"/>
      <c r="I49" s="140">
        <f t="shared" si="1"/>
        <v>0</v>
      </c>
      <c r="J49" s="49"/>
      <c r="K49" s="36"/>
      <c r="L49" s="80"/>
      <c r="M49" s="105"/>
    </row>
    <row r="50">
      <c r="A50" s="92" t="s">
        <v>850</v>
      </c>
      <c r="B50" s="88" t="str">
        <f>HYPERLINK("http://codeforces.com/contest/61/problem/D","CF61-D2-D")</f>
        <v>CF61-D2-D</v>
      </c>
      <c r="C50" s="80"/>
      <c r="D50" s="226"/>
      <c r="E50" s="226"/>
      <c r="F50" s="80"/>
      <c r="G50" s="80"/>
      <c r="H50" s="80"/>
      <c r="I50" s="140">
        <f t="shared" si="1"/>
        <v>0</v>
      </c>
      <c r="J50" s="49"/>
      <c r="K50" s="36"/>
      <c r="L50" s="80"/>
      <c r="M50" s="105"/>
    </row>
    <row r="51">
      <c r="A51" s="92" t="s">
        <v>942</v>
      </c>
      <c r="B51" s="141" t="str">
        <f>HYPERLINK("http://codeforces.com/contest/808/problem/D","CF808-D2-D")</f>
        <v>CF808-D2-D</v>
      </c>
      <c r="C51" s="80"/>
      <c r="D51" s="226"/>
      <c r="E51" s="226"/>
      <c r="F51" s="80"/>
      <c r="G51" s="80"/>
      <c r="H51" s="80"/>
      <c r="I51" s="140">
        <f t="shared" si="1"/>
        <v>0</v>
      </c>
      <c r="J51" s="49"/>
      <c r="K51" s="36"/>
      <c r="L51" s="80"/>
      <c r="M51" s="85" t="str">
        <f>HYPERLINK("https://www.youtube.com/watch?v=wL0s8xIQYbk","Video Solution - Solver to be (Java)")</f>
        <v>Video Solution - Solver to be (Java)</v>
      </c>
    </row>
    <row r="52">
      <c r="A52" s="92"/>
      <c r="B52" s="141" t="str">
        <f>HYPERLINK("http://codeforces.com/contest/45/problem/D","CF45-D12-D")</f>
        <v>CF45-D12-D</v>
      </c>
      <c r="C52" s="80"/>
      <c r="D52" s="226"/>
      <c r="E52" s="226"/>
      <c r="F52" s="80"/>
      <c r="G52" s="80"/>
      <c r="H52" s="80"/>
      <c r="I52" s="140">
        <f t="shared" si="1"/>
        <v>0</v>
      </c>
      <c r="J52" s="49"/>
      <c r="K52" s="36"/>
      <c r="L52" s="80"/>
      <c r="M52" s="87"/>
    </row>
    <row r="53">
      <c r="A53" s="92"/>
      <c r="B53" s="92" t="s">
        <v>951</v>
      </c>
      <c r="C53" s="80"/>
      <c r="D53" s="226"/>
      <c r="E53" s="226"/>
      <c r="F53" s="80"/>
      <c r="G53" s="80"/>
      <c r="H53" s="80"/>
      <c r="I53" s="140">
        <f t="shared" si="1"/>
        <v>0</v>
      </c>
      <c r="J53" s="49"/>
      <c r="K53" s="36"/>
      <c r="L53" s="80"/>
      <c r="M53" s="87"/>
    </row>
    <row r="54">
      <c r="A54" s="92"/>
      <c r="B54" s="141" t="str">
        <f>HYPERLINK("http://codeforces.com/problemsets/acmsguru/problem/99999/321","SGU 321")</f>
        <v>SGU 321</v>
      </c>
      <c r="C54" s="80"/>
      <c r="D54" s="226"/>
      <c r="E54" s="226"/>
      <c r="F54" s="80"/>
      <c r="G54" s="80"/>
      <c r="H54" s="80"/>
      <c r="I54" s="140">
        <f t="shared" si="1"/>
        <v>0</v>
      </c>
      <c r="J54" s="49"/>
      <c r="K54" s="36"/>
      <c r="L54" s="80"/>
      <c r="M54" s="85" t="str">
        <f>HYPERLINK("https://github.com/mostafa-saad/MyCompetitiveProgramming/blob/master/SGU/SGU_321.txt","Sol")</f>
        <v>Sol</v>
      </c>
    </row>
    <row r="55">
      <c r="A55" s="92"/>
      <c r="B55" s="141" t="str">
        <f>HYPERLINK("https://www.codechef.com/LTIME64B/problems/OPPOSITE" , "CODECHEF OPPOSITE")</f>
        <v>CODECHEF OPPOSITE</v>
      </c>
      <c r="C55" s="80"/>
      <c r="D55" s="226"/>
      <c r="E55" s="226"/>
      <c r="F55" s="80"/>
      <c r="G55" s="80"/>
      <c r="H55" s="80"/>
      <c r="I55" s="140">
        <f t="shared" si="1"/>
        <v>0</v>
      </c>
      <c r="J55" s="49"/>
      <c r="K55" s="36"/>
      <c r="L55" s="80"/>
      <c r="M55" s="87"/>
    </row>
    <row r="56">
      <c r="A56" s="92"/>
      <c r="B56" s="92" t="s">
        <v>959</v>
      </c>
      <c r="C56" s="80"/>
      <c r="D56" s="226"/>
      <c r="E56" s="226"/>
      <c r="F56" s="80"/>
      <c r="G56" s="80"/>
      <c r="H56" s="80"/>
      <c r="I56" s="140">
        <f t="shared" si="1"/>
        <v>0</v>
      </c>
      <c r="J56" s="49"/>
      <c r="K56" s="36"/>
      <c r="L56" s="80"/>
      <c r="M56" s="87"/>
    </row>
    <row r="57">
      <c r="A57" s="92"/>
      <c r="B57" s="92" t="s">
        <v>960</v>
      </c>
      <c r="C57" s="80"/>
      <c r="D57" s="226"/>
      <c r="E57" s="226"/>
      <c r="F57" s="80"/>
      <c r="G57" s="80"/>
      <c r="H57" s="80"/>
      <c r="I57" s="140">
        <f t="shared" si="1"/>
        <v>0</v>
      </c>
      <c r="J57" s="49"/>
      <c r="K57" s="36"/>
      <c r="L57" s="80"/>
      <c r="M57" s="87"/>
    </row>
    <row r="58">
      <c r="A58" s="92"/>
      <c r="B58" s="92" t="s">
        <v>961</v>
      </c>
      <c r="C58" s="80"/>
      <c r="D58" s="226"/>
      <c r="E58" s="226"/>
      <c r="F58" s="80"/>
      <c r="G58" s="80"/>
      <c r="H58" s="80"/>
      <c r="I58" s="140">
        <f t="shared" si="1"/>
        <v>0</v>
      </c>
      <c r="J58" s="49"/>
      <c r="K58" s="36"/>
      <c r="L58" s="80"/>
      <c r="M58" s="87"/>
    </row>
    <row r="59">
      <c r="A59" s="137" t="s">
        <v>963</v>
      </c>
      <c r="B59" s="298" t="str">
        <f>HYPERLINK("http://codeforces.com/contest/216/problem/C","CF216-D2-C")</f>
        <v>CF216-D2-C</v>
      </c>
      <c r="C59" s="80"/>
      <c r="D59" s="226"/>
      <c r="E59" s="226"/>
      <c r="F59" s="80"/>
      <c r="G59" s="80"/>
      <c r="H59" s="80"/>
      <c r="I59" s="140">
        <f t="shared" si="1"/>
        <v>0</v>
      </c>
      <c r="J59" s="49"/>
      <c r="K59" s="36"/>
      <c r="L59" s="80"/>
      <c r="M59" s="87"/>
    </row>
    <row r="60">
      <c r="A60" s="137" t="s">
        <v>966</v>
      </c>
      <c r="B60" s="298" t="str">
        <f>HYPERLINK("http://codeforces.com/contest/535/problem/C","CF535-D2-C")</f>
        <v>CF535-D2-C</v>
      </c>
      <c r="C60" s="80"/>
      <c r="D60" s="226"/>
      <c r="E60" s="226"/>
      <c r="F60" s="80"/>
      <c r="G60" s="80"/>
      <c r="H60" s="80"/>
      <c r="I60" s="140">
        <f t="shared" si="1"/>
        <v>0</v>
      </c>
      <c r="J60" s="49"/>
      <c r="K60" s="36"/>
      <c r="L60" s="80"/>
      <c r="M60" s="87"/>
    </row>
    <row r="61">
      <c r="A61" s="137" t="s">
        <v>239</v>
      </c>
      <c r="B61" s="298" t="str">
        <f>HYPERLINK("http://codeforces.com/contest/189/problem/C","CF189-D2-C")</f>
        <v>CF189-D2-C</v>
      </c>
      <c r="C61" s="80"/>
      <c r="D61" s="226"/>
      <c r="E61" s="226"/>
      <c r="F61" s="80"/>
      <c r="G61" s="80"/>
      <c r="H61" s="80"/>
      <c r="I61" s="140">
        <f t="shared" si="1"/>
        <v>0</v>
      </c>
      <c r="J61" s="49"/>
      <c r="K61" s="36"/>
      <c r="M61" s="269" t="str">
        <f>HYPERLINK("https://github.com/MedoN11/CompetitiveProgramming/blob/master/CodeForces/CF189-D1-C.cpp","Sol")</f>
        <v>Sol</v>
      </c>
    </row>
    <row r="62">
      <c r="A62" s="80"/>
      <c r="B62" s="16"/>
      <c r="C62" s="80"/>
      <c r="D62" s="226"/>
      <c r="E62" s="226"/>
      <c r="F62" s="80"/>
      <c r="G62" s="80"/>
      <c r="H62" s="80"/>
      <c r="I62" s="140">
        <f t="shared" si="1"/>
        <v>0</v>
      </c>
      <c r="J62" s="111"/>
      <c r="K62" s="112"/>
      <c r="L62" s="80"/>
      <c r="M62" s="300" t="str">
        <f>HYPERLINK("https://www.youtube.com/watch?v=n-Xwrr8RFQ0","Watch - Two pointers technique")</f>
        <v>Watch - Two pointers technique</v>
      </c>
    </row>
    <row r="63">
      <c r="A63" s="301" t="s">
        <v>975</v>
      </c>
      <c r="B63" s="302" t="str">
        <f>HYPERLINK("http://codeforces.com/contest/216/problem/D","CF216-D2-D")</f>
        <v>CF216-D2-D</v>
      </c>
      <c r="C63" s="80"/>
      <c r="D63" s="226"/>
      <c r="E63" s="226"/>
      <c r="F63" s="80"/>
      <c r="G63" s="80"/>
      <c r="H63" s="80"/>
      <c r="I63" s="140">
        <f t="shared" si="1"/>
        <v>0</v>
      </c>
      <c r="J63" s="111"/>
      <c r="K63" s="112"/>
      <c r="L63" s="80"/>
      <c r="M63" s="80"/>
    </row>
    <row r="64">
      <c r="A64" s="301" t="s">
        <v>981</v>
      </c>
      <c r="B64" s="304" t="str">
        <f>HYPERLINK("http://codeforces.com/contest/334/problem/D","CF334-D2-D")</f>
        <v>CF334-D2-D</v>
      </c>
      <c r="C64" s="80"/>
      <c r="D64" s="226"/>
      <c r="E64" s="226"/>
      <c r="F64" s="80"/>
      <c r="G64" s="80"/>
      <c r="H64" s="80"/>
      <c r="I64" s="140">
        <f t="shared" si="1"/>
        <v>0</v>
      </c>
      <c r="J64" s="111"/>
      <c r="K64" s="112"/>
      <c r="L64" s="80"/>
      <c r="M64" s="80"/>
    </row>
    <row r="65">
      <c r="A65" s="301" t="s">
        <v>985</v>
      </c>
      <c r="B65" s="304" t="str">
        <f>HYPERLINK("http://codeforces.com/contest/676/problem/C","CF676-D2-C")</f>
        <v>CF676-D2-C</v>
      </c>
      <c r="C65" s="80"/>
      <c r="D65" s="226"/>
      <c r="E65" s="226"/>
      <c r="F65" s="80"/>
      <c r="G65" s="80"/>
      <c r="H65" s="80"/>
      <c r="I65" s="140">
        <f t="shared" si="1"/>
        <v>0</v>
      </c>
      <c r="J65" s="111"/>
      <c r="K65" s="112"/>
      <c r="L65" s="80"/>
      <c r="M65" s="80"/>
    </row>
    <row r="66">
      <c r="A66" s="241" t="s">
        <v>989</v>
      </c>
      <c r="B66" s="132" t="str">
        <f>HYPERLINK("https://icpcarchive.ecs.baylor.edu/index.php?option=com_onlinejudge&amp;Itemid=8&amp;category=19&amp;page=show_problem&amp;problem=1635","LiveArchive 3634")</f>
        <v>LiveArchive 3634</v>
      </c>
      <c r="C66" s="80"/>
      <c r="D66" s="226"/>
      <c r="E66" s="226"/>
      <c r="F66" s="80"/>
      <c r="G66" s="80"/>
      <c r="H66" s="80"/>
      <c r="I66" s="140">
        <f t="shared" si="1"/>
        <v>0</v>
      </c>
      <c r="J66" s="111"/>
      <c r="K66" s="112"/>
      <c r="L66" s="80"/>
      <c r="M66" s="269" t="str">
        <f>HYPERLINK("https://github.com/SaraElkadi/competitive-programming-/blob/master/LiveArchive/3634.cpp","Sol")</f>
        <v>Sol</v>
      </c>
    </row>
    <row r="67">
      <c r="A67" s="241" t="s">
        <v>993</v>
      </c>
      <c r="B67" s="132" t="str">
        <f>HYPERLINK("https://uva.onlinejudge.org/index.php?option=com_onlinejudge&amp;Itemid=8&amp;page=show_problem&amp;problem=4467","UVA 1592")</f>
        <v>UVA 1592</v>
      </c>
      <c r="C67" s="80"/>
      <c r="D67" s="226"/>
      <c r="E67" s="226"/>
      <c r="F67" s="80"/>
      <c r="G67" s="80"/>
      <c r="H67" s="80"/>
      <c r="I67" s="140">
        <f t="shared" si="1"/>
        <v>0</v>
      </c>
      <c r="J67" s="111"/>
      <c r="K67" s="112"/>
      <c r="L67" s="80"/>
    </row>
    <row r="68">
      <c r="A68" s="241" t="s">
        <v>995</v>
      </c>
      <c r="B68" s="132" t="str">
        <f>HYPERLINK("http://www.spoj.com/problems/GSS1/","SPOJ GSS1")</f>
        <v>SPOJ GSS1</v>
      </c>
      <c r="C68" s="80"/>
      <c r="D68" s="226"/>
      <c r="E68" s="226"/>
      <c r="F68" s="80"/>
      <c r="G68" s="80"/>
      <c r="H68" s="80"/>
      <c r="I68" s="140">
        <f t="shared" si="1"/>
        <v>0</v>
      </c>
      <c r="J68" s="111"/>
      <c r="K68" s="112"/>
      <c r="L68" s="145"/>
      <c r="M68" s="269" t="str">
        <f>HYPERLINK("https://github.com/AliOsm/CompetitiveProgramming/blob/master/SPOJ/GSS1%20-%20Can%20you%20answer%20these%20queries%20I.cpp","Sol")</f>
        <v>Sol</v>
      </c>
    </row>
    <row r="69">
      <c r="A69" s="241"/>
      <c r="B69" s="165" t="str">
        <f>HYPERLINK("https://www.spoj.com/problems/BILLIARD/","SPOJ BILLIARD")</f>
        <v>SPOJ BILLIARD</v>
      </c>
      <c r="C69" s="80"/>
      <c r="D69" s="226"/>
      <c r="E69" s="226"/>
      <c r="F69" s="80"/>
      <c r="G69" s="80"/>
      <c r="H69" s="80"/>
      <c r="I69" s="140">
        <f t="shared" si="1"/>
        <v>0</v>
      </c>
      <c r="J69" s="111"/>
      <c r="K69" s="112"/>
      <c r="L69" s="145"/>
      <c r="M69" s="269" t="str">
        <f>HYPERLINK("https://github.com/osamahatem/CompetitiveProgramming/blob/master/SPOJ/BILLIARD.cpp","Sol")</f>
        <v>Sol</v>
      </c>
    </row>
    <row r="70">
      <c r="A70" s="241" t="s">
        <v>1002</v>
      </c>
      <c r="B70" s="132" t="str">
        <f>HYPERLINK("http://www.spoj.com/problems/GSS3/","SPOJ GSS3")</f>
        <v>SPOJ GSS3</v>
      </c>
      <c r="C70" s="80"/>
      <c r="D70" s="226"/>
      <c r="E70" s="226"/>
      <c r="F70" s="80"/>
      <c r="G70" s="80"/>
      <c r="H70" s="80"/>
      <c r="I70" s="140">
        <f t="shared" si="1"/>
        <v>0</v>
      </c>
      <c r="J70" s="111"/>
      <c r="K70" s="112"/>
      <c r="L70" s="80"/>
    </row>
    <row r="71">
      <c r="A71" s="241"/>
      <c r="B71" s="241" t="s">
        <v>1004</v>
      </c>
      <c r="C71" s="80"/>
      <c r="D71" s="226"/>
      <c r="E71" s="226"/>
      <c r="F71" s="80"/>
      <c r="G71" s="80"/>
      <c r="H71" s="80"/>
      <c r="I71" s="140">
        <f t="shared" si="1"/>
        <v>0</v>
      </c>
      <c r="J71" s="111"/>
      <c r="K71" s="112"/>
      <c r="L71" s="80"/>
      <c r="M71" s="269" t="str">
        <f>HYPERLINK("https://github.com/mostafa-saad/MyCompetitiveProgramming/blob/master/SPOJ/SPOJ_ABA12E.txt","Sol")</f>
        <v>Sol</v>
      </c>
    </row>
    <row r="72">
      <c r="A72" s="241"/>
      <c r="B72" s="241" t="s">
        <v>1006</v>
      </c>
      <c r="C72" s="80"/>
      <c r="D72" s="226"/>
      <c r="E72" s="226"/>
      <c r="F72" s="80"/>
      <c r="G72" s="80"/>
      <c r="H72" s="80"/>
      <c r="I72" s="140">
        <f t="shared" si="1"/>
        <v>0</v>
      </c>
      <c r="J72" s="111"/>
      <c r="K72" s="112"/>
      <c r="L72" s="80"/>
      <c r="M72" s="269" t="str">
        <f>HYPERLINK("https://github.com/ilyesG/Competitive-Programming/blob/master/UVA/UVA%2011825.cpp","Sol")</f>
        <v>Sol</v>
      </c>
    </row>
    <row r="73">
      <c r="A73" s="241"/>
      <c r="B73" s="244" t="str">
        <f>HYPERLINK("http://codeforces.com/contest/472/problem/D","CF472-D12-D")</f>
        <v>CF472-D12-D</v>
      </c>
      <c r="C73" s="80"/>
      <c r="D73" s="226"/>
      <c r="E73" s="226"/>
      <c r="F73" s="80"/>
      <c r="G73" s="80"/>
      <c r="H73" s="80"/>
      <c r="I73" s="140">
        <f t="shared" si="1"/>
        <v>0</v>
      </c>
      <c r="J73" s="111"/>
      <c r="K73" s="112"/>
      <c r="L73" s="80"/>
    </row>
    <row r="74">
      <c r="A74" s="241"/>
      <c r="B74" s="241" t="s">
        <v>1009</v>
      </c>
      <c r="C74" s="80"/>
      <c r="D74" s="226"/>
      <c r="E74" s="226"/>
      <c r="F74" s="80"/>
      <c r="G74" s="80"/>
      <c r="H74" s="80"/>
      <c r="I74" s="140">
        <f t="shared" si="1"/>
        <v>0</v>
      </c>
      <c r="J74" s="111"/>
      <c r="K74" s="112"/>
      <c r="L74" s="80"/>
      <c r="M74" s="269" t="str">
        <f>HYPERLINK("https://github.com/yazanKabbany/CompetitiveProgramming/blob/master/UVA/UVA%2012325.cpp","Prove your Solution")</f>
        <v>Prove your Solution</v>
      </c>
    </row>
    <row r="75">
      <c r="A75" s="241"/>
      <c r="B75" s="241" t="s">
        <v>1012</v>
      </c>
      <c r="C75" s="80"/>
      <c r="D75" s="226"/>
      <c r="E75" s="226"/>
      <c r="F75" s="80"/>
      <c r="G75" s="80"/>
      <c r="H75" s="80"/>
      <c r="I75" s="140">
        <f t="shared" si="1"/>
        <v>0</v>
      </c>
      <c r="J75" s="111"/>
      <c r="K75" s="112"/>
      <c r="L75" s="80"/>
      <c r="M75" s="269" t="str">
        <f>HYPERLINK("https://github.com/ilyesG/Competitive-Programming/blob/master/UVA/UVA%2012047.cpp","Sol")</f>
        <v>Sol</v>
      </c>
    </row>
    <row r="76">
      <c r="A76" s="241"/>
      <c r="B76" s="241" t="s">
        <v>1015</v>
      </c>
      <c r="C76" s="80"/>
      <c r="D76" s="226"/>
      <c r="E76" s="226"/>
      <c r="F76" s="80"/>
      <c r="G76" s="80"/>
      <c r="H76" s="80"/>
      <c r="I76" s="140">
        <f t="shared" si="1"/>
        <v>0</v>
      </c>
      <c r="J76" s="111"/>
      <c r="K76" s="112"/>
      <c r="L76" s="80"/>
      <c r="M76" s="269" t="str">
        <f>HYPERLINK("https://github.com/ilyesG/Competitive-Programming/blob/master/UVA/UVA%2010705.cpp","Sol")</f>
        <v>Sol</v>
      </c>
    </row>
    <row r="77">
      <c r="A77" s="241"/>
      <c r="B77" s="244" t="str">
        <f>HYPERLINK("http://codeforces.com/gym/101294/problem/I","CF101294-GYM-I")</f>
        <v>CF101294-GYM-I</v>
      </c>
      <c r="C77" s="80"/>
      <c r="D77" s="226"/>
      <c r="E77" s="226"/>
      <c r="F77" s="80"/>
      <c r="G77" s="80"/>
      <c r="H77" s="80"/>
      <c r="I77" s="140">
        <f t="shared" si="1"/>
        <v>0</v>
      </c>
      <c r="J77" s="111"/>
      <c r="K77" s="112"/>
      <c r="L77" s="80"/>
      <c r="M77" s="269" t="str">
        <f>HYPERLINK("https://github.com/SpeedOfMagic/CompetitiveProgramming/blob/master/CodeforcesGym/CF101294-GYM-I.cpp","Sol")</f>
        <v>Sol</v>
      </c>
    </row>
    <row r="78">
      <c r="A78" s="86"/>
      <c r="B78" s="88"/>
      <c r="C78" s="80"/>
      <c r="D78" s="226"/>
      <c r="E78" s="226"/>
      <c r="F78" s="80"/>
      <c r="G78" s="80"/>
      <c r="H78" s="80"/>
      <c r="I78" s="140">
        <f t="shared" si="1"/>
        <v>0</v>
      </c>
      <c r="J78" s="49"/>
      <c r="K78" s="36"/>
      <c r="L78" s="80"/>
      <c r="M78" s="87"/>
    </row>
    <row r="79">
      <c r="A79" s="106" t="s">
        <v>1019</v>
      </c>
      <c r="B79" s="309" t="str">
        <f>HYPERLINK("http://codeforces.com/contest/766/problem/D","CF766-D2-D")</f>
        <v>CF766-D2-D</v>
      </c>
      <c r="C79" s="80"/>
      <c r="D79" s="226"/>
      <c r="E79" s="226"/>
      <c r="F79" s="80"/>
      <c r="G79" s="80"/>
      <c r="H79" s="80"/>
      <c r="I79" s="140">
        <f t="shared" si="1"/>
        <v>0</v>
      </c>
      <c r="J79" s="49"/>
      <c r="K79" s="36"/>
      <c r="L79" s="80"/>
      <c r="M79" s="85" t="str">
        <f>HYPERLINK("https://www.youtube.com/watch?v=W0O3QNh0-DU","Video Solution - Solver to be (Java)")</f>
        <v>Video Solution - Solver to be (Java)</v>
      </c>
    </row>
    <row r="80">
      <c r="A80" s="106" t="s">
        <v>1023</v>
      </c>
      <c r="B80" s="309" t="str">
        <f>HYPERLINK("http://codeforces.com/contest/814/problem/D","CF814-D2-D")</f>
        <v>CF814-D2-D</v>
      </c>
      <c r="C80" s="80"/>
      <c r="D80" s="226"/>
      <c r="E80" s="226"/>
      <c r="F80" s="80"/>
      <c r="G80" s="80"/>
      <c r="H80" s="80"/>
      <c r="I80" s="140">
        <f t="shared" si="1"/>
        <v>0</v>
      </c>
      <c r="J80" s="49"/>
      <c r="K80" s="36"/>
      <c r="L80" s="80"/>
      <c r="M80" s="85" t="str">
        <f>HYPERLINK("https://www.youtube.com/watch?v=UWtHck3a4SA","Video Solution - Solver to be (Java)")</f>
        <v>Video Solution - Solver to be (Java)</v>
      </c>
    </row>
    <row r="81">
      <c r="A81" s="105" t="s">
        <v>1026</v>
      </c>
      <c r="B81" s="93" t="str">
        <f>HYPERLINK("http://codeforces.com/contest/617/problem/D","CF617-D2-D")</f>
        <v>CF617-D2-D</v>
      </c>
      <c r="C81" s="80"/>
      <c r="D81" s="226"/>
      <c r="E81" s="226"/>
      <c r="F81" s="80"/>
      <c r="G81" s="80"/>
      <c r="H81" s="80"/>
      <c r="I81" s="140">
        <f t="shared" si="1"/>
        <v>0</v>
      </c>
      <c r="J81" s="111"/>
      <c r="K81" s="112"/>
      <c r="L81" s="80"/>
      <c r="M81" s="80"/>
    </row>
    <row r="82">
      <c r="A82" s="105" t="s">
        <v>389</v>
      </c>
      <c r="B82" s="93" t="str">
        <f>HYPERLINK("http://codeforces.com/contest/92/problem/D","CF92-D2-D")</f>
        <v>CF92-D2-D</v>
      </c>
      <c r="C82" s="80"/>
      <c r="D82" s="226"/>
      <c r="E82" s="226"/>
      <c r="F82" s="80"/>
      <c r="G82" s="80"/>
      <c r="H82" s="80"/>
      <c r="I82" s="140">
        <f t="shared" si="1"/>
        <v>0</v>
      </c>
      <c r="J82" s="111"/>
      <c r="K82" s="112"/>
      <c r="L82" s="80"/>
      <c r="M82" s="80"/>
    </row>
    <row r="83">
      <c r="A83" s="105"/>
      <c r="B83" s="93" t="str">
        <f>HYPERLINK("http://codeforces.com/contest/1038/problem/D","CF1038-D2-D")</f>
        <v>CF1038-D2-D</v>
      </c>
      <c r="C83" s="80"/>
      <c r="D83" s="226"/>
      <c r="E83" s="226"/>
      <c r="F83" s="80"/>
      <c r="G83" s="80"/>
      <c r="H83" s="80"/>
      <c r="I83" s="140">
        <f t="shared" si="1"/>
        <v>0</v>
      </c>
      <c r="J83" s="111"/>
      <c r="K83" s="112"/>
      <c r="L83" s="80"/>
      <c r="M83" s="80"/>
    </row>
    <row r="84">
      <c r="A84" s="105"/>
      <c r="B84" s="93" t="str">
        <f>HYPERLINK("http://codeforces.com/contest/552/problem/D","CF552-D2-D")</f>
        <v>CF552-D2-D</v>
      </c>
      <c r="C84" s="80"/>
      <c r="D84" s="226"/>
      <c r="E84" s="226"/>
      <c r="F84" s="80"/>
      <c r="G84" s="80"/>
      <c r="H84" s="80"/>
      <c r="I84" s="140">
        <f t="shared" si="1"/>
        <v>0</v>
      </c>
      <c r="J84" s="111"/>
      <c r="K84" s="112"/>
      <c r="L84" s="80"/>
      <c r="M84" s="80"/>
    </row>
    <row r="85">
      <c r="A85" s="105"/>
      <c r="B85" s="93" t="str">
        <f>HYPERLINK("https://codeforces.com/gym/101917/problem/E", "CF101917-D12-E")</f>
        <v>CF101917-D12-E</v>
      </c>
      <c r="C85" s="80"/>
      <c r="D85" s="226"/>
      <c r="E85" s="226"/>
      <c r="F85" s="80"/>
      <c r="G85" s="80"/>
      <c r="H85" s="80"/>
      <c r="I85" s="140">
        <f t="shared" si="1"/>
        <v>0</v>
      </c>
      <c r="J85" s="111"/>
      <c r="K85" s="112"/>
      <c r="L85" s="80"/>
      <c r="M85" s="80"/>
    </row>
    <row r="86">
      <c r="A86" s="105"/>
      <c r="B86" s="93" t="str">
        <f>HYPERLINK("http://codeforces.com/contest/1058/problem/D","CF1058-D2-D")</f>
        <v>CF1058-D2-D</v>
      </c>
      <c r="C86" s="80"/>
      <c r="D86" s="226"/>
      <c r="E86" s="226"/>
      <c r="F86" s="80"/>
      <c r="G86" s="80"/>
      <c r="H86" s="80"/>
      <c r="I86" s="140">
        <f t="shared" si="1"/>
        <v>0</v>
      </c>
      <c r="J86" s="111"/>
      <c r="K86" s="112"/>
      <c r="L86" s="80"/>
      <c r="M86" s="80"/>
    </row>
    <row r="87">
      <c r="A87" s="105"/>
      <c r="B87" s="93" t="str">
        <f>HYPERLINK("http://codeforces.com/contest/1043/problem/D" , "CF1042-D12-D")</f>
        <v>CF1042-D12-D</v>
      </c>
      <c r="C87" s="80"/>
      <c r="D87" s="226"/>
      <c r="E87" s="226"/>
      <c r="F87" s="80"/>
      <c r="G87" s="80"/>
      <c r="H87" s="80"/>
      <c r="I87" s="140">
        <f t="shared" si="1"/>
        <v>0</v>
      </c>
      <c r="J87" s="111"/>
      <c r="K87" s="112"/>
      <c r="L87" s="80"/>
      <c r="M87" s="80"/>
    </row>
    <row r="88">
      <c r="A88" s="105"/>
      <c r="B88" s="105" t="s">
        <v>1046</v>
      </c>
      <c r="C88" s="80"/>
      <c r="D88" s="226"/>
      <c r="E88" s="226"/>
      <c r="F88" s="80"/>
      <c r="G88" s="80"/>
      <c r="H88" s="80"/>
      <c r="I88" s="140">
        <f t="shared" si="1"/>
        <v>0</v>
      </c>
      <c r="J88" s="111"/>
      <c r="K88" s="112"/>
      <c r="L88" s="80"/>
      <c r="M88" s="279" t="str">
        <f>HYPERLINK("https://github.com/MNT95/Competitive-Programming/blob/master/SPOJ/BIA.cpp?fbclid=IwAR1xR9CTVVj2L_Hr-1m5uIqAFHRc8Bh78z11v46sPyVjHwHeE3MvPrcMbn8","Sol")</f>
        <v>Sol</v>
      </c>
    </row>
    <row r="89">
      <c r="A89" s="137" t="s">
        <v>1048</v>
      </c>
      <c r="B89" s="234" t="str">
        <f>HYPERLINK("http://codeforces.com/contest/186/problem/C","CF186-D2-C")</f>
        <v>CF186-D2-C</v>
      </c>
      <c r="C89" s="80"/>
      <c r="D89" s="226"/>
      <c r="E89" s="226"/>
      <c r="F89" s="80"/>
      <c r="G89" s="80"/>
      <c r="H89" s="80"/>
      <c r="I89" s="140">
        <f t="shared" si="1"/>
        <v>0</v>
      </c>
      <c r="J89" s="111"/>
      <c r="K89" s="112"/>
      <c r="L89" s="80"/>
      <c r="M89" s="80"/>
    </row>
    <row r="90">
      <c r="A90" s="137" t="s">
        <v>1049</v>
      </c>
      <c r="B90" s="234" t="str">
        <f>HYPERLINK("http://codeforces.com/contest/667/problem/C","CF667-D2-C")</f>
        <v>CF667-D2-C</v>
      </c>
      <c r="C90" s="80"/>
      <c r="D90" s="226"/>
      <c r="E90" s="226"/>
      <c r="F90" s="80"/>
      <c r="G90" s="80"/>
      <c r="H90" s="80"/>
      <c r="I90" s="140">
        <f t="shared" si="1"/>
        <v>0</v>
      </c>
      <c r="J90" s="111"/>
      <c r="K90" s="112"/>
      <c r="L90" s="80"/>
      <c r="M90" s="80"/>
    </row>
    <row r="91">
      <c r="A91" s="137" t="s">
        <v>1050</v>
      </c>
      <c r="B91" s="234" t="str">
        <f>HYPERLINK("http://codeforces.com/contest/287/problem/C","CF287-D2-C")</f>
        <v>CF287-D2-C</v>
      </c>
      <c r="C91" s="80"/>
      <c r="D91" s="226"/>
      <c r="E91" s="226"/>
      <c r="F91" s="80"/>
      <c r="G91" s="80"/>
      <c r="H91" s="80"/>
      <c r="I91" s="140">
        <f t="shared" si="1"/>
        <v>0</v>
      </c>
      <c r="J91" s="111"/>
      <c r="K91" s="112"/>
      <c r="L91" s="80"/>
      <c r="M91" s="80"/>
    </row>
    <row r="92">
      <c r="A92" s="16"/>
      <c r="B92" s="16"/>
      <c r="C92" s="80"/>
      <c r="D92" s="226"/>
      <c r="E92" s="226"/>
      <c r="F92" s="80"/>
      <c r="G92" s="80"/>
      <c r="H92" s="80"/>
      <c r="I92" s="140">
        <f t="shared" si="1"/>
        <v>0</v>
      </c>
      <c r="J92" s="111"/>
      <c r="K92" s="112"/>
      <c r="L92" s="80"/>
      <c r="M92" s="312" t="str">
        <f>HYPERLINK("https://www.youtube.com/watch?v=nv6Z6n02Oi0","DP - Probability")</f>
        <v>DP - Probability</v>
      </c>
    </row>
    <row r="93">
      <c r="A93" s="313" t="s">
        <v>1051</v>
      </c>
      <c r="B93" s="314" t="str">
        <f>HYPERLINK("https://uva.onlinejudge.org/index.php?option=com_onlinejudge&amp;Itemid=8&amp;page=show_problem&amp;problem=1700","UVA 10759")</f>
        <v>UVA 10759</v>
      </c>
      <c r="C93" s="80"/>
      <c r="D93" s="226"/>
      <c r="E93" s="226"/>
      <c r="F93" s="80"/>
      <c r="G93" s="80"/>
      <c r="H93" s="80"/>
      <c r="I93" s="140">
        <f t="shared" si="1"/>
        <v>0</v>
      </c>
      <c r="J93" s="111"/>
      <c r="K93" s="112"/>
      <c r="L93" s="80"/>
      <c r="M93" s="269" t="str">
        <f>HYPERLINK("https://github.com/VAMPIER000001/CompetitiveProgramming/blob/master/UVA/V-107/UVa%2010759.cpp","Sol")</f>
        <v>Sol</v>
      </c>
    </row>
    <row r="94">
      <c r="A94" s="304" t="str">
        <f>HYPERLINK("https://community.topcoder.com/stat?c=problem_statement&amp;pm=7422&amp;rd=10663","TestBettingStrategy")</f>
        <v>TestBettingStrategy</v>
      </c>
      <c r="B94" s="313" t="s">
        <v>1052</v>
      </c>
      <c r="C94" s="80"/>
      <c r="D94" s="226"/>
      <c r="E94" s="226"/>
      <c r="F94" s="80"/>
      <c r="G94" s="80"/>
      <c r="H94" s="80"/>
      <c r="I94" s="140">
        <f t="shared" si="1"/>
        <v>0</v>
      </c>
      <c r="J94" s="16"/>
      <c r="K94" s="80"/>
      <c r="L94" s="80"/>
    </row>
    <row r="95">
      <c r="A95" s="313" t="s">
        <v>1053</v>
      </c>
      <c r="B95" s="302" t="str">
        <f>HYPERLINK("http://poj.org/problem?id=2096","PKU 2096")</f>
        <v>PKU 2096</v>
      </c>
      <c r="C95" s="80"/>
      <c r="D95" s="226"/>
      <c r="E95" s="226"/>
      <c r="F95" s="80"/>
      <c r="G95" s="80"/>
      <c r="H95" s="80"/>
      <c r="I95" s="140">
        <f t="shared" si="1"/>
        <v>0</v>
      </c>
      <c r="J95" s="111"/>
      <c r="K95" s="112"/>
      <c r="M95" s="269" t="str">
        <f>HYPERLINK("https://github.com/MichaelMounir12/CompetitiveProgramming/blob/478ef4641bab747e4fd63fffdff7d55287242921/PKU/PKU_2096.cpp","Sol")</f>
        <v>Sol</v>
      </c>
    </row>
    <row r="96">
      <c r="A96" s="313" t="s">
        <v>1054</v>
      </c>
      <c r="B96" s="302" t="str">
        <f>HYPERLINK("https://uva.onlinejudge.org/index.php?option=onlinejudge&amp;page=show_problem&amp;problem=483","UVA 542")</f>
        <v>UVA 542</v>
      </c>
      <c r="C96" s="80"/>
      <c r="D96" s="226"/>
      <c r="E96" s="226"/>
      <c r="F96" s="80"/>
      <c r="G96" s="80"/>
      <c r="H96" s="80"/>
      <c r="I96" s="140">
        <f t="shared" si="1"/>
        <v>0</v>
      </c>
      <c r="J96" s="16"/>
      <c r="K96" s="80"/>
      <c r="M96" s="269" t="str">
        <f>HYPERLINK("https://github.com/mostafa-saad/MyCompetitiveProgramming/blob/master/UVA/UVA_542.txt","Sol")</f>
        <v>Sol</v>
      </c>
    </row>
    <row r="97">
      <c r="A97" s="313" t="s">
        <v>1057</v>
      </c>
      <c r="B97" s="314" t="str">
        <f>HYPERLINK("https://uva.onlinejudge.org/index.php?option=com_onlinejudge&amp;Itemid=8&amp;page=show_problem&amp;problem=1962","UVA 11021")</f>
        <v>UVA 11021</v>
      </c>
      <c r="C97" s="80"/>
      <c r="D97" s="226"/>
      <c r="E97" s="226"/>
      <c r="F97" s="80"/>
      <c r="G97" s="80"/>
      <c r="H97" s="80"/>
      <c r="I97" s="140">
        <f t="shared" si="1"/>
        <v>0</v>
      </c>
      <c r="J97" s="16"/>
      <c r="K97" s="80"/>
      <c r="L97" s="80"/>
      <c r="M97" s="269" t="str">
        <f>HYPERLINK("https://github.com/VAMPIER000001/CompetitiveProgramming/blob/master/UVA/V-110/UVA%2011021.cpp","Sol")</f>
        <v>Sol</v>
      </c>
    </row>
    <row r="98">
      <c r="A98" s="313" t="s">
        <v>1058</v>
      </c>
      <c r="B98" s="314" t="str">
        <f>HYPERLINK("https://uva.onlinejudge.org/index.php?option=com_onlinejudge&amp;Itemid=8&amp;page=show_problem&amp;problem=3175","UVA 12024")</f>
        <v>UVA 12024</v>
      </c>
      <c r="C98" s="80"/>
      <c r="D98" s="226"/>
      <c r="E98" s="226"/>
      <c r="F98" s="80"/>
      <c r="G98" s="80"/>
      <c r="H98" s="80"/>
      <c r="I98" s="140">
        <f t="shared" si="1"/>
        <v>0</v>
      </c>
      <c r="J98" s="16"/>
      <c r="K98" s="80"/>
      <c r="L98" s="80"/>
      <c r="M98" s="269" t="str">
        <f>HYPERLINK("https://github.com/mostafa-saad/MyCompetitiveProgramming/blob/master/UVA/UVA_12024.txt","Sol")</f>
        <v>Sol</v>
      </c>
    </row>
    <row r="99">
      <c r="A99" s="313" t="s">
        <v>1059</v>
      </c>
      <c r="B99" s="314" t="str">
        <f>HYPERLINK("https://uva.onlinejudge.org/index.php?option=com_onlinejudge&amp;Itemid=8&amp;page=show_problem&amp;problem=3888","UVA 12457")</f>
        <v>UVA 12457</v>
      </c>
      <c r="C99" s="80"/>
      <c r="D99" s="226"/>
      <c r="E99" s="226"/>
      <c r="F99" s="80"/>
      <c r="G99" s="80"/>
      <c r="H99" s="80"/>
      <c r="I99" s="140">
        <f t="shared" si="1"/>
        <v>0</v>
      </c>
      <c r="J99" s="16"/>
      <c r="K99" s="80"/>
      <c r="M99" s="269" t="str">
        <f>HYPERLINK("https://github.com/3agwa/CompetitiveProgramming/blob/master/UVA/UVA%2012457","Sol")</f>
        <v>Sol</v>
      </c>
    </row>
    <row r="100">
      <c r="A100" s="129" t="s">
        <v>1060</v>
      </c>
      <c r="B100" s="132" t="str">
        <f>HYPERLINK("https://uva.onlinejudge.org/index.php?option=com_onlinejudge&amp;Itemid=8&amp;page=show_problem&amp;problem=774","UVA 833")</f>
        <v>UVA 833</v>
      </c>
      <c r="C100" s="80"/>
      <c r="D100" s="226"/>
      <c r="E100" s="226"/>
      <c r="F100" s="80"/>
      <c r="G100" s="80"/>
      <c r="H100" s="80"/>
      <c r="I100" s="140">
        <f t="shared" si="1"/>
        <v>0</v>
      </c>
      <c r="J100" s="111"/>
      <c r="K100" s="112"/>
      <c r="M100" s="269" t="str">
        <f>HYPERLINK("https://github.com/AbdelrahmanRamadan/competitive-programming/blob/master/Topcoder/SRM368%20Jumping%20Board.cpp","Sol")</f>
        <v>Sol</v>
      </c>
    </row>
    <row r="101">
      <c r="A101" s="129" t="s">
        <v>1061</v>
      </c>
      <c r="B101" s="132" t="str">
        <f>HYPERLINK("https://uva.onlinejudge.org/index.php?option=com_onlinejudge&amp;Itemid=8&amp;page=show_problem&amp;problem=1647","UVA 10706")</f>
        <v>UVA 10706</v>
      </c>
      <c r="C101" s="80"/>
      <c r="D101" s="226"/>
      <c r="E101" s="226"/>
      <c r="F101" s="80"/>
      <c r="G101" s="80"/>
      <c r="H101" s="80"/>
      <c r="I101" s="140">
        <f t="shared" si="1"/>
        <v>0</v>
      </c>
      <c r="J101" s="111"/>
      <c r="K101" s="112"/>
      <c r="L101" s="80"/>
    </row>
    <row r="102">
      <c r="A102" s="129" t="s">
        <v>1062</v>
      </c>
      <c r="B102" s="132" t="str">
        <f>HYPERLINK("https://uva.onlinejudge.org/index.php?option=com_onlinejudge&amp;Itemid=8&amp;page=show_problem&amp;problem=556","UVA 615")</f>
        <v>UVA 615</v>
      </c>
      <c r="C102" s="80"/>
      <c r="D102" s="226"/>
      <c r="E102" s="226"/>
      <c r="F102" s="80"/>
      <c r="G102" s="80"/>
      <c r="H102" s="80"/>
      <c r="I102" s="140">
        <f t="shared" si="1"/>
        <v>0</v>
      </c>
      <c r="J102" s="111"/>
      <c r="K102" s="112"/>
      <c r="L102" s="80"/>
    </row>
    <row r="103">
      <c r="A103" s="316" t="s">
        <v>1063</v>
      </c>
      <c r="B103" s="317" t="str">
        <f>HYPERLINK("http://www.spoj.com/problems/HELPR2D2","SPOJ HELPR2D2")</f>
        <v>SPOJ HELPR2D2</v>
      </c>
      <c r="C103" s="80"/>
      <c r="D103" s="226"/>
      <c r="E103" s="226"/>
      <c r="F103" s="80"/>
      <c r="G103" s="80"/>
      <c r="H103" s="80"/>
      <c r="I103" s="140">
        <f t="shared" si="1"/>
        <v>0</v>
      </c>
      <c r="J103" s="16"/>
      <c r="K103" s="80"/>
      <c r="L103" s="80"/>
    </row>
    <row r="104">
      <c r="A104" s="318"/>
      <c r="B104" s="320" t="str">
        <f>HYPERLINK("https://github.com/racsosabe/CompetitiveProgramming/blob/master/CodeForces/CF1016-D2-E.cpp","CF1016-D2-E")</f>
        <v>CF1016-D2-E</v>
      </c>
      <c r="C104" s="80"/>
      <c r="D104" s="226"/>
      <c r="E104" s="226"/>
      <c r="F104" s="80"/>
      <c r="G104" s="80"/>
      <c r="H104" s="80"/>
      <c r="I104" s="140">
        <f t="shared" si="1"/>
        <v>0</v>
      </c>
      <c r="J104" s="49"/>
      <c r="K104" s="36"/>
      <c r="L104" s="80"/>
    </row>
    <row r="105">
      <c r="A105" s="318"/>
      <c r="B105" s="318" t="s">
        <v>1067</v>
      </c>
      <c r="C105" s="80"/>
      <c r="D105" s="226"/>
      <c r="E105" s="226"/>
      <c r="F105" s="80"/>
      <c r="G105" s="80"/>
      <c r="H105" s="80"/>
      <c r="I105" s="140">
        <f t="shared" si="1"/>
        <v>0</v>
      </c>
      <c r="J105" s="49"/>
      <c r="K105" s="36"/>
      <c r="L105" s="80"/>
      <c r="M105" s="269" t="str">
        <f>HYPERLINK("https://github.com/thackerhelik/UVA/blob/master/11997.cpp","Sol")</f>
        <v>Sol</v>
      </c>
    </row>
    <row r="106">
      <c r="A106" s="318"/>
      <c r="B106" s="320" t="str">
        <f>HYPERLINK("https://www.facebook.com/hackercup/problem/180494849326631/","FbHkrCup 18-R1-A")</f>
        <v>FbHkrCup 18-R1-A</v>
      </c>
      <c r="C106" s="80"/>
      <c r="D106" s="226"/>
      <c r="E106" s="226"/>
      <c r="F106" s="80"/>
      <c r="G106" s="80"/>
      <c r="H106" s="80"/>
      <c r="I106" s="140">
        <f t="shared" si="1"/>
        <v>0</v>
      </c>
      <c r="J106" s="49"/>
      <c r="K106" s="36"/>
      <c r="L106" s="80"/>
    </row>
    <row r="107">
      <c r="A107" s="318"/>
      <c r="B107" s="318" t="s">
        <v>1071</v>
      </c>
      <c r="C107" s="80"/>
      <c r="D107" s="226"/>
      <c r="E107" s="226"/>
      <c r="F107" s="80"/>
      <c r="G107" s="80"/>
      <c r="H107" s="80"/>
      <c r="I107" s="140">
        <f t="shared" si="1"/>
        <v>0</v>
      </c>
      <c r="J107" s="49"/>
      <c r="K107" s="36"/>
      <c r="L107" s="80"/>
    </row>
    <row r="108">
      <c r="A108" s="324"/>
      <c r="B108" s="325"/>
      <c r="C108" s="80"/>
      <c r="D108" s="226"/>
      <c r="E108" s="226"/>
      <c r="F108" s="80"/>
      <c r="G108" s="80"/>
      <c r="H108" s="80"/>
      <c r="I108" s="140">
        <f t="shared" si="1"/>
        <v>0</v>
      </c>
      <c r="J108" s="49"/>
      <c r="K108" s="36"/>
      <c r="L108" s="80"/>
    </row>
    <row r="109">
      <c r="A109" s="92" t="s">
        <v>1072</v>
      </c>
      <c r="B109" s="141" t="str">
        <f>HYPERLINK("http://codeforces.com/contest/443/problem/D","CF443-D2-D")</f>
        <v>CF443-D2-D</v>
      </c>
      <c r="C109" s="80"/>
      <c r="D109" s="226"/>
      <c r="E109" s="226"/>
      <c r="F109" s="80"/>
      <c r="G109" s="80"/>
      <c r="H109" s="80"/>
      <c r="I109" s="140">
        <f t="shared" si="1"/>
        <v>0</v>
      </c>
      <c r="J109" s="111"/>
      <c r="K109" s="112"/>
      <c r="M109" s="269" t="str">
        <f>HYPERLINK("http://codeforces.com/contest/443/submission/27060632","Sol")</f>
        <v>Sol</v>
      </c>
    </row>
    <row r="110">
      <c r="A110" s="92" t="s">
        <v>1075</v>
      </c>
      <c r="B110" s="88" t="str">
        <f>HYPERLINK("http://codeforces.com/contest/155/problem/D","CF155-D2-D")</f>
        <v>CF155-D2-D</v>
      </c>
      <c r="C110" s="80"/>
      <c r="D110" s="226"/>
      <c r="E110" s="226"/>
      <c r="F110" s="80"/>
      <c r="G110" s="80"/>
      <c r="H110" s="80"/>
      <c r="I110" s="140">
        <f t="shared" si="1"/>
        <v>0</v>
      </c>
      <c r="J110" s="49"/>
      <c r="K110" s="36"/>
      <c r="L110" s="80"/>
      <c r="M110" s="105"/>
    </row>
    <row r="111">
      <c r="A111" s="105" t="s">
        <v>1076</v>
      </c>
      <c r="B111" s="93" t="str">
        <f>HYPERLINK("http://codeforces.com/contest/581/problem/D","CF581-D2-D")</f>
        <v>CF581-D2-D</v>
      </c>
      <c r="C111" s="80"/>
      <c r="D111" s="226"/>
      <c r="E111" s="226"/>
      <c r="F111" s="80"/>
      <c r="G111" s="80"/>
      <c r="H111" s="80"/>
      <c r="I111" s="140">
        <f t="shared" si="1"/>
        <v>0</v>
      </c>
      <c r="J111" s="111"/>
      <c r="K111" s="112"/>
      <c r="L111" s="80"/>
      <c r="M111" s="80"/>
    </row>
    <row r="112">
      <c r="A112" s="105" t="s">
        <v>1078</v>
      </c>
      <c r="B112" s="145" t="str">
        <f>HYPERLINK("http://codeforces.com/contest/265/problem/D","CF265-D2-D")</f>
        <v>CF265-D2-D</v>
      </c>
      <c r="C112" s="80"/>
      <c r="D112" s="226"/>
      <c r="E112" s="226"/>
      <c r="F112" s="80"/>
      <c r="G112" s="80"/>
      <c r="H112" s="80"/>
      <c r="I112" s="140">
        <f t="shared" si="1"/>
        <v>0</v>
      </c>
      <c r="J112" s="111"/>
      <c r="K112" s="112"/>
      <c r="L112" s="80"/>
      <c r="M112" s="80"/>
    </row>
    <row r="113">
      <c r="A113" s="137" t="s">
        <v>1079</v>
      </c>
      <c r="B113" s="234" t="str">
        <f>HYPERLINK("http://codeforces.com/contest/116/problem/C","CF116-D2-C")</f>
        <v>CF116-D2-C</v>
      </c>
      <c r="C113" s="80"/>
      <c r="D113" s="226"/>
      <c r="E113" s="226"/>
      <c r="F113" s="80"/>
      <c r="G113" s="80"/>
      <c r="H113" s="80"/>
      <c r="I113" s="140">
        <f t="shared" si="1"/>
        <v>0</v>
      </c>
      <c r="J113" s="111"/>
      <c r="K113" s="112"/>
      <c r="L113" s="80"/>
      <c r="M113" s="80"/>
    </row>
    <row r="114">
      <c r="A114" s="137" t="s">
        <v>1081</v>
      </c>
      <c r="B114" s="234" t="str">
        <f>HYPERLINK("http://codeforces.com/contest/342/problem/C","CF342-D2-C")</f>
        <v>CF342-D2-C</v>
      </c>
      <c r="C114" s="80"/>
      <c r="D114" s="226"/>
      <c r="E114" s="226"/>
      <c r="F114" s="80"/>
      <c r="G114" s="80"/>
      <c r="H114" s="80"/>
      <c r="I114" s="140">
        <f t="shared" si="1"/>
        <v>0</v>
      </c>
      <c r="J114" s="111"/>
      <c r="K114" s="112"/>
      <c r="L114" s="80"/>
      <c r="M114" s="80"/>
    </row>
    <row r="115">
      <c r="A115" s="137" t="s">
        <v>1082</v>
      </c>
      <c r="B115" s="234" t="str">
        <f>HYPERLINK("http://codeforces.com/contest/233/problem/C","CF233-D2-C")</f>
        <v>CF233-D2-C</v>
      </c>
      <c r="C115" s="80"/>
      <c r="D115" s="226"/>
      <c r="E115" s="226"/>
      <c r="F115" s="80"/>
      <c r="G115" s="80"/>
      <c r="H115" s="80"/>
      <c r="I115" s="140">
        <f t="shared" si="1"/>
        <v>0</v>
      </c>
      <c r="J115" s="111"/>
      <c r="K115" s="112"/>
      <c r="L115" s="80"/>
      <c r="M115" s="80"/>
    </row>
    <row r="116">
      <c r="A116" s="16"/>
      <c r="B116" s="16"/>
      <c r="C116" s="80"/>
      <c r="D116" s="226"/>
      <c r="E116" s="226"/>
      <c r="F116" s="80"/>
      <c r="G116" s="80"/>
      <c r="H116" s="80"/>
      <c r="I116" s="140">
        <f t="shared" si="1"/>
        <v>0</v>
      </c>
      <c r="J116" s="111"/>
      <c r="K116" s="112"/>
      <c r="L116" s="80"/>
      <c r="M116" s="312" t="str">
        <f>HYPERLINK("https://www.youtube.com/watch?v=8aATaY9sdeE&amp;index=10&amp;list=PLPt2dINI2MIattDutu7IOAMlUuLeN8k2p&amp;t=3s","DP - Masks (2 vid)")</f>
        <v>DP - Masks (2 vid)</v>
      </c>
    </row>
    <row r="117">
      <c r="A117" s="333" t="s">
        <v>1084</v>
      </c>
      <c r="B117" s="302" t="str">
        <f>HYPERLINK("https://uva.onlinejudge.org/index.php?option=com_onlinejudge&amp;Itemid=8&amp;page=show_problem&amp;problem=1592","UVA 10651")</f>
        <v>UVA 10651</v>
      </c>
      <c r="C117" s="80"/>
      <c r="D117" s="226"/>
      <c r="E117" s="226"/>
      <c r="F117" s="80"/>
      <c r="G117" s="80"/>
      <c r="H117" s="80"/>
      <c r="I117" s="140">
        <f t="shared" si="1"/>
        <v>0</v>
      </c>
      <c r="J117" s="16"/>
      <c r="K117" s="80"/>
      <c r="L117" s="80"/>
      <c r="M117" s="80"/>
    </row>
    <row r="118">
      <c r="A118" s="334" t="s">
        <v>1085</v>
      </c>
      <c r="B118" s="302" t="str">
        <f>HYPERLINK("http://codeforces.com/contest/580/problem/D","CF580-D2-D")</f>
        <v>CF580-D2-D</v>
      </c>
      <c r="C118" s="80"/>
      <c r="D118" s="226"/>
      <c r="E118" s="226"/>
      <c r="F118" s="80"/>
      <c r="G118" s="80"/>
      <c r="H118" s="80"/>
      <c r="I118" s="140">
        <f t="shared" si="1"/>
        <v>0</v>
      </c>
      <c r="J118" s="16"/>
      <c r="K118" s="80"/>
      <c r="L118" s="80"/>
      <c r="M118" s="85" t="str">
        <f>HYPERLINK("https://www.youtube.com/watch?v=GvWLpm0tBEU&amp;index=29&amp;list=PLPSFnlxEu99Eds9cvJPk49sljXXvarTxM","Video Solution - Solver to be")</f>
        <v>Video Solution - Solver to be</v>
      </c>
    </row>
    <row r="119">
      <c r="A119" s="335" t="s">
        <v>239</v>
      </c>
      <c r="B119" s="302" t="str">
        <f>HYPERLINK("http://www.spoj.com/problems/PERMUT1/","SPOJ PERMUT1")</f>
        <v>SPOJ PERMUT1</v>
      </c>
      <c r="C119" s="80"/>
      <c r="D119" s="226"/>
      <c r="E119" s="226"/>
      <c r="F119" s="80"/>
      <c r="G119" s="80"/>
      <c r="H119" s="80"/>
      <c r="I119" s="140">
        <f t="shared" si="1"/>
        <v>0</v>
      </c>
      <c r="J119" s="16"/>
      <c r="K119" s="80"/>
      <c r="L119" s="80"/>
      <c r="M119" s="80"/>
    </row>
    <row r="120">
      <c r="A120" s="336" t="s">
        <v>1086</v>
      </c>
      <c r="B120" s="302" t="str">
        <f>HYPERLINK("http://www.spoj.com/problems/ASSIGN/","SPOJ ASSIGN")</f>
        <v>SPOJ ASSIGN</v>
      </c>
      <c r="C120" s="80"/>
      <c r="D120" s="226"/>
      <c r="E120" s="226"/>
      <c r="F120" s="80"/>
      <c r="G120" s="80"/>
      <c r="H120" s="80"/>
      <c r="I120" s="140">
        <f t="shared" si="1"/>
        <v>0</v>
      </c>
      <c r="J120" s="111"/>
      <c r="K120" s="112"/>
      <c r="L120" s="80"/>
      <c r="M120" s="80"/>
    </row>
    <row r="121">
      <c r="A121" s="337" t="s">
        <v>1088</v>
      </c>
      <c r="B121" s="302" t="str">
        <f>HYPERLINK("http://acm.tju.edu.cn/toj/showp1189.html","TJU 1189")</f>
        <v>TJU 1189</v>
      </c>
      <c r="C121" s="80"/>
      <c r="D121" s="226"/>
      <c r="E121" s="226"/>
      <c r="F121" s="80"/>
      <c r="G121" s="80"/>
      <c r="H121" s="80"/>
      <c r="I121" s="140">
        <f t="shared" si="1"/>
        <v>0</v>
      </c>
      <c r="J121" s="111"/>
      <c r="K121" s="112"/>
      <c r="L121" s="80"/>
      <c r="M121" s="80"/>
    </row>
    <row r="122">
      <c r="A122" s="129"/>
      <c r="B122" s="132" t="str">
        <f>HYPERLINK("http://codeforces.com/contest/16/problem/E","CF16-D2-E")</f>
        <v>CF16-D2-E</v>
      </c>
      <c r="C122" s="80"/>
      <c r="D122" s="226"/>
      <c r="E122" s="226"/>
      <c r="F122" s="80"/>
      <c r="G122" s="80"/>
      <c r="H122" s="80"/>
      <c r="I122" s="140">
        <f t="shared" si="1"/>
        <v>0</v>
      </c>
      <c r="J122" s="111"/>
      <c r="K122" s="112"/>
      <c r="L122" s="80"/>
      <c r="M122" s="80"/>
    </row>
    <row r="123">
      <c r="A123" s="129" t="s">
        <v>1093</v>
      </c>
      <c r="B123" s="132" t="str">
        <f>HYPERLINK("https://uva.onlinejudge.org/index.php?option=onlinejudge&amp;page=show_problem&amp;problem=1119","UVA 10178")</f>
        <v>UVA 10178</v>
      </c>
      <c r="C123" s="80"/>
      <c r="D123" s="226"/>
      <c r="E123" s="226"/>
      <c r="F123" s="80"/>
      <c r="G123" s="80"/>
      <c r="H123" s="80"/>
      <c r="I123" s="140">
        <f t="shared" si="1"/>
        <v>0</v>
      </c>
      <c r="J123" s="111"/>
      <c r="K123" s="112"/>
      <c r="L123" s="80"/>
      <c r="M123" s="279" t="str">
        <f>HYPERLINK("https://en.wikipedia.org/wiki/Planar_graph#Euler's_formula","Read first Euler Formula")</f>
        <v>Read first Euler Formula</v>
      </c>
    </row>
    <row r="124">
      <c r="A124" s="129" t="s">
        <v>1097</v>
      </c>
      <c r="B124" s="132" t="str">
        <f>HYPERLINK("https://uva.onlinejudge.org/index.php?option=onlinejudge&amp;page=show_problem&amp;problem=1833","UVA 10892")</f>
        <v>UVA 10892</v>
      </c>
      <c r="C124" s="80"/>
      <c r="D124" s="80"/>
      <c r="E124" s="80"/>
      <c r="F124" s="80"/>
      <c r="G124" s="80"/>
      <c r="H124" s="80"/>
      <c r="I124" s="97">
        <f t="shared" si="1"/>
        <v>0</v>
      </c>
      <c r="J124" s="16"/>
      <c r="K124" s="80"/>
      <c r="L124" s="80"/>
      <c r="M124" s="80"/>
    </row>
    <row r="125">
      <c r="A125" s="163" t="s">
        <v>1099</v>
      </c>
      <c r="B125" s="132" t="str">
        <f>HYPERLINK("http://codeforces.com/contest/645/problem/D","CF645-D12-D")</f>
        <v>CF645-D12-D</v>
      </c>
      <c r="C125" s="80"/>
      <c r="D125" s="226"/>
      <c r="E125" s="226"/>
      <c r="F125" s="80"/>
      <c r="G125" s="80"/>
      <c r="H125" s="80"/>
      <c r="I125" s="140">
        <f t="shared" si="1"/>
        <v>0</v>
      </c>
      <c r="J125" s="16"/>
      <c r="K125" s="80"/>
      <c r="L125" s="80"/>
    </row>
    <row r="126">
      <c r="A126" s="129" t="s">
        <v>1101</v>
      </c>
      <c r="B126" s="132" t="str">
        <f>HYPERLINK("https://uva.onlinejudge.org/index.php?option=com_onlinejudge&amp;Itemid=8&amp;page=show_problem&amp;problem=1475","UVA 10534")</f>
        <v>UVA 10534</v>
      </c>
      <c r="C126" s="80"/>
      <c r="D126" s="80"/>
      <c r="E126" s="80"/>
      <c r="F126" s="80"/>
      <c r="G126" s="80"/>
      <c r="H126" s="80"/>
      <c r="I126" s="97">
        <f t="shared" si="1"/>
        <v>0</v>
      </c>
      <c r="J126" s="16"/>
      <c r="K126" s="80"/>
      <c r="L126" s="80"/>
      <c r="M126" s="145" t="str">
        <f>HYPERLINK("https://github.com/AliOsm/CompetitiveProgramming/blob/master/UVA/10534%20-%20Wavio%20Sequence.cpp","Sol")</f>
        <v>Sol</v>
      </c>
    </row>
    <row r="127">
      <c r="A127" s="163"/>
      <c r="B127" s="167" t="str">
        <f>HYPERLINK("http://codeforces.com/contest/1012/problem/A","CF1012-D1-A")</f>
        <v>CF1012-D1-A</v>
      </c>
      <c r="C127" s="80"/>
      <c r="D127" s="226"/>
      <c r="E127" s="226"/>
      <c r="F127" s="80"/>
      <c r="G127" s="80"/>
      <c r="H127" s="80"/>
      <c r="I127" s="140">
        <f t="shared" si="1"/>
        <v>0</v>
      </c>
      <c r="J127" s="16"/>
      <c r="K127" s="80"/>
      <c r="L127" s="80"/>
    </row>
    <row r="128">
      <c r="A128" s="163"/>
      <c r="B128" s="163" t="s">
        <v>1105</v>
      </c>
      <c r="C128" s="80"/>
      <c r="D128" s="226"/>
      <c r="E128" s="226"/>
      <c r="F128" s="80"/>
      <c r="G128" s="80"/>
      <c r="H128" s="80"/>
      <c r="I128" s="140">
        <f t="shared" si="1"/>
        <v>0</v>
      </c>
      <c r="J128" s="16"/>
      <c r="K128" s="80"/>
      <c r="L128" s="80"/>
      <c r="M128" s="269" t="str">
        <f>HYPERLINK("https://ideone.com/x8zpRc","Sol - read the statement clarification")</f>
        <v>Sol - read the statement clarification</v>
      </c>
    </row>
    <row r="129">
      <c r="A129" s="51"/>
      <c r="B129" s="340"/>
      <c r="C129" s="80"/>
      <c r="D129" s="226"/>
      <c r="E129" s="226"/>
      <c r="F129" s="80"/>
      <c r="G129" s="80"/>
      <c r="H129" s="80"/>
      <c r="I129" s="140">
        <f t="shared" si="1"/>
        <v>0</v>
      </c>
      <c r="J129" s="49"/>
      <c r="K129" s="36"/>
      <c r="L129" s="80"/>
      <c r="M129" s="105"/>
    </row>
    <row r="130">
      <c r="A130" s="92" t="s">
        <v>1108</v>
      </c>
      <c r="B130" s="233" t="str">
        <f>HYPERLINK("http://codeforces.com/contest/711/problem/D","CF711-D2-D")</f>
        <v>CF711-D2-D</v>
      </c>
      <c r="C130" s="80"/>
      <c r="D130" s="226"/>
      <c r="E130" s="226"/>
      <c r="F130" s="80"/>
      <c r="G130" s="80"/>
      <c r="H130" s="80"/>
      <c r="I130" s="140">
        <f t="shared" si="1"/>
        <v>0</v>
      </c>
      <c r="J130" s="49"/>
      <c r="K130" s="36"/>
      <c r="L130" s="80"/>
      <c r="M130" s="105"/>
    </row>
    <row r="131">
      <c r="A131" s="92" t="s">
        <v>1110</v>
      </c>
      <c r="B131" s="88" t="str">
        <f>HYPERLINK("http://codeforces.com/contest/327/problem/D","CF327-D2-D")</f>
        <v>CF327-D2-D</v>
      </c>
      <c r="C131" s="80"/>
      <c r="D131" s="226"/>
      <c r="E131" s="226"/>
      <c r="F131" s="80"/>
      <c r="G131" s="80"/>
      <c r="H131" s="80"/>
      <c r="I131" s="140">
        <f t="shared" si="1"/>
        <v>0</v>
      </c>
      <c r="J131" s="49"/>
      <c r="K131" s="36"/>
      <c r="L131" s="80"/>
      <c r="M131" s="105"/>
    </row>
    <row r="132">
      <c r="A132" s="105" t="s">
        <v>1111</v>
      </c>
      <c r="B132" s="107" t="str">
        <f>HYPERLINK("http://codeforces.com/contest/519/problem/D","CF519-D2-D")</f>
        <v>CF519-D2-D</v>
      </c>
      <c r="C132" s="80"/>
      <c r="D132" s="226"/>
      <c r="E132" s="226"/>
      <c r="F132" s="80"/>
      <c r="G132" s="80"/>
      <c r="H132" s="80"/>
      <c r="I132" s="140">
        <f t="shared" si="1"/>
        <v>0</v>
      </c>
      <c r="J132" s="111"/>
      <c r="K132" s="112"/>
      <c r="L132" s="80"/>
      <c r="M132" s="80"/>
    </row>
    <row r="133">
      <c r="A133" s="105" t="s">
        <v>1113</v>
      </c>
      <c r="B133" s="107" t="str">
        <f>HYPERLINK("http://codeforces.com/contest/701/problem/D","CF701-D2-D")</f>
        <v>CF701-D2-D</v>
      </c>
      <c r="C133" s="80"/>
      <c r="D133" s="226"/>
      <c r="E133" s="226"/>
      <c r="F133" s="80"/>
      <c r="G133" s="80"/>
      <c r="H133" s="80"/>
      <c r="I133" s="140">
        <f t="shared" si="1"/>
        <v>0</v>
      </c>
      <c r="J133" s="111"/>
      <c r="K133" s="112"/>
      <c r="L133" s="80"/>
      <c r="M133" s="80"/>
    </row>
    <row r="134">
      <c r="A134" s="105" t="s">
        <v>1114</v>
      </c>
      <c r="B134" s="107" t="str">
        <f>HYPERLINK("http://codeforces.com/contest/743/problem/D","CF743-D2-D")</f>
        <v>CF743-D2-D</v>
      </c>
      <c r="C134" s="80"/>
      <c r="D134" s="226"/>
      <c r="E134" s="226"/>
      <c r="F134" s="80"/>
      <c r="G134" s="80"/>
      <c r="H134" s="80"/>
      <c r="I134" s="140">
        <f t="shared" si="1"/>
        <v>0</v>
      </c>
      <c r="J134" s="111"/>
      <c r="K134" s="112"/>
      <c r="L134" s="80"/>
      <c r="M134" s="80"/>
    </row>
    <row r="135">
      <c r="A135" s="137" t="s">
        <v>1116</v>
      </c>
      <c r="B135" s="298" t="str">
        <f>HYPERLINK("http://codeforces.com/contest/25/problem/C","CF25-D2-C")</f>
        <v>CF25-D2-C</v>
      </c>
      <c r="C135" s="80"/>
      <c r="D135" s="226"/>
      <c r="E135" s="226"/>
      <c r="F135" s="80"/>
      <c r="G135" s="80"/>
      <c r="H135" s="80"/>
      <c r="I135" s="140">
        <f t="shared" si="1"/>
        <v>0</v>
      </c>
      <c r="J135" s="111"/>
      <c r="K135" s="112"/>
      <c r="L135" s="80"/>
      <c r="M135" s="80"/>
    </row>
    <row r="136">
      <c r="A136" s="137" t="s">
        <v>1118</v>
      </c>
      <c r="B136" s="298" t="str">
        <f>HYPERLINK("http://codeforces.com/contest/203/problem/C","CF203-D2-C")</f>
        <v>CF203-D2-C</v>
      </c>
      <c r="C136" s="80"/>
      <c r="D136" s="226"/>
      <c r="E136" s="226"/>
      <c r="F136" s="80"/>
      <c r="G136" s="80"/>
      <c r="H136" s="80"/>
      <c r="I136" s="140">
        <f t="shared" si="1"/>
        <v>0</v>
      </c>
      <c r="J136" s="111"/>
      <c r="K136" s="112"/>
      <c r="L136" s="80"/>
      <c r="M136" s="80"/>
    </row>
    <row r="137">
      <c r="A137" s="137" t="s">
        <v>1119</v>
      </c>
      <c r="B137" s="298" t="str">
        <f>HYPERLINK("http://codeforces.com/contest/236/problem/C","CF236-D2-C")</f>
        <v>CF236-D2-C</v>
      </c>
      <c r="C137" s="80"/>
      <c r="D137" s="226"/>
      <c r="E137" s="226"/>
      <c r="F137" s="80"/>
      <c r="G137" s="80"/>
      <c r="H137" s="80"/>
      <c r="I137" s="140">
        <f t="shared" si="1"/>
        <v>0</v>
      </c>
      <c r="J137" s="111"/>
      <c r="K137" s="112"/>
      <c r="L137" s="80"/>
      <c r="M137" s="80"/>
    </row>
    <row r="138">
      <c r="A138" s="342"/>
      <c r="B138" s="80"/>
      <c r="C138" s="80"/>
      <c r="D138" s="226"/>
      <c r="E138" s="226"/>
      <c r="F138" s="80"/>
      <c r="G138" s="80"/>
      <c r="H138" s="80"/>
      <c r="I138" s="140">
        <f t="shared" si="1"/>
        <v>0</v>
      </c>
      <c r="J138" s="111"/>
      <c r="K138" s="112"/>
      <c r="L138" s="80"/>
      <c r="M138" s="312" t="str">
        <f>HYPERLINK("https://www.youtube.com/watch?v=IGaJWl0jPY4","String Processing - Trie")</f>
        <v>String Processing - Trie</v>
      </c>
    </row>
    <row r="139">
      <c r="A139" s="343" t="s">
        <v>1125</v>
      </c>
      <c r="B139" s="302" t="str">
        <f>HYPERLINK("http://www.spoj.com/problems/DICT/","SPOJ DICT")</f>
        <v>SPOJ DICT</v>
      </c>
      <c r="C139" s="80"/>
      <c r="D139" s="226"/>
      <c r="E139" s="226"/>
      <c r="F139" s="80"/>
      <c r="G139" s="80"/>
      <c r="H139" s="80"/>
      <c r="I139" s="140">
        <f t="shared" si="1"/>
        <v>0</v>
      </c>
      <c r="J139" s="111"/>
      <c r="K139" s="112"/>
      <c r="L139" s="80"/>
      <c r="M139" s="80"/>
    </row>
    <row r="140">
      <c r="A140" s="343" t="s">
        <v>1165</v>
      </c>
      <c r="B140" s="302" t="str">
        <f>HYPERLINK("https://uva.onlinejudge.org/index.php?option=com_onlinejudge&amp;Itemid=8&amp;page=show_problem&amp;problem=4331","UVA 1556")</f>
        <v>UVA 1556</v>
      </c>
      <c r="C140" s="80"/>
      <c r="D140" s="226"/>
      <c r="E140" s="226"/>
      <c r="F140" s="80"/>
      <c r="G140" s="80"/>
      <c r="H140" s="80"/>
      <c r="I140" s="140">
        <f t="shared" si="1"/>
        <v>0</v>
      </c>
      <c r="J140" s="111"/>
      <c r="K140" s="112"/>
      <c r="L140" s="80"/>
      <c r="M140" s="80"/>
    </row>
    <row r="141">
      <c r="A141" s="343" t="s">
        <v>1185</v>
      </c>
      <c r="B141" s="302" t="str">
        <f>HYPERLINK("http://www.spoj.com/problems/PHONELST/","SPOJ PHONELST")</f>
        <v>SPOJ PHONELST</v>
      </c>
      <c r="C141" s="80"/>
      <c r="D141" s="226"/>
      <c r="E141" s="226"/>
      <c r="F141" s="80"/>
      <c r="G141" s="80"/>
      <c r="H141" s="80"/>
      <c r="I141" s="140">
        <f t="shared" si="1"/>
        <v>0</v>
      </c>
      <c r="J141" s="111"/>
      <c r="K141" s="112"/>
      <c r="L141" s="80"/>
      <c r="M141" s="80"/>
    </row>
    <row r="142">
      <c r="A142" s="343" t="s">
        <v>1188</v>
      </c>
      <c r="B142" s="302" t="str">
        <f>HYPERLINK("https://uva.onlinejudge.org/index.php?option=com_onlinejudge&amp;Itemid=8&amp;page=show_problem&amp;problem=3971","UVA 12526")</f>
        <v>UVA 12526</v>
      </c>
      <c r="C142" s="80"/>
      <c r="D142" s="226"/>
      <c r="E142" s="226"/>
      <c r="F142" s="80"/>
      <c r="G142" s="80"/>
      <c r="H142" s="80"/>
      <c r="I142" s="140">
        <f t="shared" si="1"/>
        <v>0</v>
      </c>
      <c r="J142" s="111"/>
      <c r="K142" s="112"/>
      <c r="L142" s="80"/>
      <c r="M142" s="80"/>
    </row>
    <row r="143">
      <c r="A143" s="313" t="s">
        <v>1191</v>
      </c>
      <c r="B143" s="302" t="str">
        <f>HYPERLINK("http://codeforces.com/contest/706/problem/D","CF706-D2-D")</f>
        <v>CF706-D2-D</v>
      </c>
      <c r="C143" s="80"/>
      <c r="D143" s="226"/>
      <c r="E143" s="226"/>
      <c r="F143" s="80"/>
      <c r="G143" s="80"/>
      <c r="H143" s="80"/>
      <c r="I143" s="140">
        <f t="shared" si="1"/>
        <v>0</v>
      </c>
      <c r="J143" s="111"/>
      <c r="K143" s="112"/>
      <c r="L143" s="80"/>
      <c r="M143" s="80"/>
    </row>
    <row r="144">
      <c r="A144" s="129" t="s">
        <v>1195</v>
      </c>
      <c r="B144" s="132" t="str">
        <f>HYPERLINK("https://uva.onlinejudge.org/index.php?option=onlinejudge&amp;page=show_problem&amp;problem=1054","UVA 10113")</f>
        <v>UVA 10113</v>
      </c>
      <c r="C144" s="80"/>
      <c r="D144" s="226"/>
      <c r="E144" s="226"/>
      <c r="F144" s="80"/>
      <c r="G144" s="80"/>
      <c r="H144" s="80"/>
      <c r="I144" s="140">
        <f t="shared" si="1"/>
        <v>0</v>
      </c>
      <c r="J144" s="111"/>
      <c r="K144" s="112"/>
      <c r="L144" s="80"/>
      <c r="M144" s="80"/>
    </row>
    <row r="145">
      <c r="A145" s="129" t="s">
        <v>1197</v>
      </c>
      <c r="B145" s="132" t="str">
        <f>HYPERLINK("https://uva.onlinejudge.org/index.php?option=com_onlinejudge&amp;Itemid=8&amp;page=show_problem&amp;problem=668","UVA 727")</f>
        <v>UVA 727</v>
      </c>
      <c r="C145" s="80"/>
      <c r="D145" s="80"/>
      <c r="E145" s="80"/>
      <c r="F145" s="80"/>
      <c r="G145" s="80"/>
      <c r="H145" s="80"/>
      <c r="I145" s="97">
        <f t="shared" si="1"/>
        <v>0</v>
      </c>
      <c r="J145" s="16"/>
      <c r="K145" s="80"/>
      <c r="L145" s="80"/>
      <c r="M145" s="16"/>
    </row>
    <row r="146">
      <c r="A146" s="129" t="s">
        <v>1200</v>
      </c>
      <c r="B146" s="132" t="str">
        <f>HYPERLINK("http://codeforces.com/contest/47/problem/D","CF47-D2-D")</f>
        <v>CF47-D2-D</v>
      </c>
      <c r="C146" s="80"/>
      <c r="D146" s="80"/>
      <c r="E146" s="80"/>
      <c r="F146" s="80"/>
      <c r="G146" s="80"/>
      <c r="H146" s="80"/>
      <c r="I146" s="97">
        <f t="shared" si="1"/>
        <v>0</v>
      </c>
      <c r="J146" s="16"/>
      <c r="K146" s="80"/>
      <c r="L146" s="80"/>
      <c r="M146" s="16"/>
    </row>
    <row r="147">
      <c r="A147" s="129" t="s">
        <v>1202</v>
      </c>
      <c r="B147" s="132" t="str">
        <f>HYPERLINK("https://uva.onlinejudge.org/index.php?option=onlinejudge&amp;page=show_problem&amp;problem=3801","UVA 12379")</f>
        <v>UVA 12379</v>
      </c>
      <c r="C147" s="80"/>
      <c r="D147" s="226"/>
      <c r="E147" s="226"/>
      <c r="F147" s="80"/>
      <c r="G147" s="80"/>
      <c r="H147" s="80"/>
      <c r="I147" s="140">
        <f t="shared" si="1"/>
        <v>0</v>
      </c>
      <c r="J147" s="111"/>
      <c r="K147" s="112"/>
      <c r="L147" s="80"/>
      <c r="M147" s="269" t="str">
        <f>HYPERLINK("https://github.com/abdullaAshraf/Problem-Solving/blob/master/UVA/12379.cpp","Sol")</f>
        <v>Sol</v>
      </c>
    </row>
    <row r="148">
      <c r="A148" s="129" t="s">
        <v>1205</v>
      </c>
      <c r="B148" s="132" t="str">
        <f>HYPERLINK("https://uva.onlinejudge.org/index.php?option=com_onlinejudge&amp;Itemid=8&amp;page=show_problem&amp;problem=89","UVA 153")</f>
        <v>UVA 153</v>
      </c>
      <c r="C148" s="80"/>
      <c r="D148" s="226"/>
      <c r="E148" s="226"/>
      <c r="F148" s="80"/>
      <c r="G148" s="80"/>
      <c r="H148" s="80"/>
      <c r="I148" s="140">
        <f t="shared" si="1"/>
        <v>0</v>
      </c>
      <c r="J148" s="111"/>
      <c r="K148" s="112"/>
      <c r="L148" s="80"/>
      <c r="M148" s="269" t="str">
        <f>HYPERLINK("https://github.com/ahmedcpbl/CompetitiveProgramming/blob/master/UVA/153.cpp","Sol")</f>
        <v>Sol</v>
      </c>
    </row>
    <row r="149">
      <c r="A149" s="129"/>
      <c r="B149" s="165" t="str">
        <f>HYPERLINK("https://uva.onlinejudge.org/index.php?option=onlinejudge&amp;page=show_problem&amp;problem=448","UVA 507")</f>
        <v>UVA 507</v>
      </c>
      <c r="C149" s="80"/>
      <c r="D149" s="226"/>
      <c r="E149" s="226"/>
      <c r="F149" s="80"/>
      <c r="G149" s="80"/>
      <c r="H149" s="80"/>
      <c r="I149" s="140">
        <f t="shared" si="1"/>
        <v>0</v>
      </c>
      <c r="J149" s="111"/>
      <c r="K149" s="112"/>
      <c r="L149" s="80"/>
      <c r="M149" s="85" t="str">
        <f t="shared" ref="M149:M150" si="2">HYPERLINK("https://www.youtube.com/watch?v=t-52tQ3vEgo","Watch first")</f>
        <v>Watch first</v>
      </c>
    </row>
    <row r="150">
      <c r="A150" s="129"/>
      <c r="B150" s="165" t="str">
        <f>HYPERLINK("https://uva.onlinejudge.org/index.php?option=com_onlinejudge&amp;Itemid=8&amp;page=show_problem&amp;problem=1608","UVA 10667")</f>
        <v>UVA 10667</v>
      </c>
      <c r="C150" s="80"/>
      <c r="D150" s="226"/>
      <c r="E150" s="226"/>
      <c r="F150" s="80"/>
      <c r="G150" s="80"/>
      <c r="H150" s="80"/>
      <c r="I150" s="140">
        <f t="shared" si="1"/>
        <v>0</v>
      </c>
      <c r="J150" s="111"/>
      <c r="K150" s="112"/>
      <c r="L150" s="80"/>
      <c r="M150" s="85" t="str">
        <f t="shared" si="2"/>
        <v>Watch first</v>
      </c>
    </row>
    <row r="151">
      <c r="A151" s="120"/>
      <c r="B151" s="107"/>
      <c r="C151" s="80"/>
      <c r="D151" s="226"/>
      <c r="E151" s="226"/>
      <c r="F151" s="80"/>
      <c r="G151" s="80"/>
      <c r="H151" s="80"/>
      <c r="I151" s="140">
        <f t="shared" si="1"/>
        <v>0</v>
      </c>
      <c r="J151" s="111"/>
      <c r="K151" s="112"/>
      <c r="L151" s="80"/>
      <c r="M151" s="80"/>
    </row>
    <row r="152">
      <c r="A152" s="120" t="s">
        <v>1210</v>
      </c>
      <c r="B152" s="107" t="str">
        <f>HYPERLINK("http://codeforces.com/contest/96/problem/D","CF96-D2-D")</f>
        <v>CF96-D2-D</v>
      </c>
      <c r="C152" s="80"/>
      <c r="D152" s="226"/>
      <c r="E152" s="226"/>
      <c r="F152" s="80"/>
      <c r="G152" s="80"/>
      <c r="H152" s="80"/>
      <c r="I152" s="140">
        <f t="shared" si="1"/>
        <v>0</v>
      </c>
      <c r="J152" s="111"/>
      <c r="K152" s="112"/>
      <c r="L152" s="80"/>
      <c r="M152" s="80"/>
    </row>
    <row r="153">
      <c r="A153" s="120" t="s">
        <v>1212</v>
      </c>
      <c r="B153" s="107" t="str">
        <f>HYPERLINK("http://codeforces.com/contest/606/problem/D","CF606-D2-D")</f>
        <v>CF606-D2-D</v>
      </c>
      <c r="C153" s="80"/>
      <c r="D153" s="226"/>
      <c r="E153" s="226"/>
      <c r="F153" s="80"/>
      <c r="G153" s="80"/>
      <c r="H153" s="80"/>
      <c r="I153" s="140">
        <f t="shared" si="1"/>
        <v>0</v>
      </c>
      <c r="J153" s="111"/>
      <c r="K153" s="112"/>
      <c r="L153" s="80"/>
      <c r="M153" s="80"/>
    </row>
    <row r="154">
      <c r="A154" s="120" t="s">
        <v>670</v>
      </c>
      <c r="B154" s="107" t="str">
        <f>HYPERLINK("http://codeforces.com/contest/448/problem/D","CF448-D2-D")</f>
        <v>CF448-D2-D</v>
      </c>
      <c r="C154" s="80"/>
      <c r="D154" s="226"/>
      <c r="E154" s="226"/>
      <c r="F154" s="80"/>
      <c r="G154" s="80"/>
      <c r="H154" s="80"/>
      <c r="I154" s="140">
        <f t="shared" si="1"/>
        <v>0</v>
      </c>
      <c r="J154" s="111"/>
      <c r="K154" s="112"/>
      <c r="L154" s="80"/>
      <c r="M154" s="114" t="str">
        <f>HYPERLINK("https://www.youtube.com/watch?v=up_Z5e9ZsCU","Video Solution - Solve to be (Java)")</f>
        <v>Video Solution - Solve to be (Java)</v>
      </c>
    </row>
    <row r="155">
      <c r="A155" s="120"/>
      <c r="B155" s="107" t="str">
        <f>HYPERLINK("http://codeforces.com/contest/486/problem/D","CF486-D2-D")</f>
        <v>CF486-D2-D</v>
      </c>
      <c r="C155" s="80"/>
      <c r="D155" s="226"/>
      <c r="E155" s="226"/>
      <c r="F155" s="80"/>
      <c r="G155" s="80"/>
      <c r="H155" s="80"/>
      <c r="I155" s="140">
        <f t="shared" si="1"/>
        <v>0</v>
      </c>
      <c r="J155" s="111"/>
      <c r="K155" s="112"/>
      <c r="L155" s="80"/>
      <c r="M155" s="114"/>
    </row>
    <row r="156">
      <c r="A156" s="120"/>
      <c r="B156" s="107" t="str">
        <f>HYPERLINK("http://codeforces.com/contest/1040/problem/D","CF1040-D2-D")</f>
        <v>CF1040-D2-D</v>
      </c>
      <c r="C156" s="80"/>
      <c r="D156" s="226"/>
      <c r="E156" s="226"/>
      <c r="F156" s="80"/>
      <c r="G156" s="80"/>
      <c r="H156" s="80"/>
      <c r="I156" s="140">
        <f t="shared" si="1"/>
        <v>0</v>
      </c>
      <c r="J156" s="111"/>
      <c r="K156" s="112"/>
      <c r="L156" s="80"/>
      <c r="M156" s="114"/>
    </row>
    <row r="157">
      <c r="A157" s="120"/>
      <c r="B157" s="107" t="str">
        <f>HYPERLINK("http://codeforces.com/contest/264/problem/C","CF264-D1-C")</f>
        <v>CF264-D1-C</v>
      </c>
      <c r="C157" s="80"/>
      <c r="D157" s="226"/>
      <c r="E157" s="226"/>
      <c r="F157" s="80"/>
      <c r="G157" s="80"/>
      <c r="H157" s="80"/>
      <c r="I157" s="140">
        <f t="shared" si="1"/>
        <v>0</v>
      </c>
      <c r="J157" s="111"/>
      <c r="K157" s="112"/>
      <c r="L157" s="80"/>
      <c r="M157" s="114"/>
    </row>
    <row r="158">
      <c r="A158" s="120"/>
      <c r="B158" s="107" t="str">
        <f>HYPERLINK("http://codeforces.com/contest/506/problem/A", "CF506-D1-A")</f>
        <v>CF506-D1-A</v>
      </c>
      <c r="C158" s="80"/>
      <c r="D158" s="226"/>
      <c r="E158" s="226"/>
      <c r="F158" s="80"/>
      <c r="G158" s="80"/>
      <c r="H158" s="80"/>
      <c r="I158" s="140">
        <f t="shared" si="1"/>
        <v>0</v>
      </c>
      <c r="J158" s="111"/>
      <c r="K158" s="112"/>
      <c r="L158" s="80"/>
      <c r="M158" s="114"/>
    </row>
    <row r="159">
      <c r="A159" s="120"/>
      <c r="B159" s="107" t="str">
        <f>HYPERLINK("https://www.codechef.com/problems/KSUM","CODECHEF KSUM")</f>
        <v>CODECHEF KSUM</v>
      </c>
      <c r="C159" s="80"/>
      <c r="D159" s="226"/>
      <c r="E159" s="226"/>
      <c r="F159" s="80"/>
      <c r="G159" s="80"/>
      <c r="H159" s="80"/>
      <c r="I159" s="140">
        <f t="shared" si="1"/>
        <v>0</v>
      </c>
      <c r="J159" s="111"/>
      <c r="K159" s="112"/>
      <c r="L159" s="80"/>
      <c r="M159" s="114"/>
    </row>
    <row r="160">
      <c r="A160" s="120"/>
      <c r="B160" s="107" t="str">
        <f>HYPERLINK("http://codeforces.com/contest/623/problem/B","CF623-D1-B")</f>
        <v>CF623-D1-B</v>
      </c>
      <c r="C160" s="80"/>
      <c r="D160" s="226"/>
      <c r="E160" s="226"/>
      <c r="F160" s="80"/>
      <c r="G160" s="80"/>
      <c r="H160" s="80"/>
      <c r="I160" s="140">
        <f t="shared" si="1"/>
        <v>0</v>
      </c>
      <c r="J160" s="111"/>
      <c r="K160" s="112"/>
      <c r="L160" s="80"/>
      <c r="M160" s="114"/>
    </row>
    <row r="161">
      <c r="A161" s="352" t="s">
        <v>1217</v>
      </c>
      <c r="B161" s="298" t="str">
        <f>HYPERLINK("http://codeforces.com/contest/376/problem/C","CF376-D2-C")</f>
        <v>CF376-D2-C</v>
      </c>
      <c r="C161" s="80"/>
      <c r="D161" s="226"/>
      <c r="E161" s="226"/>
      <c r="F161" s="80"/>
      <c r="G161" s="80"/>
      <c r="H161" s="80"/>
      <c r="I161" s="140">
        <f t="shared" si="1"/>
        <v>0</v>
      </c>
      <c r="J161" s="111"/>
      <c r="K161" s="112"/>
      <c r="L161" s="80"/>
      <c r="M161" s="114"/>
    </row>
    <row r="162">
      <c r="A162" s="353" t="s">
        <v>1218</v>
      </c>
      <c r="B162" s="298" t="str">
        <f>HYPERLINK("http://codeforces.com/contest/439/problem/C","CF439-D2-C")</f>
        <v>CF439-D2-C</v>
      </c>
      <c r="C162" s="80"/>
      <c r="D162" s="226"/>
      <c r="E162" s="226"/>
      <c r="F162" s="80"/>
      <c r="G162" s="80"/>
      <c r="H162" s="80"/>
      <c r="I162" s="140">
        <f t="shared" si="1"/>
        <v>0</v>
      </c>
      <c r="J162" s="111"/>
      <c r="K162" s="112"/>
      <c r="L162" s="80"/>
      <c r="M162" s="114"/>
    </row>
    <row r="163">
      <c r="A163" s="353" t="s">
        <v>1222</v>
      </c>
      <c r="B163" s="298" t="str">
        <f>HYPERLINK("http://codeforces.com/contest/557/problem/C","CF557-D2-C")</f>
        <v>CF557-D2-C</v>
      </c>
      <c r="C163" s="80"/>
      <c r="D163" s="226"/>
      <c r="E163" s="226"/>
      <c r="F163" s="80"/>
      <c r="G163" s="80"/>
      <c r="H163" s="80"/>
      <c r="I163" s="140">
        <f t="shared" si="1"/>
        <v>0</v>
      </c>
      <c r="J163" s="111"/>
      <c r="K163" s="112"/>
      <c r="L163" s="80"/>
      <c r="M163" s="114"/>
    </row>
  </sheetData>
  <conditionalFormatting sqref="C32:C33">
    <cfRule type="containsText" dxfId="5" priority="1" operator="containsText" text="CS">
      <formula>NOT(ISERROR(SEARCH(("CS"),(C32))))</formula>
    </cfRule>
  </conditionalFormatting>
  <conditionalFormatting sqref="C32:C33">
    <cfRule type="containsText" dxfId="4" priority="2" operator="containsText" text="RTE">
      <formula>NOT(ISERROR(SEARCH(("RTE"),(C32))))</formula>
    </cfRule>
  </conditionalFormatting>
  <conditionalFormatting sqref="C32:C33">
    <cfRule type="containsText" dxfId="3" priority="3" operator="containsText" text="TLE">
      <formula>NOT(ISERROR(SEARCH(("TLE"),(C32))))</formula>
    </cfRule>
  </conditionalFormatting>
  <conditionalFormatting sqref="C32:C33">
    <cfRule type="containsText" dxfId="2" priority="4" operator="containsText" text="WA">
      <formula>NOT(ISERROR(SEARCH(("WA"),(C32))))</formula>
    </cfRule>
  </conditionalFormatting>
  <conditionalFormatting sqref="C32:C33">
    <cfRule type="containsText" dxfId="5" priority="5" operator="containsText" text="CS">
      <formula>NOT(ISERROR(SEARCH(("CS"),(C32))))</formula>
    </cfRule>
  </conditionalFormatting>
  <conditionalFormatting sqref="C32:C33">
    <cfRule type="containsText" dxfId="4" priority="6" operator="containsText" text="RTE">
      <formula>NOT(ISERROR(SEARCH(("RTE"),(C32))))</formula>
    </cfRule>
  </conditionalFormatting>
  <conditionalFormatting sqref="C32:C33">
    <cfRule type="containsText" dxfId="3" priority="7" operator="containsText" text="TLE">
      <formula>NOT(ISERROR(SEARCH(("TLE"),(C32))))</formula>
    </cfRule>
  </conditionalFormatting>
  <conditionalFormatting sqref="C32:C33">
    <cfRule type="containsText" dxfId="2" priority="8" operator="containsText" text="WA">
      <formula>NOT(ISERROR(SEARCH(("WA"),(C32))))</formula>
    </cfRule>
  </conditionalFormatting>
  <conditionalFormatting sqref="C32:C33">
    <cfRule type="cellIs" dxfId="1" priority="9" operator="equal">
      <formula>"AC"</formula>
    </cfRule>
  </conditionalFormatting>
  <conditionalFormatting sqref="K32">
    <cfRule type="cellIs" dxfId="0" priority="10" operator="equal">
      <formula>"NO"</formula>
    </cfRule>
  </conditionalFormatting>
  <conditionalFormatting sqref="K32">
    <cfRule type="cellIs" dxfId="0" priority="11" operator="equal">
      <formula>"no"</formula>
    </cfRule>
  </conditionalFormatting>
  <conditionalFormatting sqref="K32">
    <cfRule type="cellIs" dxfId="0" priority="12" operator="equal">
      <formula>"No"</formula>
    </cfRule>
  </conditionalFormatting>
  <conditionalFormatting sqref="K3:K31 K38 K43:K163">
    <cfRule type="cellIs" dxfId="0" priority="13" operator="equal">
      <formula>"No"</formula>
    </cfRule>
  </conditionalFormatting>
  <conditionalFormatting sqref="K3:K31 K38 K43:K163">
    <cfRule type="cellIs" dxfId="0" priority="14" operator="equal">
      <formula>"no"</formula>
    </cfRule>
  </conditionalFormatting>
  <conditionalFormatting sqref="K3:K31 K38 K43:K163">
    <cfRule type="cellIs" dxfId="0" priority="15" operator="equal">
      <formula>"NO"</formula>
    </cfRule>
  </conditionalFormatting>
  <conditionalFormatting sqref="C3:C163">
    <cfRule type="cellIs" dxfId="1" priority="16" operator="equal">
      <formula>"AC"</formula>
    </cfRule>
  </conditionalFormatting>
  <conditionalFormatting sqref="C3:C163">
    <cfRule type="containsText" dxfId="2" priority="17" operator="containsText" text="WA">
      <formula>NOT(ISERROR(SEARCH(("WA"),(C3))))</formula>
    </cfRule>
  </conditionalFormatting>
  <conditionalFormatting sqref="C38 C49:C163">
    <cfRule type="containsText" dxfId="2" priority="18" operator="containsText" text="WA">
      <formula>NOT(ISERROR(SEARCH(("WA"),(C38))))</formula>
    </cfRule>
  </conditionalFormatting>
  <conditionalFormatting sqref="C3:C163">
    <cfRule type="containsText" dxfId="3" priority="19" operator="containsText" text="TLE">
      <formula>NOT(ISERROR(SEARCH(("TLE"),(C3))))</formula>
    </cfRule>
  </conditionalFormatting>
  <conditionalFormatting sqref="C38 C49:C163">
    <cfRule type="containsText" dxfId="3" priority="20" operator="containsText" text="TLE">
      <formula>NOT(ISERROR(SEARCH(("TLE"),(C38))))</formula>
    </cfRule>
  </conditionalFormatting>
  <conditionalFormatting sqref="C3:C163">
    <cfRule type="containsText" dxfId="4" priority="21" operator="containsText" text="RTE">
      <formula>NOT(ISERROR(SEARCH(("RTE"),(C3))))</formula>
    </cfRule>
  </conditionalFormatting>
  <conditionalFormatting sqref="C38 C49:C163">
    <cfRule type="containsText" dxfId="4" priority="22" operator="containsText" text="RTE">
      <formula>NOT(ISERROR(SEARCH(("RTE"),(C38))))</formula>
    </cfRule>
  </conditionalFormatting>
  <conditionalFormatting sqref="C3:C163">
    <cfRule type="containsText" dxfId="5" priority="23" operator="containsText" text="CS">
      <formula>NOT(ISERROR(SEARCH(("CS"),(C3))))</formula>
    </cfRule>
  </conditionalFormatting>
  <conditionalFormatting sqref="C38 C49:C163">
    <cfRule type="containsText" dxfId="5" priority="24" operator="containsText" text="CS">
      <formula>NOT(ISERROR(SEARCH(("CS"),(C38))))</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69" t="s">
        <v>0</v>
      </c>
      <c r="B1" s="6" t="s">
        <v>3</v>
      </c>
      <c r="C1" s="8" t="s">
        <v>9</v>
      </c>
      <c r="D1" s="9" t="s">
        <v>10</v>
      </c>
      <c r="E1" s="9" t="s">
        <v>11</v>
      </c>
      <c r="F1" s="8" t="s">
        <v>12</v>
      </c>
      <c r="G1" s="9" t="s">
        <v>13</v>
      </c>
      <c r="H1" s="9" t="s">
        <v>14</v>
      </c>
      <c r="I1" s="9" t="s">
        <v>15</v>
      </c>
      <c r="J1" s="8" t="s">
        <v>16</v>
      </c>
      <c r="K1" s="8" t="s">
        <v>17</v>
      </c>
      <c r="L1" s="8" t="s">
        <v>18</v>
      </c>
      <c r="M1" s="11" t="s">
        <v>19</v>
      </c>
    </row>
    <row r="2">
      <c r="A2" s="74"/>
      <c r="B2" s="50" t="s">
        <v>30</v>
      </c>
      <c r="C2" s="18">
        <f>countif(C3:C10541, "AC")</f>
        <v>0</v>
      </c>
      <c r="D2" s="21">
        <f>ROUND(SUMPRODUCT(D3:D10541,INT(EQ(C3:C10541, "AC")))/MAX(1, C2),1)</f>
        <v>0</v>
      </c>
      <c r="E2" s="21">
        <f>ROUND(SUMPRODUCT(E3:E10563,INT(EQ(C3:C10563, "AC")))/MAX(1, C2))</f>
        <v>0</v>
      </c>
      <c r="F2" s="21">
        <f>ROUND(SUMPRODUCT(F3:F10566,INT(EQ(C3:C10566, "AC")))/MAX(1, C2))</f>
        <v>0</v>
      </c>
      <c r="G2" s="21">
        <f>ROUND(SUMPRODUCT(G3:G10566,INT(EQ(C3:C10566, "AC")))/MAX(1, C2))</f>
        <v>0</v>
      </c>
      <c r="H2" s="21">
        <f>ROUND(SUMPRODUCT(H3:H10566,INT(EQ(C3:C10566, "AC")))/MAX(1, C2))</f>
        <v>0</v>
      </c>
      <c r="I2" s="21">
        <f>ROUND(SUMPRODUCT(I3:I10538,INT(EQ(C3:C10538, "AC")))/MAX(1, C2))</f>
        <v>0</v>
      </c>
      <c r="J2" s="21">
        <f>ROUND(SUMPRODUCT(J3:J10536,INT(EQ(C3:C10536, "AC")))/MAX(1, C2),1)</f>
        <v>0</v>
      </c>
      <c r="K2" s="21">
        <f>SUMPRODUCT(EQ(K3:K10541, "YES"),INT(EQ(C3:C10566, "AC")))</f>
        <v>0</v>
      </c>
      <c r="L2" s="30">
        <f>IFERROR(__xludf.DUMMYFUNCTION("COUNTA(FILTER(C3:C10033, NOT(REGEXMATCH(C3:C10033, ""AC""))))"),0.0)</f>
        <v>0</v>
      </c>
      <c r="M2" s="32">
        <f>IFERROR(__xludf.DUMMYFUNCTION("COUNTA(FILTER(C3:C10028, NOT(REGEXMATCH(C3:C10028, ""AC""))))"),0.0)</f>
        <v>0</v>
      </c>
    </row>
    <row r="3">
      <c r="A3" s="224"/>
      <c r="B3" s="224"/>
      <c r="C3" s="95"/>
      <c r="D3" s="95"/>
      <c r="E3" s="95"/>
      <c r="F3" s="95"/>
      <c r="G3" s="95"/>
      <c r="H3" s="97"/>
      <c r="I3" s="39">
        <f t="shared" ref="I3:I159" si="1">SUM(E3:H3)</f>
        <v>0</v>
      </c>
      <c r="J3" s="49"/>
      <c r="K3" s="36"/>
      <c r="L3" s="95"/>
      <c r="M3" s="227" t="str">
        <f>HYPERLINK("https://www.youtube.com/watch?v=vjxLlFTKhrU&amp;index=2&amp;list=PLPt2dINI2MIYrtHBahPW16S-Wz9wx24Nc","String Processing - KMP (2 vid)")</f>
        <v>String Processing - KMP (2 vid)</v>
      </c>
    </row>
    <row r="4">
      <c r="A4" s="228" t="s">
        <v>713</v>
      </c>
      <c r="B4" s="229" t="str">
        <f>HYPERLINK("http://poj.org/problem?id=3461","PKU 3461")</f>
        <v>PKU 3461</v>
      </c>
      <c r="C4" s="95"/>
      <c r="D4" s="95"/>
      <c r="E4" s="95"/>
      <c r="F4" s="95"/>
      <c r="G4" s="95"/>
      <c r="H4" s="97"/>
      <c r="I4" s="39">
        <f t="shared" si="1"/>
        <v>0</v>
      </c>
      <c r="J4" s="49"/>
      <c r="K4" s="36"/>
      <c r="L4" s="80"/>
      <c r="M4" s="105"/>
    </row>
    <row r="5">
      <c r="A5" s="230" t="s">
        <v>717</v>
      </c>
      <c r="B5" s="229" t="str">
        <f>HYPERLINK("http://www.spoj.com/problems/NHAY","SPOJ NHAY")</f>
        <v>SPOJ NHAY</v>
      </c>
      <c r="C5" s="95"/>
      <c r="D5" s="95"/>
      <c r="E5" s="95"/>
      <c r="F5" s="95"/>
      <c r="G5" s="95"/>
      <c r="H5" s="97"/>
      <c r="I5" s="39">
        <f t="shared" si="1"/>
        <v>0</v>
      </c>
      <c r="J5" s="49"/>
      <c r="K5" s="36"/>
      <c r="L5" s="80"/>
      <c r="M5" s="105"/>
    </row>
    <row r="6">
      <c r="A6" s="232" t="s">
        <v>721</v>
      </c>
      <c r="B6" s="229" t="str">
        <f>HYPERLINK("http://www.spoj.com/problems/TESSER/","SPOJ TESSER")</f>
        <v>SPOJ TESSER</v>
      </c>
      <c r="C6" s="95"/>
      <c r="D6" s="95"/>
      <c r="E6" s="95"/>
      <c r="F6" s="95"/>
      <c r="G6" s="95"/>
      <c r="H6" s="97"/>
      <c r="I6" s="39">
        <f t="shared" si="1"/>
        <v>0</v>
      </c>
      <c r="J6" s="49"/>
      <c r="K6" s="36"/>
      <c r="L6" s="80"/>
      <c r="M6" s="105"/>
    </row>
    <row r="7">
      <c r="A7" s="232" t="s">
        <v>726</v>
      </c>
      <c r="B7" s="229" t="str">
        <f>HYPERLINK("http://www.spoj.com/problems/PERIOD/","SPOJ PERIOD")</f>
        <v>SPOJ PERIOD</v>
      </c>
      <c r="C7" s="95"/>
      <c r="D7" s="95"/>
      <c r="E7" s="95"/>
      <c r="F7" s="95"/>
      <c r="G7" s="95"/>
      <c r="H7" s="97"/>
      <c r="I7" s="39">
        <f t="shared" si="1"/>
        <v>0</v>
      </c>
      <c r="J7" s="49"/>
      <c r="K7" s="36"/>
      <c r="M7" s="105"/>
    </row>
    <row r="8">
      <c r="A8" s="228" t="s">
        <v>730</v>
      </c>
      <c r="B8" s="229" t="str">
        <f>HYPERLINK("http://codeforces.com/contest/432/problem/D","CF432-D2-D")</f>
        <v>CF432-D2-D</v>
      </c>
      <c r="C8" s="95"/>
      <c r="D8" s="95"/>
      <c r="E8" s="95"/>
      <c r="F8" s="95"/>
      <c r="G8" s="95"/>
      <c r="H8" s="97"/>
      <c r="I8" s="39">
        <f t="shared" si="1"/>
        <v>0</v>
      </c>
      <c r="J8" s="49"/>
      <c r="K8" s="36"/>
      <c r="L8" s="80"/>
      <c r="M8" s="105"/>
    </row>
    <row r="9">
      <c r="A9" s="228" t="s">
        <v>731</v>
      </c>
      <c r="B9" s="229" t="str">
        <f>HYPERLINK("http://codeforces.com/contest/535/problem/D","CF535-D2-D")</f>
        <v>CF535-D2-D</v>
      </c>
      <c r="C9" s="95"/>
      <c r="D9" s="95"/>
      <c r="E9" s="95"/>
      <c r="F9" s="95"/>
      <c r="G9" s="95"/>
      <c r="H9" s="97"/>
      <c r="I9" s="39">
        <f t="shared" si="1"/>
        <v>0</v>
      </c>
      <c r="J9" s="49"/>
      <c r="K9" s="36"/>
      <c r="L9" s="80"/>
      <c r="M9" s="105"/>
    </row>
    <row r="10">
      <c r="A10" s="236" t="s">
        <v>733</v>
      </c>
      <c r="B10" s="237" t="str">
        <f>HYPERLINK("http://www.spoj.com/problems/NGM2/","SPOJ NGM2")</f>
        <v>SPOJ NGM2</v>
      </c>
      <c r="C10" s="95"/>
      <c r="D10" s="95"/>
      <c r="E10" s="95"/>
      <c r="F10" s="95"/>
      <c r="G10" s="95"/>
      <c r="H10" s="97"/>
      <c r="I10" s="39">
        <f t="shared" si="1"/>
        <v>0</v>
      </c>
      <c r="J10" s="49"/>
      <c r="K10" s="36"/>
      <c r="L10" s="80"/>
      <c r="M10" s="105"/>
    </row>
    <row r="11">
      <c r="A11" s="236" t="s">
        <v>737</v>
      </c>
      <c r="B11" s="237" t="str">
        <f>HYPERLINK("https://uva.onlinejudge.org/index.php?option=onlinejudge&amp;page=show_problem&amp;problem=2096","UVA 11155")</f>
        <v>UVA 11155</v>
      </c>
      <c r="C11" s="95"/>
      <c r="D11" s="95"/>
      <c r="E11" s="95"/>
      <c r="F11" s="95"/>
      <c r="G11" s="95"/>
      <c r="H11" s="97"/>
      <c r="I11" s="39">
        <f t="shared" si="1"/>
        <v>0</v>
      </c>
      <c r="J11" s="49"/>
      <c r="K11" s="36"/>
      <c r="L11" s="80"/>
      <c r="M11" s="105"/>
    </row>
    <row r="12">
      <c r="A12" s="236" t="s">
        <v>738</v>
      </c>
      <c r="B12" s="237" t="str">
        <f>HYPERLINK("http://www.spoj.com/problems/PT07X/","SPOJ PT07X")</f>
        <v>SPOJ PT07X</v>
      </c>
      <c r="C12" s="95"/>
      <c r="D12" s="95"/>
      <c r="E12" s="95"/>
      <c r="F12" s="95"/>
      <c r="G12" s="95"/>
      <c r="H12" s="97"/>
      <c r="I12" s="39">
        <f t="shared" si="1"/>
        <v>0</v>
      </c>
      <c r="J12" s="49"/>
      <c r="K12" s="36"/>
      <c r="L12" s="80"/>
      <c r="M12" s="126" t="str">
        <f>HYPERLINK("https://github.com/abdullaAshraf/Problem-Solving/blob/master/SPOJ/PT07X.cpp","Sol")</f>
        <v>Sol</v>
      </c>
    </row>
    <row r="13">
      <c r="A13" s="241" t="s">
        <v>740</v>
      </c>
      <c r="B13" s="243" t="str">
        <f>HYPERLINK("http://codeforces.com/contest/54/problem/C","CF54-D12-C")</f>
        <v>CF54-D12-C</v>
      </c>
      <c r="C13" s="95"/>
      <c r="D13" s="95"/>
      <c r="E13" s="95"/>
      <c r="F13" s="95"/>
      <c r="G13" s="95"/>
      <c r="H13" s="97"/>
      <c r="I13" s="39">
        <f t="shared" si="1"/>
        <v>0</v>
      </c>
      <c r="J13" s="111"/>
      <c r="K13" s="112"/>
      <c r="L13" s="80"/>
      <c r="M13" s="51"/>
    </row>
    <row r="14">
      <c r="A14" s="241"/>
      <c r="B14" s="244" t="str">
        <f>HYPERLINK("http://codeforces.com/contest/500/problem/D","CF500-D12-D")</f>
        <v>CF500-D12-D</v>
      </c>
      <c r="C14" s="95"/>
      <c r="D14" s="95"/>
      <c r="E14" s="95"/>
      <c r="F14" s="95"/>
      <c r="G14" s="95"/>
      <c r="H14" s="97"/>
      <c r="I14" s="39">
        <f t="shared" si="1"/>
        <v>0</v>
      </c>
      <c r="J14" s="111"/>
      <c r="K14" s="112"/>
      <c r="L14" s="80"/>
      <c r="M14" s="51"/>
    </row>
    <row r="15">
      <c r="A15" s="241"/>
      <c r="B15" s="244" t="str">
        <f>HYPERLINK("https://www.hackerrank.com/challenges/vertical-sticks","HACKR vertical-sticks")</f>
        <v>HACKR vertical-sticks</v>
      </c>
      <c r="C15" s="95"/>
      <c r="D15" s="95"/>
      <c r="E15" s="95"/>
      <c r="F15" s="95"/>
      <c r="G15" s="95"/>
      <c r="H15" s="97"/>
      <c r="I15" s="39">
        <f t="shared" si="1"/>
        <v>0</v>
      </c>
      <c r="J15" s="111"/>
      <c r="K15" s="112"/>
      <c r="L15" s="80"/>
      <c r="M15" s="51"/>
    </row>
    <row r="16">
      <c r="A16" s="241"/>
      <c r="B16" s="163" t="s">
        <v>746</v>
      </c>
      <c r="C16" s="95"/>
      <c r="D16" s="95"/>
      <c r="E16" s="95"/>
      <c r="F16" s="95"/>
      <c r="G16" s="95"/>
      <c r="H16" s="97"/>
      <c r="I16" s="39">
        <f t="shared" si="1"/>
        <v>0</v>
      </c>
      <c r="J16" s="111"/>
      <c r="K16" s="112"/>
      <c r="L16" s="80"/>
      <c r="M16" s="51"/>
    </row>
    <row r="17">
      <c r="A17" s="241"/>
      <c r="B17" s="163" t="s">
        <v>747</v>
      </c>
      <c r="C17" s="95"/>
      <c r="D17" s="95"/>
      <c r="E17" s="95"/>
      <c r="F17" s="95"/>
      <c r="G17" s="95"/>
      <c r="H17" s="97"/>
      <c r="I17" s="39">
        <f t="shared" si="1"/>
        <v>0</v>
      </c>
      <c r="J17" s="111"/>
      <c r="K17" s="112"/>
      <c r="L17" s="80"/>
      <c r="M17" s="126" t="str">
        <f>HYPERLINK("https://github.com/mostafa-saad/MyCompetitiveProgramming/blob/master/UVA/UVA_1333.txt","Sol - Text/Background Clarification")</f>
        <v>Sol - Text/Background Clarification</v>
      </c>
    </row>
    <row r="18">
      <c r="A18" s="92"/>
      <c r="B18" s="224"/>
      <c r="C18" s="95"/>
      <c r="D18" s="95"/>
      <c r="E18" s="95"/>
      <c r="F18" s="95"/>
      <c r="G18" s="95"/>
      <c r="H18" s="97"/>
      <c r="I18" s="39">
        <f t="shared" si="1"/>
        <v>0</v>
      </c>
      <c r="J18" s="49"/>
      <c r="K18" s="36"/>
      <c r="L18" s="80"/>
      <c r="M18" s="51"/>
    </row>
    <row r="19">
      <c r="A19" s="92" t="s">
        <v>750</v>
      </c>
      <c r="B19" s="233" t="str">
        <f>HYPERLINK("http://codeforces.com/contest/672/problem/D","CF672-D2-D")</f>
        <v>CF672-D2-D</v>
      </c>
      <c r="C19" s="95"/>
      <c r="D19" s="95"/>
      <c r="E19" s="95"/>
      <c r="F19" s="95"/>
      <c r="G19" s="95"/>
      <c r="H19" s="97"/>
      <c r="I19" s="39">
        <f t="shared" si="1"/>
        <v>0</v>
      </c>
      <c r="J19" s="49"/>
      <c r="K19" s="36"/>
      <c r="L19" s="80"/>
      <c r="M19" s="51"/>
    </row>
    <row r="20">
      <c r="A20" s="92" t="s">
        <v>752</v>
      </c>
      <c r="B20" s="233" t="str">
        <f>HYPERLINK("http://codeforces.com/contest/94/problem/D","CF94-D2-D")</f>
        <v>CF94-D2-D</v>
      </c>
      <c r="C20" s="95"/>
      <c r="D20" s="95"/>
      <c r="E20" s="95"/>
      <c r="F20" s="95"/>
      <c r="G20" s="95"/>
      <c r="H20" s="97"/>
      <c r="I20" s="39">
        <f t="shared" si="1"/>
        <v>0</v>
      </c>
      <c r="J20" s="49"/>
      <c r="K20" s="36"/>
      <c r="L20" s="80"/>
      <c r="M20" s="51"/>
    </row>
    <row r="21">
      <c r="A21" s="92" t="s">
        <v>755</v>
      </c>
      <c r="B21" s="233" t="str">
        <f>HYPERLINK("http://codeforces.com/contest/560/problem/D","CF560-D2-D")</f>
        <v>CF560-D2-D</v>
      </c>
      <c r="C21" s="95"/>
      <c r="D21" s="95"/>
      <c r="E21" s="95"/>
      <c r="F21" s="95"/>
      <c r="G21" s="95"/>
      <c r="H21" s="97"/>
      <c r="I21" s="39">
        <f t="shared" si="1"/>
        <v>0</v>
      </c>
      <c r="J21" s="49"/>
      <c r="K21" s="36"/>
      <c r="M21" s="126" t="str">
        <f>HYPERLINK("https://github.com/VAMPIER000001/CompetitiveProgramming/blob/6ffe2c80fe5aba2bf2d901503b96f1b90053462a/CF/CF560-D2-D(2).Cpp","Sol to learn")</f>
        <v>Sol to learn</v>
      </c>
    </row>
    <row r="22">
      <c r="A22" s="92" t="s">
        <v>758</v>
      </c>
      <c r="B22" s="233" t="str">
        <f>HYPERLINK("http://codeforces.com/contest/451/problem/D","CF451-D2-D")</f>
        <v>CF451-D2-D</v>
      </c>
      <c r="C22" s="95"/>
      <c r="D22" s="95"/>
      <c r="E22" s="95"/>
      <c r="F22" s="95"/>
      <c r="G22" s="95"/>
      <c r="H22" s="97"/>
      <c r="I22" s="39">
        <f t="shared" si="1"/>
        <v>0</v>
      </c>
      <c r="J22" s="49"/>
      <c r="K22" s="36"/>
      <c r="L22" s="80"/>
      <c r="M22" s="105"/>
    </row>
    <row r="23">
      <c r="A23" s="92" t="s">
        <v>760</v>
      </c>
      <c r="B23" s="233" t="str">
        <f>HYPERLINK("http://codeforces.com/contest/186/problem/D","CF186-D2-D")</f>
        <v>CF186-D2-D</v>
      </c>
      <c r="C23" s="95"/>
      <c r="D23" s="95"/>
      <c r="E23" s="95"/>
      <c r="F23" s="95"/>
      <c r="G23" s="95"/>
      <c r="H23" s="97"/>
      <c r="I23" s="39">
        <f t="shared" si="1"/>
        <v>0</v>
      </c>
      <c r="J23" s="49"/>
      <c r="K23" s="36"/>
      <c r="L23" s="80"/>
      <c r="M23" s="105"/>
    </row>
    <row r="24">
      <c r="A24" s="92" t="s">
        <v>762</v>
      </c>
      <c r="B24" s="233" t="str">
        <f>HYPERLINK("http://codeforces.com/contest/195/problem/D","CF195-D2-D")</f>
        <v>CF195-D2-D</v>
      </c>
      <c r="C24" s="95"/>
      <c r="D24" s="95"/>
      <c r="E24" s="95"/>
      <c r="F24" s="95"/>
      <c r="G24" s="95"/>
      <c r="H24" s="97"/>
      <c r="I24" s="39">
        <f t="shared" si="1"/>
        <v>0</v>
      </c>
      <c r="J24" s="49"/>
      <c r="K24" s="36"/>
      <c r="L24" s="80"/>
      <c r="M24" s="105"/>
    </row>
    <row r="25">
      <c r="A25" s="92"/>
      <c r="B25" s="233" t="str">
        <f>HYPERLINK("http://codeforces.com/contest/1023/problem/E","CF1023-D12-E")</f>
        <v>CF1023-D12-E</v>
      </c>
      <c r="C25" s="95"/>
      <c r="D25" s="95"/>
      <c r="E25" s="95"/>
      <c r="F25" s="95"/>
      <c r="G25" s="95"/>
      <c r="H25" s="97"/>
      <c r="I25" s="39">
        <f t="shared" si="1"/>
        <v>0</v>
      </c>
      <c r="J25" s="49"/>
      <c r="K25" s="36"/>
      <c r="L25" s="80"/>
      <c r="M25" s="105"/>
    </row>
    <row r="26">
      <c r="A26" s="92"/>
      <c r="B26" s="233" t="str">
        <f>HYPERLINK("https://codeforces.com/contest/1073/problem/D","CF1073-D2-D")</f>
        <v>CF1073-D2-D</v>
      </c>
      <c r="C26" s="95"/>
      <c r="D26" s="95"/>
      <c r="E26" s="95"/>
      <c r="F26" s="95"/>
      <c r="G26" s="95"/>
      <c r="H26" s="97"/>
      <c r="I26" s="39">
        <f t="shared" si="1"/>
        <v>0</v>
      </c>
      <c r="J26" s="49"/>
      <c r="K26" s="36"/>
      <c r="L26" s="80"/>
      <c r="M26" s="105"/>
    </row>
    <row r="27">
      <c r="A27" s="92"/>
      <c r="B27" s="233" t="str">
        <f>HYPERLINK("https://codeforces.com/contest/1060/problem/C","CF1060-D12-C")</f>
        <v>CF1060-D12-C</v>
      </c>
      <c r="C27" s="95"/>
      <c r="D27" s="95"/>
      <c r="E27" s="95"/>
      <c r="F27" s="95"/>
      <c r="G27" s="95"/>
      <c r="H27" s="97"/>
      <c r="I27" s="39">
        <f t="shared" si="1"/>
        <v>0</v>
      </c>
      <c r="J27" s="49"/>
      <c r="K27" s="36"/>
      <c r="L27" s="80"/>
      <c r="M27" s="105"/>
    </row>
    <row r="28">
      <c r="A28" s="137" t="s">
        <v>767</v>
      </c>
      <c r="B28" s="234" t="str">
        <f>HYPERLINK("http://codeforces.com/contest/680/problem/C","CF680-D2-C")</f>
        <v>CF680-D2-C</v>
      </c>
      <c r="C28" s="95"/>
      <c r="D28" s="95"/>
      <c r="E28" s="95"/>
      <c r="F28" s="95"/>
      <c r="G28" s="95"/>
      <c r="H28" s="97"/>
      <c r="I28" s="39">
        <f t="shared" si="1"/>
        <v>0</v>
      </c>
      <c r="J28" s="111"/>
      <c r="K28" s="112"/>
      <c r="L28" s="80"/>
      <c r="M28" s="80"/>
    </row>
    <row r="29">
      <c r="A29" s="137" t="s">
        <v>769</v>
      </c>
      <c r="B29" s="234" t="str">
        <f>HYPERLINK("http://codeforces.com/contest/469/problem/C","CF469-D2-C")</f>
        <v>CF469-D2-C</v>
      </c>
      <c r="C29" s="95"/>
      <c r="D29" s="95"/>
      <c r="E29" s="95"/>
      <c r="F29" s="95"/>
      <c r="G29" s="95"/>
      <c r="H29" s="97"/>
      <c r="I29" s="39">
        <f t="shared" si="1"/>
        <v>0</v>
      </c>
      <c r="J29" s="111"/>
      <c r="K29" s="112"/>
      <c r="L29" s="80"/>
      <c r="M29" s="80"/>
    </row>
    <row r="30">
      <c r="A30" s="137" t="s">
        <v>140</v>
      </c>
      <c r="B30" s="234" t="str">
        <f>HYPERLINK("http://codeforces.com/contest/401/problem/C","CF401-D2-C")</f>
        <v>CF401-D2-C</v>
      </c>
      <c r="C30" s="95"/>
      <c r="D30" s="95"/>
      <c r="E30" s="95"/>
      <c r="F30" s="95"/>
      <c r="G30" s="95"/>
      <c r="H30" s="97"/>
      <c r="I30" s="39">
        <f t="shared" si="1"/>
        <v>0</v>
      </c>
      <c r="J30" s="111"/>
      <c r="K30" s="112"/>
      <c r="L30" s="80"/>
      <c r="M30" s="80"/>
    </row>
    <row r="31">
      <c r="A31" s="92"/>
      <c r="B31" s="224"/>
      <c r="C31" s="95"/>
      <c r="D31" s="95"/>
      <c r="E31" s="95"/>
      <c r="F31" s="95"/>
      <c r="G31" s="95"/>
      <c r="H31" s="97"/>
      <c r="I31" s="39">
        <f t="shared" si="1"/>
        <v>0</v>
      </c>
      <c r="J31" s="49"/>
      <c r="K31" s="36"/>
      <c r="L31" s="80"/>
      <c r="M31" s="227" t="str">
        <f>HYPERLINK("https://www.youtube.com/watch?v=X-cMRvuTGuM&amp;list=PLPt2dINI2MIattDutu7IOAMlUuLeN8k2p&amp;index=19","DP - Games (2 vid)")</f>
        <v>DP - Games (2 vid)</v>
      </c>
    </row>
    <row r="32">
      <c r="A32" s="253" t="s">
        <v>775</v>
      </c>
      <c r="B32" s="229" t="str">
        <f>HYPERLINK("https://uva.onlinejudge.org/index.php?option=com_onlinejudge&amp;Itemid=8&amp;page=show_problem&amp;problem=1345","UVA 10404")</f>
        <v>UVA 10404</v>
      </c>
      <c r="C32" s="95"/>
      <c r="D32" s="95"/>
      <c r="E32" s="95"/>
      <c r="F32" s="95"/>
      <c r="G32" s="95"/>
      <c r="H32" s="97"/>
      <c r="I32" s="39">
        <f t="shared" si="1"/>
        <v>0</v>
      </c>
      <c r="J32" s="49"/>
      <c r="K32" s="36"/>
      <c r="L32" s="80"/>
      <c r="M32" s="126" t="str">
        <f>HYPERLINK("https://github.com/VAMPIER000001/CompetitiveProgramming/blob/58946d0dcba06adfc2c5ec0b423546a6a0c6da9c/UVA/V-104/UVA%2010404.Cpp","Sol")</f>
        <v>Sol</v>
      </c>
    </row>
    <row r="33">
      <c r="A33" s="256" t="str">
        <f>HYPERLINK("https://community.topcoder.com/stat?c=problem_statement&amp;pm=11791&amp;rd=14727","EllysCheckers")</f>
        <v>EllysCheckers</v>
      </c>
      <c r="B33" s="257" t="s">
        <v>781</v>
      </c>
      <c r="C33" s="95"/>
      <c r="D33" s="95"/>
      <c r="E33" s="95"/>
      <c r="F33" s="95"/>
      <c r="G33" s="95"/>
      <c r="H33" s="97"/>
      <c r="I33" s="39">
        <f t="shared" si="1"/>
        <v>0</v>
      </c>
      <c r="J33" s="49"/>
      <c r="K33" s="36"/>
      <c r="L33" s="80"/>
      <c r="M33" s="105"/>
    </row>
    <row r="34">
      <c r="A34" s="258" t="str">
        <f>HYPERLINK("https://community.topcoder.com/stat?c=problem_statement&amp;pm=11566&amp;rd=14547","RowAndCoins")</f>
        <v>RowAndCoins</v>
      </c>
      <c r="B34" s="259" t="s">
        <v>784</v>
      </c>
      <c r="C34" s="95"/>
      <c r="D34" s="95"/>
      <c r="E34" s="95"/>
      <c r="F34" s="95"/>
      <c r="G34" s="95"/>
      <c r="H34" s="97"/>
      <c r="I34" s="39">
        <f t="shared" si="1"/>
        <v>0</v>
      </c>
      <c r="J34" s="49"/>
      <c r="K34" s="36"/>
      <c r="L34" s="80"/>
      <c r="M34" s="105"/>
    </row>
    <row r="35">
      <c r="A35" s="258" t="str">
        <f>HYPERLINK("https://community.topcoder.com/stat?c=problem_statement&amp;pm=3491&amp;rd=6517","BagsOfGold")</f>
        <v>BagsOfGold</v>
      </c>
      <c r="B35" s="259" t="s">
        <v>788</v>
      </c>
      <c r="C35" s="95"/>
      <c r="D35" s="95"/>
      <c r="E35" s="95"/>
      <c r="F35" s="95"/>
      <c r="G35" s="95"/>
      <c r="H35" s="97"/>
      <c r="I35" s="39">
        <f t="shared" si="1"/>
        <v>0</v>
      </c>
      <c r="J35" s="49"/>
      <c r="K35" s="36"/>
      <c r="L35" s="80"/>
      <c r="M35" s="105"/>
    </row>
    <row r="36">
      <c r="A36" s="261" t="s">
        <v>790</v>
      </c>
      <c r="B36" s="262" t="str">
        <f>HYPERLINK("http://codeforces.com/contest/148/problem/D","CF148-D2-D")</f>
        <v>CF148-D2-D</v>
      </c>
      <c r="C36" s="95"/>
      <c r="D36" s="95"/>
      <c r="E36" s="95"/>
      <c r="F36" s="95"/>
      <c r="G36" s="95"/>
      <c r="H36" s="97"/>
      <c r="I36" s="39">
        <f t="shared" si="1"/>
        <v>0</v>
      </c>
      <c r="J36" s="111"/>
      <c r="K36" s="112"/>
      <c r="L36" s="80"/>
      <c r="M36" s="80"/>
    </row>
    <row r="37">
      <c r="A37" s="236" t="s">
        <v>794</v>
      </c>
      <c r="B37" s="237" t="str">
        <f>HYPERLINK("http://www.spoj.com/problems/MELE3/","SPOJ MELE3")</f>
        <v>SPOJ MELE3</v>
      </c>
      <c r="C37" s="95"/>
      <c r="D37" s="95"/>
      <c r="E37" s="95"/>
      <c r="F37" s="95"/>
      <c r="G37" s="95"/>
      <c r="H37" s="97"/>
      <c r="I37" s="39">
        <f t="shared" si="1"/>
        <v>0</v>
      </c>
      <c r="J37" s="49"/>
      <c r="K37" s="36"/>
      <c r="L37" s="80"/>
      <c r="M37" s="126" t="str">
        <f>HYPERLINK("https://github.com/VAMPIER000001/CompetitiveProgramming/blob/a5d714fa4de45e50f87306d421ec6c3c02026f76/Spoj/SPOJ%20MELE3.Cpp","Sol")</f>
        <v>Sol</v>
      </c>
    </row>
    <row r="38">
      <c r="A38" s="236" t="s">
        <v>796</v>
      </c>
      <c r="B38" s="237" t="str">
        <f>HYPERLINK("http://www.spoj.com/problems/ROADS/en/","SPOJ ROADS")</f>
        <v>SPOJ ROADS</v>
      </c>
      <c r="C38" s="95"/>
      <c r="D38" s="95"/>
      <c r="E38" s="95"/>
      <c r="F38" s="95"/>
      <c r="G38" s="95"/>
      <c r="H38" s="97"/>
      <c r="I38" s="39">
        <f t="shared" si="1"/>
        <v>0</v>
      </c>
      <c r="J38" s="49"/>
      <c r="K38" s="36"/>
      <c r="L38" s="80"/>
      <c r="M38" s="126" t="str">
        <f>HYPERLINK("https://github.com/mostafa-saad/MyCompetitiveProgramming/blob/master/SPOJ/SPOJ_ROADS.txt","Sol")</f>
        <v>Sol</v>
      </c>
    </row>
    <row r="39">
      <c r="A39" s="236" t="s">
        <v>798</v>
      </c>
      <c r="B39" s="237" t="str">
        <f>HYPERLINK("https://uva.onlinejudge.org/index.php?option=onlinejudge&amp;page=show_problem&amp;problem=1400","UVA 10459")</f>
        <v>UVA 10459</v>
      </c>
      <c r="C39" s="95"/>
      <c r="D39" s="95"/>
      <c r="E39" s="95"/>
      <c r="F39" s="95"/>
      <c r="G39" s="95"/>
      <c r="H39" s="97"/>
      <c r="I39" s="39">
        <f t="shared" si="1"/>
        <v>0</v>
      </c>
      <c r="J39" s="49"/>
      <c r="K39" s="36"/>
      <c r="L39" s="80"/>
      <c r="M39" s="126" t="str">
        <f>HYPERLINK("https://github.com/VAMPIER000001/CompetitiveProgramming/blob/master/UVA/V-104/UVA%2010459.Cpp","Sol")</f>
        <v>Sol</v>
      </c>
    </row>
    <row r="40">
      <c r="A40" s="236" t="s">
        <v>799</v>
      </c>
      <c r="B40" s="237" t="str">
        <f>HYPERLINK("https://uva.onlinejudge.org/index.php?option=com_onlinejudge&amp;Itemid=8&amp;page=show_problem&amp;problem=3673","UVA 1232")</f>
        <v>UVA 1232</v>
      </c>
      <c r="C40" s="95"/>
      <c r="D40" s="95"/>
      <c r="E40" s="95"/>
      <c r="F40" s="95"/>
      <c r="G40" s="95"/>
      <c r="H40" s="97"/>
      <c r="I40" s="39">
        <f t="shared" si="1"/>
        <v>0</v>
      </c>
      <c r="J40" s="111"/>
      <c r="K40" s="112"/>
      <c r="M40" s="126" t="str">
        <f>HYPERLINK("https://github.com/mostafa-saad/MyCompetitiveProgramming/blob/master/UVA/UVA_1232.txt","Sol")</f>
        <v>Sol</v>
      </c>
    </row>
    <row r="41">
      <c r="A41" s="238" t="s">
        <v>801</v>
      </c>
      <c r="B41" s="265" t="str">
        <f>HYPERLINK("http://www.spoj.com/problems/ORDERS/","SPOJ ORDERS")</f>
        <v>SPOJ ORDERS</v>
      </c>
      <c r="C41" s="95"/>
      <c r="D41" s="95"/>
      <c r="E41" s="95"/>
      <c r="F41" s="95"/>
      <c r="G41" s="95"/>
      <c r="H41" s="97"/>
      <c r="I41" s="39">
        <f t="shared" si="1"/>
        <v>0</v>
      </c>
      <c r="J41" s="111"/>
      <c r="K41" s="112"/>
      <c r="M41" s="126" t="str">
        <f>HYPERLINK("https://github.com/mostafa-saad/MyCompetitiveProgramming/blob/master/SPOJ/SPOJ_ORDERS.txt","Sol")</f>
        <v>Sol</v>
      </c>
    </row>
    <row r="42">
      <c r="A42" s="266" t="s">
        <v>805</v>
      </c>
      <c r="B42" s="268" t="str">
        <f>HYPERLINK("http://codeforces.com/contest/268/problem/E","CF268-D2-E")</f>
        <v>CF268-D2-E</v>
      </c>
      <c r="C42" s="95"/>
      <c r="D42" s="95"/>
      <c r="E42" s="95"/>
      <c r="F42" s="95"/>
      <c r="G42" s="95"/>
      <c r="H42" s="97"/>
      <c r="I42" s="39">
        <f t="shared" si="1"/>
        <v>0</v>
      </c>
      <c r="J42" s="111"/>
      <c r="K42" s="112"/>
      <c r="M42" s="126" t="str">
        <f>HYPERLINK("https://github.com/3agwa/CompetitiveProgramming/blob/master/CodeForces/CF268-D2-E.cpp","Sol")</f>
        <v>Sol</v>
      </c>
    </row>
    <row r="43">
      <c r="A43" s="238"/>
      <c r="B43" s="240" t="s">
        <v>809</v>
      </c>
      <c r="C43" s="95"/>
      <c r="D43" s="95"/>
      <c r="E43" s="95"/>
      <c r="F43" s="95"/>
      <c r="G43" s="95"/>
      <c r="H43" s="97"/>
      <c r="I43" s="39">
        <f t="shared" si="1"/>
        <v>0</v>
      </c>
      <c r="J43" s="111"/>
      <c r="K43" s="112"/>
      <c r="L43" s="80"/>
      <c r="M43" s="51"/>
    </row>
    <row r="44">
      <c r="A44" s="270" t="s">
        <v>810</v>
      </c>
      <c r="B44" s="272" t="str">
        <f>HYPERLINK("https://icpcarchive.ecs.baylor.edu/index.php?option=com_onlinejudge&amp;Itemid=8&amp;page=show_problem&amp;problem=4206","LIVEARCHIVE 6195")</f>
        <v>LIVEARCHIVE 6195</v>
      </c>
      <c r="C44" s="95"/>
      <c r="D44" s="95"/>
      <c r="E44" s="95"/>
      <c r="F44" s="95"/>
      <c r="G44" s="95"/>
      <c r="H44" s="97"/>
      <c r="I44" s="39">
        <f t="shared" si="1"/>
        <v>0</v>
      </c>
      <c r="J44" s="111"/>
      <c r="K44" s="112"/>
      <c r="L44" s="80"/>
      <c r="M44" s="126" t="str">
        <f>HYPERLINK("https://github.com/AliOsm/CompetitiveProgramming/blob/master/ACM%20ICPC%20Live%20Archive/6195%20-%20The%20Dueling%20Philosophers%20Problem.cpp","Sol")</f>
        <v>Sol</v>
      </c>
    </row>
    <row r="45">
      <c r="A45" s="92"/>
      <c r="B45" s="224"/>
      <c r="C45" s="95"/>
      <c r="D45" s="95"/>
      <c r="E45" s="95"/>
      <c r="F45" s="95"/>
      <c r="G45" s="95"/>
      <c r="H45" s="97"/>
      <c r="I45" s="39">
        <f t="shared" si="1"/>
        <v>0</v>
      </c>
      <c r="J45" s="49"/>
      <c r="K45" s="36"/>
      <c r="L45" s="80"/>
      <c r="M45" s="105"/>
    </row>
    <row r="46">
      <c r="A46" s="105" t="s">
        <v>815</v>
      </c>
      <c r="B46" s="274" t="str">
        <f>HYPERLINK("http://codeforces.com/contest/276/problem/D","CF276-D2-D")</f>
        <v>CF276-D2-D</v>
      </c>
      <c r="C46" s="95"/>
      <c r="D46" s="95"/>
      <c r="E46" s="95"/>
      <c r="F46" s="95"/>
      <c r="G46" s="95"/>
      <c r="H46" s="97"/>
      <c r="I46" s="39">
        <f t="shared" si="1"/>
        <v>0</v>
      </c>
      <c r="J46" s="16"/>
      <c r="K46" s="80"/>
      <c r="M46" s="276" t="str">
        <f>HYPERLINK("http://codeforces.com/blog/entry/6779","See editorials")</f>
        <v>See editorials</v>
      </c>
    </row>
    <row r="47">
      <c r="A47" s="92" t="s">
        <v>818</v>
      </c>
      <c r="B47" s="274" t="str">
        <f>HYPERLINK("http://codeforces.com/contest/224/problem/D","CF224-D2-D")</f>
        <v>CF224-D2-D</v>
      </c>
      <c r="C47" s="95"/>
      <c r="D47" s="95"/>
      <c r="E47" s="95"/>
      <c r="F47" s="95"/>
      <c r="G47" s="95"/>
      <c r="H47" s="97"/>
      <c r="I47" s="39">
        <f t="shared" si="1"/>
        <v>0</v>
      </c>
      <c r="J47" s="49"/>
      <c r="K47" s="36"/>
      <c r="L47" s="80"/>
      <c r="M47" s="126" t="str">
        <f>HYPERLINK("https://github.com/abdullaAshraf/Problem-Solving/blob/master/CodeForces/CF224-D2-D.cpp","Sol")</f>
        <v>Sol</v>
      </c>
    </row>
    <row r="48">
      <c r="A48" s="92" t="s">
        <v>821</v>
      </c>
      <c r="B48" s="274" t="str">
        <f>HYPERLINK("http://codeforces.com/contest/75/problem/D","CF75-D2-D")</f>
        <v>CF75-D2-D</v>
      </c>
      <c r="C48" s="95"/>
      <c r="D48" s="95"/>
      <c r="E48" s="95"/>
      <c r="F48" s="95"/>
      <c r="G48" s="95"/>
      <c r="H48" s="97"/>
      <c r="I48" s="39">
        <f t="shared" si="1"/>
        <v>0</v>
      </c>
      <c r="J48" s="49"/>
      <c r="K48" s="36"/>
      <c r="L48" s="80"/>
    </row>
    <row r="49">
      <c r="A49" s="92"/>
      <c r="B49" s="224" t="s">
        <v>822</v>
      </c>
      <c r="C49" s="95"/>
      <c r="D49" s="95"/>
      <c r="E49" s="95"/>
      <c r="F49" s="95"/>
      <c r="G49" s="95"/>
      <c r="H49" s="97"/>
      <c r="I49" s="39">
        <f t="shared" si="1"/>
        <v>0</v>
      </c>
      <c r="J49" s="49"/>
      <c r="K49" s="36"/>
      <c r="L49" s="80"/>
      <c r="M49" s="269" t="str">
        <f>HYPERLINK("https://github.com/MedoN11/CompetitiveProgramming/blob/master/SPOJ/BRCKTS2.cpp","Sol")</f>
        <v>Sol</v>
      </c>
    </row>
    <row r="50">
      <c r="A50" s="92"/>
      <c r="B50" s="274" t="str">
        <f>HYPERLINK("https://codeforces.com/contest/1057/problem/C","CF1057-D12-C")</f>
        <v>CF1057-D12-C</v>
      </c>
      <c r="C50" s="95"/>
      <c r="D50" s="95"/>
      <c r="E50" s="95"/>
      <c r="F50" s="95"/>
      <c r="G50" s="95"/>
      <c r="H50" s="97"/>
      <c r="I50" s="39">
        <f t="shared" si="1"/>
        <v>0</v>
      </c>
      <c r="J50" s="49"/>
      <c r="K50" s="36"/>
      <c r="L50" s="80"/>
    </row>
    <row r="51">
      <c r="A51" s="92"/>
      <c r="B51" s="274" t="str">
        <f>HYPERLINK("https://codeforces.com/contest/1066/problem/F","CF1066-D3-F")</f>
        <v>CF1066-D3-F</v>
      </c>
      <c r="C51" s="95"/>
      <c r="D51" s="95"/>
      <c r="E51" s="95"/>
      <c r="F51" s="95"/>
      <c r="G51" s="95"/>
      <c r="H51" s="97"/>
      <c r="I51" s="39">
        <f t="shared" si="1"/>
        <v>0</v>
      </c>
      <c r="J51" s="49"/>
      <c r="K51" s="36"/>
      <c r="L51" s="80"/>
    </row>
    <row r="52">
      <c r="A52" s="92"/>
      <c r="B52" s="274" t="str">
        <f>HYPERLINK("https://codeforces.com/contest/1064/problem/E","CF1064-D2-E")</f>
        <v>CF1064-D2-E</v>
      </c>
      <c r="C52" s="95"/>
      <c r="D52" s="95"/>
      <c r="E52" s="95"/>
      <c r="F52" s="95"/>
      <c r="G52" s="95"/>
      <c r="H52" s="97"/>
      <c r="I52" s="39">
        <f t="shared" si="1"/>
        <v>0</v>
      </c>
      <c r="J52" s="49"/>
      <c r="K52" s="36"/>
      <c r="L52" s="80"/>
    </row>
    <row r="53">
      <c r="A53" s="92"/>
      <c r="B53" s="274" t="str">
        <f>HYPERLINK("http://codeforces.com/contest/459/problem/E","CF459-D2-E")</f>
        <v>CF459-D2-E</v>
      </c>
      <c r="C53" s="95"/>
      <c r="D53" s="95"/>
      <c r="E53" s="95"/>
      <c r="F53" s="95"/>
      <c r="G53" s="95"/>
      <c r="H53" s="97"/>
      <c r="I53" s="39">
        <f t="shared" si="1"/>
        <v>0</v>
      </c>
      <c r="J53" s="49"/>
      <c r="K53" s="36"/>
      <c r="L53" s="80"/>
    </row>
    <row r="54">
      <c r="A54" s="92"/>
      <c r="B54" s="224" t="s">
        <v>828</v>
      </c>
      <c r="C54" s="95"/>
      <c r="D54" s="95"/>
      <c r="E54" s="95"/>
      <c r="F54" s="95"/>
      <c r="G54" s="95"/>
      <c r="H54" s="97"/>
      <c r="I54" s="39">
        <f t="shared" si="1"/>
        <v>0</v>
      </c>
      <c r="J54" s="49"/>
      <c r="K54" s="36"/>
      <c r="L54" s="80"/>
    </row>
    <row r="55">
      <c r="A55" s="92"/>
      <c r="B55" s="274" t="str">
        <f>HYPERLINK("http://codeforces.com/contest/1043/problem/D","CF1043-D12-D")</f>
        <v>CF1043-D12-D</v>
      </c>
      <c r="C55" s="95"/>
      <c r="D55" s="95"/>
      <c r="E55" s="95"/>
      <c r="F55" s="95"/>
      <c r="G55" s="95"/>
      <c r="H55" s="97"/>
      <c r="I55" s="39">
        <f t="shared" si="1"/>
        <v>0</v>
      </c>
      <c r="J55" s="49"/>
      <c r="K55" s="36"/>
      <c r="L55" s="80"/>
    </row>
    <row r="56">
      <c r="A56" s="137" t="s">
        <v>829</v>
      </c>
      <c r="B56" s="234" t="str">
        <f>HYPERLINK("http://codeforces.com/contest/719/problem/C","CF719-D2-C")</f>
        <v>CF719-D2-C</v>
      </c>
      <c r="C56" s="95"/>
      <c r="D56" s="95"/>
      <c r="E56" s="95"/>
      <c r="F56" s="95"/>
      <c r="G56" s="95"/>
      <c r="H56" s="97"/>
      <c r="I56" s="39">
        <f t="shared" si="1"/>
        <v>0</v>
      </c>
      <c r="J56" s="49"/>
      <c r="K56" s="36"/>
      <c r="L56" s="80"/>
      <c r="M56" s="105"/>
    </row>
    <row r="57">
      <c r="A57" s="137" t="s">
        <v>831</v>
      </c>
      <c r="B57" s="234" t="str">
        <f>HYPERLINK("http://codeforces.com/contest/200/problem/C","CF200-D2-C")</f>
        <v>CF200-D2-C</v>
      </c>
      <c r="C57" s="95"/>
      <c r="D57" s="95"/>
      <c r="E57" s="95"/>
      <c r="F57" s="95"/>
      <c r="G57" s="95"/>
      <c r="H57" s="97"/>
      <c r="I57" s="39">
        <f t="shared" si="1"/>
        <v>0</v>
      </c>
      <c r="J57" s="49"/>
      <c r="K57" s="36"/>
      <c r="L57" s="80"/>
      <c r="M57" s="105"/>
    </row>
    <row r="58">
      <c r="A58" s="137" t="s">
        <v>833</v>
      </c>
      <c r="B58" s="234" t="str">
        <f>HYPERLINK("http://codeforces.com/contest/489/problem/C","CF489-D2-C")</f>
        <v>CF489-D2-C</v>
      </c>
      <c r="C58" s="95"/>
      <c r="D58" s="95"/>
      <c r="E58" s="95"/>
      <c r="F58" s="95"/>
      <c r="G58" s="95"/>
      <c r="H58" s="97"/>
      <c r="I58" s="39">
        <f t="shared" si="1"/>
        <v>0</v>
      </c>
      <c r="J58" s="49"/>
      <c r="K58" s="36"/>
      <c r="L58" s="80"/>
      <c r="M58" s="105"/>
    </row>
    <row r="59">
      <c r="A59" s="92"/>
      <c r="B59" s="224"/>
      <c r="C59" s="95"/>
      <c r="D59" s="95"/>
      <c r="E59" s="95"/>
      <c r="F59" s="95"/>
      <c r="G59" s="95"/>
      <c r="H59" s="97"/>
      <c r="I59" s="39">
        <f t="shared" si="1"/>
        <v>0</v>
      </c>
      <c r="J59" s="49"/>
      <c r="K59" s="36"/>
      <c r="L59" s="80"/>
      <c r="M59" s="105"/>
    </row>
    <row r="60">
      <c r="A60" s="236" t="s">
        <v>835</v>
      </c>
      <c r="B60" s="237" t="str">
        <f>HYPERLINK("https://uva.onlinejudge.org/index.php?option=onlinejudge&amp;page=show_problem&amp;problem=122","UVA 186")</f>
        <v>UVA 186</v>
      </c>
      <c r="C60" s="95"/>
      <c r="D60" s="95"/>
      <c r="E60" s="95"/>
      <c r="F60" s="95"/>
      <c r="G60" s="95"/>
      <c r="H60" s="97"/>
      <c r="I60" s="39">
        <f t="shared" si="1"/>
        <v>0</v>
      </c>
      <c r="J60" s="49"/>
      <c r="K60" s="36"/>
      <c r="L60" s="80"/>
      <c r="M60" s="126" t="str">
        <f>HYPERLINK("https://github.com/VAMPIER000001/CompetitiveProgramming/blob/master/UVA/V-1/UVA%20186.Cpp","Sol")</f>
        <v>Sol</v>
      </c>
    </row>
    <row r="61">
      <c r="A61" s="236" t="s">
        <v>837</v>
      </c>
      <c r="B61" s="237" t="str">
        <f>HYPERLINK("https://uva.onlinejudge.org/index.php?option=onlinejudge&amp;page=show_problem&amp;problem=548","UVA 607")</f>
        <v>UVA 607</v>
      </c>
      <c r="C61" s="95"/>
      <c r="D61" s="95"/>
      <c r="E61" s="95"/>
      <c r="F61" s="95"/>
      <c r="G61" s="95"/>
      <c r="H61" s="97"/>
      <c r="I61" s="39">
        <f t="shared" si="1"/>
        <v>0</v>
      </c>
      <c r="J61" s="49"/>
      <c r="K61" s="36"/>
      <c r="M61" s="126" t="str">
        <f>HYPERLINK("https://github.com/MichaelMounir12/CompetitiveProgramming/blob/69c0dba2b0b29083ebad94dfd18be25dcf903235/UVA/UVA_607.cpp","Sol")</f>
        <v>Sol</v>
      </c>
    </row>
    <row r="62">
      <c r="A62" s="236" t="s">
        <v>839</v>
      </c>
      <c r="B62" s="237" t="str">
        <f>HYPERLINK("http://www.spoj.com/problems/WEIRDFN/","SPOJ WEIRDFN")</f>
        <v>SPOJ WEIRDFN</v>
      </c>
      <c r="C62" s="95"/>
      <c r="D62" s="95"/>
      <c r="E62" s="95"/>
      <c r="F62" s="95"/>
      <c r="G62" s="95"/>
      <c r="H62" s="97"/>
      <c r="I62" s="39">
        <f t="shared" si="1"/>
        <v>0</v>
      </c>
      <c r="J62" s="49"/>
      <c r="K62" s="36"/>
      <c r="M62" s="126" t="str">
        <f>HYPERLINK("https://github.com/mostafa-saad/MyCompetitiveProgramming/blob/master/SPOJ/SPOJ_WEIRDFN.txt","Sol")</f>
        <v>Sol</v>
      </c>
    </row>
    <row r="63">
      <c r="A63" s="236" t="s">
        <v>842</v>
      </c>
      <c r="B63" s="237" t="str">
        <f>HYPERLINK("https://uva.onlinejudge.org/index.php?option=com_onlinejudge&amp;Itemid=8&amp;page=show_problem&amp;problem=966","UVA 10025")</f>
        <v>UVA 10025</v>
      </c>
      <c r="C63" s="95"/>
      <c r="D63" s="95"/>
      <c r="E63" s="95"/>
      <c r="F63" s="95"/>
      <c r="G63" s="95"/>
      <c r="H63" s="97"/>
      <c r="I63" s="39">
        <f t="shared" si="1"/>
        <v>0</v>
      </c>
      <c r="J63" s="49"/>
      <c r="K63" s="36"/>
      <c r="L63" s="80"/>
      <c r="M63" s="51"/>
    </row>
    <row r="64">
      <c r="A64" s="236" t="s">
        <v>844</v>
      </c>
      <c r="B64" s="237" t="str">
        <f>HYPERLINK("http://www.spoj.com/problems/DICTSUB/","SPOJ DICTSUB")</f>
        <v>SPOJ DICTSUB</v>
      </c>
      <c r="C64" s="95"/>
      <c r="D64" s="95"/>
      <c r="E64" s="95"/>
      <c r="F64" s="95"/>
      <c r="G64" s="95"/>
      <c r="H64" s="97"/>
      <c r="I64" s="39">
        <f t="shared" si="1"/>
        <v>0</v>
      </c>
      <c r="J64" s="49"/>
      <c r="K64" s="36"/>
      <c r="L64" s="80"/>
      <c r="M64" s="126" t="str">
        <f>HYPERLINK("https://github.com/VAMPIER000001/CompetitiveProgramming/blob/master/Spoj/SPOJ%20DICTSUB.Cpp","Sol")</f>
        <v>Sol</v>
      </c>
    </row>
    <row r="65">
      <c r="A65" s="236" t="s">
        <v>847</v>
      </c>
      <c r="B65" s="237" t="str">
        <f>HYPERLINK("https://uva.onlinejudge.org/index.php?option=com_onlinejudge&amp;Itemid=8&amp;page=show_problem&amp;problem=999","UVA 10058")</f>
        <v>UVA 10058</v>
      </c>
      <c r="C65" s="95"/>
      <c r="D65" s="95"/>
      <c r="E65" s="95"/>
      <c r="F65" s="95"/>
      <c r="G65" s="95"/>
      <c r="H65" s="97"/>
      <c r="I65" s="39">
        <f t="shared" si="1"/>
        <v>0</v>
      </c>
      <c r="J65" s="49"/>
      <c r="K65" s="36"/>
      <c r="M65" s="126" t="str">
        <f>HYPERLINK("https://github.com/ackoroa/UVa-Solutions/blob/master/UVa%2010058%20-%20Jimmi's%20Riddles/src/Main.java","Sol")</f>
        <v>Sol</v>
      </c>
    </row>
    <row r="66">
      <c r="A66" s="238" t="s">
        <v>848</v>
      </c>
      <c r="B66" s="265" t="str">
        <f>HYPERLINK("http://codeforces.com/contest/689/problem/D","CF689-D2-D")</f>
        <v>CF689-D2-D</v>
      </c>
      <c r="C66" s="95"/>
      <c r="D66" s="95"/>
      <c r="E66" s="95"/>
      <c r="F66" s="95"/>
      <c r="G66" s="95"/>
      <c r="H66" s="97"/>
      <c r="I66" s="39">
        <f t="shared" si="1"/>
        <v>0</v>
      </c>
      <c r="J66" s="16"/>
      <c r="K66" s="80"/>
      <c r="M66" s="51"/>
    </row>
    <row r="67">
      <c r="A67" s="236" t="s">
        <v>849</v>
      </c>
      <c r="B67" s="237" t="str">
        <f>HYPERLINK("http://www.spoj.com/problems/SEGSQRSS","SPOJ SEGSQRSS")</f>
        <v>SPOJ SEGSQRSS</v>
      </c>
      <c r="C67" s="95"/>
      <c r="D67" s="95"/>
      <c r="E67" s="95"/>
      <c r="F67" s="95"/>
      <c r="G67" s="95"/>
      <c r="H67" s="97"/>
      <c r="I67" s="39">
        <f t="shared" si="1"/>
        <v>0</v>
      </c>
      <c r="J67" s="49"/>
      <c r="K67" s="36"/>
      <c r="M67" s="126" t="str">
        <f>HYPERLINK("https://github.com/MichaelMounir12/CompetitiveProgramming/blob/9c6e99fc3a2583209a313ddd617a07ac294024e9/SPOJ/SPOJ_SEGSQRSS.cpp","Sol")</f>
        <v>Sol</v>
      </c>
    </row>
    <row r="68">
      <c r="A68" s="236" t="s">
        <v>851</v>
      </c>
      <c r="B68" s="237" t="str">
        <f>HYPERLINK("https://uva.onlinejudge.org/index.php?option=onlinejudge&amp;page=show_problem&amp;problem=1757","UVA 10816")</f>
        <v>UVA 10816</v>
      </c>
      <c r="C68" s="95"/>
      <c r="D68" s="95"/>
      <c r="E68" s="95"/>
      <c r="F68" s="95"/>
      <c r="G68" s="95"/>
      <c r="H68" s="97"/>
      <c r="I68" s="39">
        <f t="shared" si="1"/>
        <v>0</v>
      </c>
      <c r="J68" s="49"/>
      <c r="K68" s="36"/>
      <c r="M68" s="126" t="str">
        <f>HYPERLINK("https://github.com/VAMPIER000001/CompetitiveProgramming/blob/master/UVA/V-108/UVA%2010816.Cpp","Sol")</f>
        <v>Sol</v>
      </c>
    </row>
    <row r="69">
      <c r="A69" s="266" t="s">
        <v>852</v>
      </c>
      <c r="B69" s="282" t="s">
        <v>853</v>
      </c>
      <c r="C69" s="95"/>
      <c r="D69" s="95"/>
      <c r="E69" s="95"/>
      <c r="F69" s="95"/>
      <c r="G69" s="95"/>
      <c r="H69" s="97"/>
      <c r="I69" s="39">
        <f t="shared" si="1"/>
        <v>0</v>
      </c>
      <c r="J69" s="16"/>
      <c r="K69" s="80"/>
      <c r="M69" s="126" t="str">
        <f>HYPERLINK("https://github.com/VAMPIER000001/CompetitiveProgramming/blob/master/UVA/V-119/UVA%2011987.Cpp","Sol")</f>
        <v>Sol</v>
      </c>
    </row>
    <row r="70">
      <c r="A70" s="266"/>
      <c r="B70" s="282" t="s">
        <v>856</v>
      </c>
      <c r="C70" s="95"/>
      <c r="D70" s="95"/>
      <c r="E70" s="95"/>
      <c r="F70" s="95"/>
      <c r="G70" s="95"/>
      <c r="H70" s="97"/>
      <c r="I70" s="39">
        <f t="shared" si="1"/>
        <v>0</v>
      </c>
      <c r="J70" s="16"/>
      <c r="K70" s="80"/>
      <c r="M70" s="51"/>
    </row>
    <row r="71">
      <c r="A71" s="270"/>
      <c r="B71" s="278" t="str">
        <f>HYPERLINK("http://codeforces.com/contest/513/problem/C","CF513-D12-C")</f>
        <v>CF513-D12-C</v>
      </c>
      <c r="C71" s="95"/>
      <c r="D71" s="95"/>
      <c r="E71" s="95"/>
      <c r="F71" s="95"/>
      <c r="G71" s="95"/>
      <c r="H71" s="97"/>
      <c r="I71" s="39">
        <f t="shared" si="1"/>
        <v>0</v>
      </c>
      <c r="J71" s="16"/>
      <c r="K71" s="80"/>
      <c r="M71" s="126" t="str">
        <f>HYPERLINK("https://github.com/aabdelzaher/Competitive-Programming/blob/master/Codeforces/CF513-D12-C.java","Sol")</f>
        <v>Sol</v>
      </c>
    </row>
    <row r="72">
      <c r="A72" s="270"/>
      <c r="B72" s="270" t="s">
        <v>859</v>
      </c>
      <c r="C72" s="95"/>
      <c r="D72" s="95"/>
      <c r="E72" s="95"/>
      <c r="F72" s="95"/>
      <c r="G72" s="95"/>
      <c r="H72" s="97"/>
      <c r="I72" s="39">
        <f t="shared" si="1"/>
        <v>0</v>
      </c>
      <c r="J72" s="16"/>
      <c r="K72" s="80"/>
      <c r="M72" s="51"/>
    </row>
    <row r="73">
      <c r="A73" s="270"/>
      <c r="B73" s="270" t="s">
        <v>860</v>
      </c>
      <c r="C73" s="95"/>
      <c r="D73" s="95"/>
      <c r="E73" s="95"/>
      <c r="F73" s="95"/>
      <c r="G73" s="95"/>
      <c r="H73" s="97"/>
      <c r="I73" s="39">
        <f t="shared" si="1"/>
        <v>0</v>
      </c>
      <c r="J73" s="16"/>
      <c r="K73" s="80"/>
      <c r="M73" s="126" t="str">
        <f>HYPERLINK("https://github.com/mostafa-saad/MyCompetitiveProgramming/blob/master/SPOJ/SPOJ_PARSUMS.txt","Sol")</f>
        <v>Sol</v>
      </c>
    </row>
    <row r="74">
      <c r="A74" s="92"/>
      <c r="B74" s="224"/>
      <c r="C74" s="95"/>
      <c r="D74" s="95"/>
      <c r="E74" s="95"/>
      <c r="F74" s="95"/>
      <c r="G74" s="95"/>
      <c r="H74" s="97"/>
      <c r="I74" s="39">
        <f t="shared" si="1"/>
        <v>0</v>
      </c>
      <c r="J74" s="49"/>
      <c r="K74" s="36"/>
      <c r="L74" s="80"/>
      <c r="M74" s="105"/>
    </row>
    <row r="75">
      <c r="A75" s="105" t="s">
        <v>862</v>
      </c>
      <c r="B75" s="145" t="str">
        <f>HYPERLINK("http://codeforces.com/contest/284/problem/D","CF284-D2-D")</f>
        <v>CF284-D2-D</v>
      </c>
      <c r="C75" s="95"/>
      <c r="D75" s="95"/>
      <c r="E75" s="95"/>
      <c r="F75" s="95"/>
      <c r="G75" s="95"/>
      <c r="H75" s="97"/>
      <c r="I75" s="39">
        <f t="shared" si="1"/>
        <v>0</v>
      </c>
      <c r="J75" s="111"/>
      <c r="K75" s="112"/>
      <c r="L75" s="80"/>
      <c r="M75" s="80"/>
    </row>
    <row r="76">
      <c r="A76" s="80" t="s">
        <v>864</v>
      </c>
      <c r="B76" s="145" t="str">
        <f>HYPERLINK("http://codeforces.com/contest/431/problem/D","CF431-D2-D")</f>
        <v>CF431-D2-D</v>
      </c>
      <c r="C76" s="95"/>
      <c r="D76" s="95"/>
      <c r="E76" s="95"/>
      <c r="F76" s="95"/>
      <c r="G76" s="95"/>
      <c r="H76" s="97"/>
      <c r="I76" s="39">
        <f t="shared" si="1"/>
        <v>0</v>
      </c>
      <c r="J76" s="16"/>
      <c r="K76" s="80"/>
      <c r="L76" s="80"/>
      <c r="M76" s="80"/>
    </row>
    <row r="77">
      <c r="A77" s="92" t="s">
        <v>866</v>
      </c>
      <c r="B77" s="283" t="str">
        <f>HYPERLINK("http://codeforces.com/contest/296/problem/D","CF296-D2-D")</f>
        <v>CF296-D2-D</v>
      </c>
      <c r="C77" s="95"/>
      <c r="D77" s="95"/>
      <c r="E77" s="95"/>
      <c r="F77" s="95"/>
      <c r="G77" s="95"/>
      <c r="H77" s="97"/>
      <c r="I77" s="39">
        <f t="shared" si="1"/>
        <v>0</v>
      </c>
      <c r="J77" s="49"/>
      <c r="K77" s="36"/>
      <c r="L77" s="80"/>
      <c r="M77" s="105"/>
    </row>
    <row r="78">
      <c r="A78" s="92" t="s">
        <v>868</v>
      </c>
      <c r="B78" s="283" t="str">
        <f>HYPERLINK("http://codeforces.com/contest/104/problem/D","CF104-D2-D")</f>
        <v>CF104-D2-D</v>
      </c>
      <c r="C78" s="95"/>
      <c r="D78" s="95"/>
      <c r="E78" s="95"/>
      <c r="F78" s="95"/>
      <c r="G78" s="95"/>
      <c r="H78" s="97"/>
      <c r="I78" s="39">
        <f t="shared" si="1"/>
        <v>0</v>
      </c>
      <c r="J78" s="49"/>
      <c r="K78" s="36"/>
      <c r="L78" s="80"/>
      <c r="M78" s="105"/>
    </row>
    <row r="79">
      <c r="A79" s="105" t="s">
        <v>870</v>
      </c>
      <c r="B79" s="145" t="str">
        <f>HYPERLINK("http://codeforces.com/contest/659/problem/D","CF659-D2-D")</f>
        <v>CF659-D2-D</v>
      </c>
      <c r="C79" s="95"/>
      <c r="D79" s="95"/>
      <c r="E79" s="95"/>
      <c r="F79" s="95"/>
      <c r="G79" s="95"/>
      <c r="H79" s="97"/>
      <c r="I79" s="39">
        <f t="shared" si="1"/>
        <v>0</v>
      </c>
      <c r="J79" s="111"/>
      <c r="K79" s="112"/>
      <c r="L79" s="80"/>
      <c r="M79" s="80"/>
    </row>
    <row r="80">
      <c r="A80" s="105" t="s">
        <v>872</v>
      </c>
      <c r="B80" s="145" t="str">
        <f>HYPERLINK("http://codeforces.com/contest/270/problem/D","CF270-D2-D")</f>
        <v>CF270-D2-D</v>
      </c>
      <c r="C80" s="95"/>
      <c r="D80" s="95"/>
      <c r="E80" s="95"/>
      <c r="F80" s="95"/>
      <c r="G80" s="95"/>
      <c r="H80" s="97"/>
      <c r="I80" s="39">
        <f t="shared" si="1"/>
        <v>0</v>
      </c>
      <c r="J80" s="111"/>
      <c r="K80" s="112"/>
      <c r="L80" s="80"/>
      <c r="M80" s="80"/>
    </row>
    <row r="81">
      <c r="A81" s="105"/>
      <c r="B81" s="145" t="str">
        <f>HYPERLINK("http://codeforces.com/contest/645/problem/D","CF645-D12-D")</f>
        <v>CF645-D12-D</v>
      </c>
      <c r="C81" s="95"/>
      <c r="D81" s="95"/>
      <c r="E81" s="95"/>
      <c r="F81" s="95"/>
      <c r="G81" s="95"/>
      <c r="H81" s="97"/>
      <c r="I81" s="39">
        <f t="shared" si="1"/>
        <v>0</v>
      </c>
      <c r="J81" s="111"/>
      <c r="K81" s="112"/>
      <c r="L81" s="80"/>
      <c r="M81" s="80"/>
    </row>
    <row r="82">
      <c r="A82" s="105"/>
      <c r="B82" s="145" t="str">
        <f>HYPERLINK("http://codeforces.com/contest/459/problem/C","CF459-D2-C")</f>
        <v>CF459-D2-C</v>
      </c>
      <c r="C82" s="95"/>
      <c r="D82" s="95"/>
      <c r="E82" s="95"/>
      <c r="F82" s="95"/>
      <c r="G82" s="95"/>
      <c r="H82" s="97"/>
      <c r="I82" s="39">
        <f t="shared" si="1"/>
        <v>0</v>
      </c>
      <c r="J82" s="111"/>
      <c r="K82" s="112"/>
      <c r="L82" s="80"/>
      <c r="M82" s="80"/>
    </row>
    <row r="83">
      <c r="A83" s="105"/>
      <c r="B83" s="145" t="str">
        <f>HYPERLINK("https://www.codechef.com/ACMIND18/problems/REDCGAME","CODECHEF REDCGAME")</f>
        <v>CODECHEF REDCGAME</v>
      </c>
      <c r="C83" s="95"/>
      <c r="D83" s="95"/>
      <c r="E83" s="95"/>
      <c r="F83" s="95"/>
      <c r="G83" s="95"/>
      <c r="H83" s="97"/>
      <c r="I83" s="39">
        <f t="shared" si="1"/>
        <v>0</v>
      </c>
      <c r="J83" s="111"/>
      <c r="K83" s="112"/>
      <c r="L83" s="80"/>
      <c r="M83" s="80"/>
    </row>
    <row r="84">
      <c r="A84" s="105"/>
      <c r="B84" s="105" t="s">
        <v>876</v>
      </c>
      <c r="C84" s="95"/>
      <c r="D84" s="95"/>
      <c r="E84" s="95"/>
      <c r="F84" s="95"/>
      <c r="G84" s="95"/>
      <c r="H84" s="97"/>
      <c r="I84" s="39">
        <f t="shared" si="1"/>
        <v>0</v>
      </c>
      <c r="J84" s="111"/>
      <c r="K84" s="112"/>
      <c r="L84" s="80"/>
      <c r="M84" s="80"/>
    </row>
    <row r="85">
      <c r="A85" s="105"/>
      <c r="B85" s="145" t="str">
        <f>HYPERLINK("http://codeforces.com/contest/1005/problem/F","CF1005-D3-F")</f>
        <v>CF1005-D3-F</v>
      </c>
      <c r="C85" s="95"/>
      <c r="D85" s="95"/>
      <c r="E85" s="95"/>
      <c r="F85" s="95"/>
      <c r="G85" s="95"/>
      <c r="H85" s="97"/>
      <c r="I85" s="39">
        <f t="shared" si="1"/>
        <v>0</v>
      </c>
      <c r="J85" s="111"/>
      <c r="K85" s="112"/>
      <c r="L85" s="80"/>
      <c r="M85" s="80"/>
    </row>
    <row r="86">
      <c r="A86" s="105"/>
      <c r="B86" s="145" t="str">
        <f>HYPERLINK("http://codeforces.com/contest/1064/problem/D","CF1064-D2-D")</f>
        <v>CF1064-D2-D</v>
      </c>
      <c r="C86" s="95"/>
      <c r="D86" s="95"/>
      <c r="E86" s="95"/>
      <c r="F86" s="95"/>
      <c r="G86" s="95"/>
      <c r="H86" s="97"/>
      <c r="I86" s="39">
        <f t="shared" si="1"/>
        <v>0</v>
      </c>
      <c r="J86" s="111"/>
      <c r="K86" s="112"/>
      <c r="L86" s="80"/>
      <c r="M86" s="80"/>
    </row>
    <row r="87">
      <c r="A87" s="137" t="s">
        <v>879</v>
      </c>
      <c r="B87" s="234" t="str">
        <f>HYPERLINK("http://codeforces.com/contest/152/problem/C","CF152-D2-C")</f>
        <v>CF152-D2-C</v>
      </c>
      <c r="C87" s="95"/>
      <c r="D87" s="95"/>
      <c r="E87" s="95"/>
      <c r="F87" s="95"/>
      <c r="G87" s="95"/>
      <c r="H87" s="97"/>
      <c r="I87" s="39">
        <f t="shared" si="1"/>
        <v>0</v>
      </c>
      <c r="J87" s="111"/>
      <c r="K87" s="112"/>
      <c r="L87" s="80"/>
      <c r="M87" s="80"/>
    </row>
    <row r="88">
      <c r="A88" s="137" t="s">
        <v>881</v>
      </c>
      <c r="B88" s="234" t="str">
        <f>HYPERLINK("http://codeforces.com/contest/361/problem/C","CF361-D2-C")</f>
        <v>CF361-D2-C</v>
      </c>
      <c r="C88" s="95"/>
      <c r="D88" s="95"/>
      <c r="E88" s="95"/>
      <c r="F88" s="95"/>
      <c r="G88" s="95"/>
      <c r="H88" s="97"/>
      <c r="I88" s="39">
        <f t="shared" si="1"/>
        <v>0</v>
      </c>
      <c r="J88" s="111"/>
      <c r="K88" s="112"/>
      <c r="L88" s="80"/>
      <c r="M88" s="80"/>
    </row>
    <row r="89">
      <c r="A89" s="137" t="s">
        <v>883</v>
      </c>
      <c r="B89" s="234" t="str">
        <f>HYPERLINK("http://codeforces.com/contest/540/problem/C","CF540-D2-C")</f>
        <v>CF540-D2-C</v>
      </c>
      <c r="C89" s="95"/>
      <c r="D89" s="95"/>
      <c r="E89" s="95"/>
      <c r="F89" s="95"/>
      <c r="G89" s="95"/>
      <c r="H89" s="97"/>
      <c r="I89" s="39">
        <f t="shared" si="1"/>
        <v>0</v>
      </c>
      <c r="J89" s="111"/>
      <c r="K89" s="112"/>
      <c r="L89" s="80"/>
      <c r="M89" s="80"/>
    </row>
    <row r="90">
      <c r="A90" s="92"/>
      <c r="B90" s="224"/>
      <c r="C90" s="95"/>
      <c r="D90" s="95"/>
      <c r="E90" s="95"/>
      <c r="F90" s="95"/>
      <c r="G90" s="95"/>
      <c r="H90" s="97"/>
      <c r="I90" s="39">
        <f t="shared" si="1"/>
        <v>0</v>
      </c>
      <c r="J90" s="49"/>
      <c r="K90" s="36"/>
      <c r="L90" s="80"/>
      <c r="M90" s="105"/>
    </row>
    <row r="91">
      <c r="A91" s="236" t="s">
        <v>621</v>
      </c>
      <c r="B91" s="237" t="str">
        <f>HYPERLINK("https://uva.onlinejudge.org/index.php?option=com_onlinejudge&amp;Itemid=8&amp;page=show_problem&amp;problem=648","UVA 707")</f>
        <v>UVA 707</v>
      </c>
      <c r="C91" s="95"/>
      <c r="D91" s="95"/>
      <c r="E91" s="95"/>
      <c r="F91" s="95"/>
      <c r="G91" s="95"/>
      <c r="H91" s="97"/>
      <c r="I91" s="39">
        <f t="shared" si="1"/>
        <v>0</v>
      </c>
      <c r="J91" s="49"/>
      <c r="K91" s="36"/>
      <c r="L91" s="80"/>
      <c r="M91" s="126" t="str">
        <f>HYPERLINK("https://github.com/VAMPIER000001/CompetitiveProgramming/blob/master/UVA/V-7/UVA%20707.Cpp","Sol")</f>
        <v>Sol</v>
      </c>
    </row>
    <row r="92">
      <c r="A92" s="236" t="s">
        <v>885</v>
      </c>
      <c r="B92" s="237" t="str">
        <f>HYPERLINK("https://uva.onlinejudge.org/index.php?option=com_onlinejudge&amp;Itemid=8&amp;page=show_problem&amp;problem=62","UVA 126")</f>
        <v>UVA 126</v>
      </c>
      <c r="C92" s="95"/>
      <c r="D92" s="95"/>
      <c r="E92" s="95"/>
      <c r="F92" s="95"/>
      <c r="G92" s="95"/>
      <c r="H92" s="97"/>
      <c r="I92" s="39">
        <f t="shared" si="1"/>
        <v>0</v>
      </c>
      <c r="J92" s="49"/>
      <c r="K92" s="36"/>
      <c r="M92" s="126" t="str">
        <f>HYPERLINK("https://github.com/abdullaAshraf/Problem-Solving/blob/master/UVA/126.cpp","Sol")</f>
        <v>Sol</v>
      </c>
    </row>
    <row r="93">
      <c r="A93" s="236" t="s">
        <v>887</v>
      </c>
      <c r="B93" s="237" t="str">
        <f>HYPERLINK("https://uva.onlinejudge.org/index.php?option=com_onlinejudge&amp;Itemid=8&amp;page=show_problem&amp;problem=4501","UVA 1626")</f>
        <v>UVA 1626</v>
      </c>
      <c r="C93" s="95"/>
      <c r="D93" s="95"/>
      <c r="E93" s="95"/>
      <c r="F93" s="95"/>
      <c r="G93" s="95"/>
      <c r="H93" s="97"/>
      <c r="I93" s="39">
        <f t="shared" si="1"/>
        <v>0</v>
      </c>
      <c r="J93" s="49"/>
      <c r="K93" s="36"/>
      <c r="M93" s="126" t="str">
        <f>HYPERLINK("https://github.com/abdullaAshraf/Problem-Solving/blob/master/UVA/1626.cpp","Sol")</f>
        <v>Sol</v>
      </c>
    </row>
    <row r="94">
      <c r="A94" s="236" t="s">
        <v>888</v>
      </c>
      <c r="B94" s="237" t="str">
        <f>HYPERLINK("https://www.youtube.com/watch?v=OWlJ8chpit0","UVA 10448")</f>
        <v>UVA 10448</v>
      </c>
      <c r="C94" s="95"/>
      <c r="D94" s="95"/>
      <c r="E94" s="95"/>
      <c r="F94" s="95"/>
      <c r="G94" s="95"/>
      <c r="H94" s="97"/>
      <c r="I94" s="39">
        <f t="shared" si="1"/>
        <v>0</v>
      </c>
      <c r="J94" s="49"/>
      <c r="K94" s="36"/>
      <c r="L94" s="80"/>
      <c r="M94" s="85" t="str">
        <f>HYPERLINK("https://www.youtube.com/watch?v=OWlJ8chpit0","Video Solution - Eng Mostafa Saad")</f>
        <v>Video Solution - Eng Mostafa Saad</v>
      </c>
    </row>
    <row r="95">
      <c r="A95" s="241" t="s">
        <v>889</v>
      </c>
      <c r="B95" s="244" t="str">
        <f>HYPERLINK("http://codeforces.com/contest/540/problem/D","CF540-D2-D")</f>
        <v>CF540-D2-D</v>
      </c>
      <c r="C95" s="95"/>
      <c r="D95" s="95"/>
      <c r="E95" s="95"/>
      <c r="F95" s="95"/>
      <c r="G95" s="95"/>
      <c r="H95" s="97"/>
      <c r="I95" s="39">
        <f t="shared" si="1"/>
        <v>0</v>
      </c>
      <c r="J95" s="111"/>
      <c r="K95" s="112"/>
      <c r="L95" s="80"/>
      <c r="M95" s="80"/>
    </row>
    <row r="96">
      <c r="A96" s="241" t="s">
        <v>890</v>
      </c>
      <c r="B96" s="241" t="s">
        <v>891</v>
      </c>
      <c r="C96" s="95"/>
      <c r="D96" s="95"/>
      <c r="E96" s="95"/>
      <c r="F96" s="95"/>
      <c r="G96" s="95"/>
      <c r="H96" s="97"/>
      <c r="I96" s="39">
        <f t="shared" si="1"/>
        <v>0</v>
      </c>
      <c r="J96" s="111"/>
      <c r="K96" s="112"/>
      <c r="M96" s="126" t="str">
        <f>HYPERLINK("https://github.com/SaraElkadi/competitive-programming-/blob/master/UVA/10536.cpp","Sol")</f>
        <v>Sol</v>
      </c>
    </row>
    <row r="97">
      <c r="A97" s="241" t="s">
        <v>893</v>
      </c>
      <c r="B97" s="241" t="s">
        <v>894</v>
      </c>
      <c r="C97" s="95"/>
      <c r="D97" s="95"/>
      <c r="E97" s="95"/>
      <c r="F97" s="95"/>
      <c r="G97" s="95"/>
      <c r="H97" s="97"/>
      <c r="I97" s="39">
        <f t="shared" si="1"/>
        <v>0</v>
      </c>
      <c r="J97" s="111"/>
      <c r="K97" s="112"/>
      <c r="M97" s="126" t="str">
        <f>HYPERLINK("https://github.com/SaraElkadi/competitive-programming-/blob/master/UVA/11284.cpp","Sol")</f>
        <v>Sol</v>
      </c>
    </row>
    <row r="98">
      <c r="A98" s="163" t="s">
        <v>895</v>
      </c>
      <c r="B98" s="163" t="s">
        <v>896</v>
      </c>
      <c r="C98" s="95"/>
      <c r="D98" s="95"/>
      <c r="E98" s="95"/>
      <c r="F98" s="95"/>
      <c r="G98" s="95"/>
      <c r="H98" s="97"/>
      <c r="I98" s="39">
        <f t="shared" si="1"/>
        <v>0</v>
      </c>
      <c r="J98" s="111"/>
      <c r="K98" s="112"/>
      <c r="M98" s="126" t="str">
        <f>HYPERLINK("https://github.com/BRAINOOO/CompetitiveProgramming/blob/master/UVA/V-116/UVA%2011635.Cpp","Sol")</f>
        <v>Sol</v>
      </c>
    </row>
    <row r="99">
      <c r="A99" s="163"/>
      <c r="B99" s="167" t="str">
        <f>HYPERLINK("http://codeforces.com/contest/337/problem/D","CF337-D2-D")</f>
        <v>CF337-D2-D</v>
      </c>
      <c r="C99" s="95"/>
      <c r="D99" s="95"/>
      <c r="E99" s="95"/>
      <c r="F99" s="95"/>
      <c r="G99" s="95"/>
      <c r="H99" s="97"/>
      <c r="I99" s="39">
        <f t="shared" si="1"/>
        <v>0</v>
      </c>
      <c r="J99" s="111"/>
      <c r="K99" s="112"/>
      <c r="M99" s="126" t="str">
        <f>HYPERLINK("http://codeforces.com/contest/337/submission/38413425","Sol")</f>
        <v>Sol</v>
      </c>
    </row>
    <row r="100">
      <c r="A100" s="163"/>
      <c r="B100" s="167" t="str">
        <f>HYPERLINK("https://www.hackerrank.com/challenges/ajourney","HACKR ajourney")</f>
        <v>HACKR ajourney</v>
      </c>
      <c r="C100" s="95"/>
      <c r="D100" s="95"/>
      <c r="E100" s="95"/>
      <c r="F100" s="95"/>
      <c r="G100" s="95"/>
      <c r="H100" s="97"/>
      <c r="I100" s="39">
        <f t="shared" si="1"/>
        <v>0</v>
      </c>
      <c r="J100" s="111"/>
      <c r="K100" s="112"/>
      <c r="M100" s="51"/>
    </row>
    <row r="101">
      <c r="A101" s="92"/>
      <c r="B101" s="224"/>
      <c r="C101" s="95"/>
      <c r="D101" s="95"/>
      <c r="E101" s="95"/>
      <c r="F101" s="95"/>
      <c r="G101" s="95"/>
      <c r="H101" s="97"/>
      <c r="I101" s="39">
        <f t="shared" si="1"/>
        <v>0</v>
      </c>
      <c r="J101" s="49"/>
      <c r="K101" s="36"/>
      <c r="M101" s="51"/>
    </row>
    <row r="102">
      <c r="A102" s="92" t="s">
        <v>900</v>
      </c>
      <c r="B102" s="233" t="str">
        <f>HYPERLINK("http://codeforces.com/contest/203/problem/D","CF203-D2-D")</f>
        <v>CF203-D2-D</v>
      </c>
      <c r="C102" s="95"/>
      <c r="D102" s="95"/>
      <c r="E102" s="95"/>
      <c r="F102" s="95"/>
      <c r="G102" s="95"/>
      <c r="H102" s="97"/>
      <c r="I102" s="39">
        <f t="shared" si="1"/>
        <v>0</v>
      </c>
      <c r="J102" s="49"/>
      <c r="K102" s="36"/>
      <c r="M102" s="51"/>
    </row>
    <row r="103">
      <c r="A103" s="105" t="s">
        <v>901</v>
      </c>
      <c r="B103" s="145" t="str">
        <f>HYPERLINK("http://codeforces.com/contest/368/problem/D","CF368-D2-D")</f>
        <v>CF368-D2-D</v>
      </c>
      <c r="C103" s="95"/>
      <c r="D103" s="95"/>
      <c r="E103" s="95"/>
      <c r="F103" s="95"/>
      <c r="G103" s="95"/>
      <c r="H103" s="97"/>
      <c r="I103" s="39">
        <f t="shared" si="1"/>
        <v>0</v>
      </c>
      <c r="J103" s="16"/>
      <c r="K103" s="80"/>
      <c r="M103" s="126" t="str">
        <f>HYPERLINK("https://github.com/MohamedNabil97/CompetitiveProgramming/blob/master/CodeForces/CF368-D2-D.cpp","Sol")</f>
        <v>Sol</v>
      </c>
    </row>
    <row r="104">
      <c r="A104" s="105" t="s">
        <v>903</v>
      </c>
      <c r="B104" s="145" t="str">
        <f>HYPERLINK("http://codeforces.com/contest/219/problem/D","CF219-D2-D")</f>
        <v>CF219-D2-D</v>
      </c>
      <c r="C104" s="95"/>
      <c r="D104" s="95"/>
      <c r="E104" s="95"/>
      <c r="F104" s="95"/>
      <c r="G104" s="95"/>
      <c r="H104" s="97"/>
      <c r="I104" s="39">
        <f t="shared" si="1"/>
        <v>0</v>
      </c>
      <c r="J104" s="16"/>
      <c r="K104" s="80"/>
      <c r="M104" s="51"/>
    </row>
    <row r="105">
      <c r="A105" s="105" t="s">
        <v>905</v>
      </c>
      <c r="B105" s="145" t="str">
        <f>HYPERLINK("http://codeforces.com/contest/149/problem/D","CF149-D2-D")</f>
        <v>CF149-D2-D</v>
      </c>
      <c r="C105" s="95"/>
      <c r="D105" s="95"/>
      <c r="E105" s="95"/>
      <c r="F105" s="95"/>
      <c r="G105" s="95"/>
      <c r="H105" s="97"/>
      <c r="I105" s="39">
        <f t="shared" si="1"/>
        <v>0</v>
      </c>
      <c r="J105" s="16"/>
      <c r="K105" s="80"/>
      <c r="M105" s="126" t="str">
        <f>HYPERLINK("https://github.com/osamahatem/CompetitiveProgramming/blob/master/Codeforces/149D.%20Coloring%20Brackets.cpp","Sol")</f>
        <v>Sol</v>
      </c>
    </row>
    <row r="106">
      <c r="A106" s="105" t="s">
        <v>908</v>
      </c>
      <c r="B106" s="93" t="str">
        <f>HYPERLINK("http://codeforces.com/contest/56/problem/D","CF56-D2-D")</f>
        <v>CF56-D2-D</v>
      </c>
      <c r="C106" s="95"/>
      <c r="D106" s="95"/>
      <c r="E106" s="95"/>
      <c r="F106" s="95"/>
      <c r="G106" s="95"/>
      <c r="H106" s="97"/>
      <c r="I106" s="39">
        <f t="shared" si="1"/>
        <v>0</v>
      </c>
      <c r="J106" s="111"/>
      <c r="K106" s="112"/>
      <c r="L106" s="80"/>
      <c r="M106" s="105"/>
    </row>
    <row r="107">
      <c r="A107" s="105" t="s">
        <v>909</v>
      </c>
      <c r="B107" s="145" t="str">
        <f>HYPERLINK("http://codeforces.com/contest/263/problem/D","CF263-D2-D")</f>
        <v>CF263-D2-D</v>
      </c>
      <c r="C107" s="95"/>
      <c r="D107" s="95"/>
      <c r="E107" s="95"/>
      <c r="F107" s="95"/>
      <c r="G107" s="95"/>
      <c r="H107" s="97"/>
      <c r="I107" s="39">
        <f t="shared" si="1"/>
        <v>0</v>
      </c>
      <c r="J107" s="111"/>
      <c r="K107" s="112"/>
      <c r="L107" s="80"/>
      <c r="M107" s="105"/>
    </row>
    <row r="108">
      <c r="A108" s="105"/>
      <c r="B108" s="145" t="str">
        <f>HYPERLINK("https://codeforces.com/gym/101187/problem/F","CF101187-GYM-F")</f>
        <v>CF101187-GYM-F</v>
      </c>
      <c r="C108" s="95"/>
      <c r="D108" s="95"/>
      <c r="E108" s="95"/>
      <c r="F108" s="95"/>
      <c r="G108" s="95"/>
      <c r="H108" s="97"/>
      <c r="I108" s="39">
        <f t="shared" si="1"/>
        <v>0</v>
      </c>
      <c r="J108" s="111"/>
      <c r="K108" s="112"/>
      <c r="L108" s="80"/>
      <c r="M108" s="210" t="str">
        <f>HYPERLINK("https://github.com/SpeedOfMagic/CompetitiveProgramming/blob/master/CodeforcesGym/CF101187-GYM-F.cpp","Sol")</f>
        <v>Sol</v>
      </c>
    </row>
    <row r="109">
      <c r="A109" s="105"/>
      <c r="B109" s="105" t="s">
        <v>913</v>
      </c>
      <c r="C109" s="95"/>
      <c r="D109" s="95"/>
      <c r="E109" s="95"/>
      <c r="F109" s="95"/>
      <c r="G109" s="95"/>
      <c r="H109" s="97"/>
      <c r="I109" s="39">
        <f t="shared" si="1"/>
        <v>0</v>
      </c>
      <c r="J109" s="111"/>
      <c r="K109" s="112"/>
      <c r="L109" s="80"/>
      <c r="M109" s="105"/>
    </row>
    <row r="110">
      <c r="A110" s="105"/>
      <c r="B110" s="145" t="str">
        <f>HYPERLINK("https://beta.atcoder.jp/contests/arc092/tasks/arc092_b","Atcoder092-ARC-B")</f>
        <v>Atcoder092-ARC-B</v>
      </c>
      <c r="C110" s="95"/>
      <c r="D110" s="95"/>
      <c r="E110" s="95"/>
      <c r="F110" s="95"/>
      <c r="G110" s="95"/>
      <c r="H110" s="97"/>
      <c r="I110" s="39">
        <f t="shared" si="1"/>
        <v>0</v>
      </c>
      <c r="J110" s="111"/>
      <c r="K110" s="112"/>
      <c r="L110" s="80"/>
      <c r="M110" s="105"/>
    </row>
    <row r="111">
      <c r="A111" s="105"/>
      <c r="B111" s="145" t="str">
        <f>HYPERLINK("https://agc002.contest.atcoder.jp/tasks/agc002_c","AtCoder002-AGC-C")</f>
        <v>AtCoder002-AGC-C</v>
      </c>
      <c r="C111" s="95"/>
      <c r="D111" s="95"/>
      <c r="E111" s="95"/>
      <c r="F111" s="95"/>
      <c r="G111" s="95"/>
      <c r="H111" s="97"/>
      <c r="I111" s="39">
        <f t="shared" si="1"/>
        <v>0</v>
      </c>
      <c r="J111" s="111"/>
      <c r="K111" s="112"/>
      <c r="L111" s="80"/>
      <c r="M111" s="105"/>
    </row>
    <row r="112">
      <c r="A112" s="137" t="s">
        <v>914</v>
      </c>
      <c r="B112" s="234" t="str">
        <f>HYPERLINK("http://codeforces.com/contest/363/problem/C","CF363-D2-C")</f>
        <v>CF363-D2-C</v>
      </c>
      <c r="C112" s="95"/>
      <c r="D112" s="95"/>
      <c r="E112" s="95"/>
      <c r="F112" s="95"/>
      <c r="G112" s="95"/>
      <c r="H112" s="97"/>
      <c r="I112" s="39">
        <f t="shared" si="1"/>
        <v>0</v>
      </c>
      <c r="J112" s="111"/>
      <c r="K112" s="112"/>
      <c r="L112" s="80"/>
      <c r="M112" s="105"/>
    </row>
    <row r="113">
      <c r="A113" s="137" t="s">
        <v>917</v>
      </c>
      <c r="B113" s="234" t="str">
        <f>HYPERLINK("http://codeforces.com/contest/194/problem/C","CF194-D2-C")</f>
        <v>CF194-D2-C</v>
      </c>
      <c r="C113" s="95"/>
      <c r="D113" s="95"/>
      <c r="E113" s="95"/>
      <c r="F113" s="95"/>
      <c r="G113" s="95"/>
      <c r="H113" s="97"/>
      <c r="I113" s="39">
        <f t="shared" si="1"/>
        <v>0</v>
      </c>
      <c r="J113" s="111"/>
      <c r="K113" s="112"/>
      <c r="L113" s="80"/>
      <c r="M113" s="105"/>
    </row>
    <row r="114">
      <c r="A114" s="137" t="s">
        <v>919</v>
      </c>
      <c r="B114" s="234" t="str">
        <f>HYPERLINK("http://codeforces.com/contest/265/problem/C","CF265-D2-C")</f>
        <v>CF265-D2-C</v>
      </c>
      <c r="C114" s="95"/>
      <c r="D114" s="95"/>
      <c r="E114" s="95"/>
      <c r="F114" s="95"/>
      <c r="G114" s="95"/>
      <c r="H114" s="97"/>
      <c r="I114" s="39">
        <f t="shared" si="1"/>
        <v>0</v>
      </c>
      <c r="J114" s="111"/>
      <c r="K114" s="112"/>
      <c r="L114" s="80"/>
      <c r="M114" s="105"/>
    </row>
    <row r="115">
      <c r="A115" s="92"/>
      <c r="B115" s="224"/>
      <c r="C115" s="95"/>
      <c r="D115" s="95"/>
      <c r="E115" s="95"/>
      <c r="F115" s="95"/>
      <c r="G115" s="95"/>
      <c r="H115" s="97"/>
      <c r="I115" s="39">
        <f t="shared" si="1"/>
        <v>0</v>
      </c>
      <c r="J115" s="49"/>
      <c r="K115" s="36"/>
      <c r="L115" s="80"/>
      <c r="M115" s="291" t="str">
        <f>HYPERLINK("https://www.youtube.com/watch?v=OnysyxVPPD0","Geometry - Simple and Convex Polygons")</f>
        <v>Geometry - Simple and Convex Polygons</v>
      </c>
    </row>
    <row r="116">
      <c r="A116" s="92"/>
      <c r="B116" s="224"/>
      <c r="C116" s="95"/>
      <c r="D116" s="95"/>
      <c r="E116" s="95"/>
      <c r="F116" s="95"/>
      <c r="G116" s="95"/>
      <c r="H116" s="97"/>
      <c r="I116" s="39">
        <f t="shared" si="1"/>
        <v>0</v>
      </c>
      <c r="J116" s="49"/>
      <c r="K116" s="36"/>
      <c r="L116" s="80"/>
      <c r="M116" s="292" t="str">
        <f>HYPERLINK("w.youtube.com/watch?v=Cce_O7EKv2Y","Geometry - Polygon Area - Centroid - Cut")</f>
        <v>Geometry - Polygon Area - Centroid - Cut</v>
      </c>
    </row>
    <row r="117">
      <c r="A117" s="293" t="str">
        <f>HYPERLINK("https://community.topcoder.com/stat?c=problem_statement&amp;pm=5923&amp;rd=8075","BestTriangulation")</f>
        <v>BestTriangulation</v>
      </c>
      <c r="B117" s="257" t="s">
        <v>926</v>
      </c>
      <c r="C117" s="95"/>
      <c r="D117" s="95"/>
      <c r="E117" s="95"/>
      <c r="F117" s="95"/>
      <c r="G117" s="95"/>
      <c r="H117" s="97"/>
      <c r="I117" s="39">
        <f t="shared" si="1"/>
        <v>0</v>
      </c>
      <c r="J117" s="49"/>
      <c r="K117" s="36"/>
      <c r="L117" s="80"/>
      <c r="M117" s="105"/>
    </row>
    <row r="118">
      <c r="A118" s="253" t="s">
        <v>927</v>
      </c>
      <c r="B118" s="229" t="str">
        <f>HYPERLINK("https://uva.onlinejudge.org/index.php?option=onlinejudge&amp;page=show_problem&amp;problem=1029","UVA 10088")</f>
        <v>UVA 10088</v>
      </c>
      <c r="C118" s="95"/>
      <c r="D118" s="95"/>
      <c r="E118" s="95"/>
      <c r="F118" s="95"/>
      <c r="G118" s="95"/>
      <c r="H118" s="97"/>
      <c r="I118" s="39">
        <f t="shared" si="1"/>
        <v>0</v>
      </c>
      <c r="J118" s="49"/>
      <c r="K118" s="36"/>
      <c r="M118" s="80"/>
    </row>
    <row r="119">
      <c r="A119" s="253" t="s">
        <v>929</v>
      </c>
      <c r="B119" s="229" t="str">
        <f>HYPERLINK("https://uva.onlinejudge.org/index.php?option=onlinejudge&amp;page=show_problem&amp;problem=946","UVA 10005")</f>
        <v>UVA 10005</v>
      </c>
      <c r="C119" s="95"/>
      <c r="D119" s="95"/>
      <c r="E119" s="95"/>
      <c r="F119" s="95"/>
      <c r="G119" s="95"/>
      <c r="H119" s="97"/>
      <c r="I119" s="39">
        <f t="shared" si="1"/>
        <v>0</v>
      </c>
      <c r="J119" s="49"/>
      <c r="K119" s="36"/>
      <c r="M119" s="126" t="str">
        <f>HYPERLINK("https://github.com/mostafa-saad/MyCompetitiveProgramming/blob/master/UVA/UVA_10005.txt","Sol")</f>
        <v>Sol</v>
      </c>
    </row>
    <row r="120">
      <c r="A120" s="232"/>
      <c r="B120" s="294" t="s">
        <v>932</v>
      </c>
      <c r="C120" s="95"/>
      <c r="D120" s="95"/>
      <c r="E120" s="95"/>
      <c r="F120" s="95"/>
      <c r="G120" s="95"/>
      <c r="H120" s="97"/>
      <c r="I120" s="39">
        <f t="shared" si="1"/>
        <v>0</v>
      </c>
      <c r="J120" s="49"/>
      <c r="K120" s="36"/>
      <c r="M120" s="126" t="str">
        <f>HYPERLINK("https://github.com/MeGaCrazy/CompetitiveProgramming/blob/c9f4ed6571a135dbc26cfeeb099384a8fec2ff92/LiveArchive/LIVEARCHIVE_2831.cpp","Use polygon cut")</f>
        <v>Use polygon cut</v>
      </c>
    </row>
    <row r="121">
      <c r="A121" s="232" t="s">
        <v>935</v>
      </c>
      <c r="B121" s="229" t="str">
        <f>HYPERLINK("https://uva.onlinejudge.org/index.php?option=com_onlinejudge&amp;Itemid=8&amp;page=show_problem&amp;problem=529","UVA 588")</f>
        <v>UVA 588</v>
      </c>
      <c r="C121" s="95"/>
      <c r="D121" s="95"/>
      <c r="E121" s="95"/>
      <c r="F121" s="95"/>
      <c r="G121" s="95"/>
      <c r="H121" s="97"/>
      <c r="I121" s="39">
        <f t="shared" si="1"/>
        <v>0</v>
      </c>
      <c r="J121" s="49"/>
      <c r="K121" s="36"/>
      <c r="M121" s="126" t="str">
        <f>HYPERLINK("https://github.com/mostafa-saad/MyCompetitiveProgramming/blob/master/UVA/588.cpp","Use polygon cut")</f>
        <v>Use polygon cut</v>
      </c>
    </row>
    <row r="122">
      <c r="A122" s="295" t="s">
        <v>938</v>
      </c>
      <c r="B122" s="265" t="str">
        <f>HYPERLINK("https://uva.onlinejudge.org/index.php?option=com_onlinejudge&amp;Itemid=8&amp;page=show_problem&amp;problem=1205","UVA 10264")</f>
        <v>UVA 10264</v>
      </c>
      <c r="C122" s="95"/>
      <c r="D122" s="95"/>
      <c r="E122" s="95"/>
      <c r="F122" s="95"/>
      <c r="G122" s="95"/>
      <c r="H122" s="97"/>
      <c r="I122" s="39">
        <f t="shared" si="1"/>
        <v>0</v>
      </c>
      <c r="J122" s="111"/>
      <c r="K122" s="112"/>
      <c r="L122" s="80"/>
      <c r="M122" s="126" t="str">
        <f>HYPERLINK("https://github.com/SaraElkadi/competitive-programming-/blob/master/UVA/10264.cpp","sol")</f>
        <v>sol</v>
      </c>
    </row>
    <row r="123">
      <c r="A123" s="241"/>
      <c r="B123" s="296" t="s">
        <v>944</v>
      </c>
      <c r="C123" s="95"/>
      <c r="D123" s="95"/>
      <c r="E123" s="95"/>
      <c r="F123" s="95"/>
      <c r="G123" s="95"/>
      <c r="H123" s="97"/>
      <c r="I123" s="39">
        <f t="shared" si="1"/>
        <v>0</v>
      </c>
      <c r="J123" s="111"/>
      <c r="K123" s="112"/>
      <c r="L123" s="80"/>
      <c r="M123" s="51"/>
    </row>
    <row r="124">
      <c r="A124" s="241"/>
      <c r="B124" s="241" t="s">
        <v>945</v>
      </c>
      <c r="C124" s="95"/>
      <c r="D124" s="95"/>
      <c r="E124" s="95"/>
      <c r="F124" s="95"/>
      <c r="G124" s="95"/>
      <c r="H124" s="97"/>
      <c r="I124" s="39">
        <f t="shared" si="1"/>
        <v>0</v>
      </c>
      <c r="J124" s="111"/>
      <c r="K124" s="112"/>
      <c r="L124" s="80"/>
      <c r="M124" s="51"/>
    </row>
    <row r="125">
      <c r="A125" s="241"/>
      <c r="B125" s="163" t="s">
        <v>946</v>
      </c>
      <c r="C125" s="95"/>
      <c r="D125" s="95"/>
      <c r="E125" s="95"/>
      <c r="F125" s="95"/>
      <c r="G125" s="95"/>
      <c r="H125" s="97"/>
      <c r="I125" s="39">
        <f t="shared" si="1"/>
        <v>0</v>
      </c>
      <c r="J125" s="111"/>
      <c r="K125" s="112"/>
      <c r="L125" s="80"/>
      <c r="M125" s="51"/>
    </row>
    <row r="126">
      <c r="A126" s="241"/>
      <c r="B126" s="163" t="s">
        <v>947</v>
      </c>
      <c r="C126" s="95"/>
      <c r="D126" s="95"/>
      <c r="E126" s="95"/>
      <c r="F126" s="95"/>
      <c r="G126" s="95"/>
      <c r="H126" s="97"/>
      <c r="I126" s="39">
        <f t="shared" si="1"/>
        <v>0</v>
      </c>
      <c r="J126" s="111"/>
      <c r="K126" s="112"/>
      <c r="L126" s="80"/>
      <c r="M126" s="51"/>
    </row>
    <row r="127">
      <c r="A127" s="241"/>
      <c r="B127" s="163" t="s">
        <v>949</v>
      </c>
      <c r="C127" s="95"/>
      <c r="D127" s="95"/>
      <c r="E127" s="95"/>
      <c r="F127" s="95"/>
      <c r="G127" s="95"/>
      <c r="H127" s="97"/>
      <c r="I127" s="39">
        <f t="shared" si="1"/>
        <v>0</v>
      </c>
      <c r="J127" s="111"/>
      <c r="K127" s="112"/>
      <c r="L127" s="80"/>
      <c r="M127" s="51"/>
    </row>
    <row r="128">
      <c r="A128" s="241" t="s">
        <v>950</v>
      </c>
      <c r="B128" s="244" t="str">
        <f>HYPERLINK("https://www.hackerrank.com/challenges/xrange-and-pizza","HACKR xrange-and-pizza")</f>
        <v>HACKR xrange-and-pizza</v>
      </c>
      <c r="C128" s="95"/>
      <c r="D128" s="95"/>
      <c r="E128" s="95"/>
      <c r="F128" s="95"/>
      <c r="G128" s="95"/>
      <c r="H128" s="97"/>
      <c r="I128" s="39">
        <f t="shared" si="1"/>
        <v>0</v>
      </c>
      <c r="J128" s="49"/>
      <c r="K128" s="36"/>
      <c r="M128" s="126" t="str">
        <f>HYPERLINK("https://github.com/AbdelrahmanRamadan/competitive-programming/blob/master/HackerRank/xrange-and-pizza.cpp","Sol")</f>
        <v>Sol</v>
      </c>
    </row>
    <row r="129">
      <c r="A129" s="241"/>
      <c r="B129" s="163" t="s">
        <v>953</v>
      </c>
      <c r="C129" s="95"/>
      <c r="D129" s="95"/>
      <c r="E129" s="95"/>
      <c r="F129" s="95"/>
      <c r="G129" s="95"/>
      <c r="H129" s="97"/>
      <c r="I129" s="39">
        <f t="shared" si="1"/>
        <v>0</v>
      </c>
      <c r="J129" s="49"/>
      <c r="K129" s="36"/>
      <c r="M129" s="51"/>
    </row>
    <row r="130">
      <c r="A130" s="241"/>
      <c r="B130" s="163" t="s">
        <v>954</v>
      </c>
      <c r="C130" s="95"/>
      <c r="D130" s="95"/>
      <c r="E130" s="95"/>
      <c r="F130" s="95"/>
      <c r="G130" s="95"/>
      <c r="H130" s="97"/>
      <c r="I130" s="39">
        <f t="shared" si="1"/>
        <v>0</v>
      </c>
      <c r="J130" s="49"/>
      <c r="K130" s="36"/>
      <c r="M130" s="126" t="str">
        <f>HYPERLINK("https://github.com/mostafa-saad/MyCompetitiveProgramming/blob/master/UVA/UVA_11648.txt", "Sol")</f>
        <v>Sol</v>
      </c>
    </row>
    <row r="131">
      <c r="A131" s="241"/>
      <c r="B131" s="244" t="str">
        <f>HYPERLINK("https://codeforces.com/contest/911/problem/G","CF911-D2-G")</f>
        <v>CF911-D2-G</v>
      </c>
      <c r="C131" s="95"/>
      <c r="D131" s="95"/>
      <c r="E131" s="95"/>
      <c r="F131" s="95"/>
      <c r="G131" s="95"/>
      <c r="H131" s="97"/>
      <c r="I131" s="39">
        <f t="shared" si="1"/>
        <v>0</v>
      </c>
      <c r="J131" s="49"/>
      <c r="K131" s="36"/>
      <c r="M131" s="126" t="str">
        <f>HYPERLINK("https://github.com/racsosabe/CompetitiveProgramming/blob/master/CodeForces/CF911-D2-G.cpp","Sol")</f>
        <v>Sol</v>
      </c>
    </row>
    <row r="132">
      <c r="A132" s="241"/>
      <c r="B132" s="244" t="str">
        <f>HYPERLINK("http://codeforces.com/gym/101864/problem/A","CF101864-GYM-A")</f>
        <v>CF101864-GYM-A</v>
      </c>
      <c r="C132" s="95"/>
      <c r="D132" s="95"/>
      <c r="E132" s="95"/>
      <c r="F132" s="95"/>
      <c r="G132" s="95"/>
      <c r="H132" s="97"/>
      <c r="I132" s="39">
        <f t="shared" si="1"/>
        <v>0</v>
      </c>
      <c r="J132" s="49"/>
      <c r="K132" s="36"/>
      <c r="M132" s="126" t="str">
        <f>HYPERLINK("https://github.com/SpeedOfMagic/CompetitiveProgramming/blob/master/CodeforcesGym/CF101864-GYM-A.cpp","Sol")</f>
        <v>Sol</v>
      </c>
    </row>
    <row r="133">
      <c r="A133" s="241"/>
      <c r="B133" s="244" t="str">
        <f>HYPERLINK("http://codeforces.com/gym/101864/problem/L","CF101864-GYM-L")</f>
        <v>CF101864-GYM-L</v>
      </c>
      <c r="C133" s="95"/>
      <c r="D133" s="95"/>
      <c r="E133" s="95"/>
      <c r="F133" s="95"/>
      <c r="G133" s="95"/>
      <c r="H133" s="97"/>
      <c r="I133" s="39">
        <f t="shared" si="1"/>
        <v>0</v>
      </c>
      <c r="J133" s="49"/>
      <c r="K133" s="36"/>
      <c r="M133" s="126" t="str">
        <f>HYPERLINK("https://github.com/SpeedOfMagic/CompetitiveProgramming/blob/master/CodeforcesGym/CF101864-GYM-L.cpp","Sol")</f>
        <v>Sol</v>
      </c>
    </row>
    <row r="134">
      <c r="A134" s="95"/>
      <c r="B134" s="224"/>
      <c r="C134" s="95"/>
      <c r="D134" s="95"/>
      <c r="E134" s="95"/>
      <c r="F134" s="95"/>
      <c r="G134" s="95"/>
      <c r="H134" s="97"/>
      <c r="I134" s="39">
        <f t="shared" si="1"/>
        <v>0</v>
      </c>
      <c r="J134" s="49"/>
      <c r="K134" s="36"/>
      <c r="L134" s="80"/>
      <c r="M134" s="299" t="str">
        <f>HYPERLINK("https://www.youtube.com/watch?v=I5A6OYH1yuM","Geometry - Point in polygon")</f>
        <v>Geometry - Point in polygon</v>
      </c>
    </row>
    <row r="135">
      <c r="A135" s="253"/>
      <c r="B135" s="170" t="s">
        <v>970</v>
      </c>
      <c r="C135" s="95"/>
      <c r="D135" s="95"/>
      <c r="E135" s="95"/>
      <c r="F135" s="95"/>
      <c r="G135" s="95"/>
      <c r="H135" s="97"/>
      <c r="I135" s="39">
        <f t="shared" si="1"/>
        <v>0</v>
      </c>
      <c r="J135" s="49"/>
      <c r="K135" s="36"/>
      <c r="M135" s="126" t="str">
        <f>HYPERLINK("https://github.com/mostafa-saad/MyCompetitiveProgramming/blob/master/UVA/UVA_881.txt","Sol")</f>
        <v>Sol</v>
      </c>
    </row>
    <row r="136">
      <c r="A136" s="253"/>
      <c r="B136" s="170" t="s">
        <v>973</v>
      </c>
      <c r="C136" s="95"/>
      <c r="D136" s="95"/>
      <c r="E136" s="95"/>
      <c r="F136" s="95"/>
      <c r="G136" s="95"/>
      <c r="H136" s="97"/>
      <c r="I136" s="39">
        <f t="shared" si="1"/>
        <v>0</v>
      </c>
      <c r="J136" s="49"/>
      <c r="K136" s="36"/>
      <c r="M136" s="126" t="str">
        <f>HYPERLINK("https://github.com/AbdelrahmanRamadan/competitive-programming/blob/master/UVA/11665%20-%20Chinese%20Ink.cpp","Sol")</f>
        <v>Sol</v>
      </c>
    </row>
    <row r="137">
      <c r="A137" s="253"/>
      <c r="B137" s="170" t="s">
        <v>976</v>
      </c>
      <c r="C137" s="95"/>
      <c r="D137" s="95"/>
      <c r="E137" s="95"/>
      <c r="F137" s="95"/>
      <c r="G137" s="95"/>
      <c r="H137" s="97"/>
      <c r="I137" s="39">
        <f t="shared" si="1"/>
        <v>0</v>
      </c>
      <c r="J137" s="49"/>
      <c r="K137" s="36"/>
      <c r="M137" s="126" t="str">
        <f>HYPERLINK("https://github.com/AbdelrahmanRamadan/competitive-programming/blob/master/Timus/1599-Winding-Number.cpp","Sol")</f>
        <v>Sol</v>
      </c>
    </row>
    <row r="138">
      <c r="A138" s="230" t="s">
        <v>978</v>
      </c>
      <c r="B138" s="229" t="str">
        <f>HYPERLINK("https://uva.onlinejudge.org/index.php?option=onlinejudge&amp;page=show_problem&amp;problem=73","UVA 137")</f>
        <v>UVA 137</v>
      </c>
      <c r="C138" s="95"/>
      <c r="D138" s="95"/>
      <c r="E138" s="95"/>
      <c r="F138" s="95"/>
      <c r="G138" s="95"/>
      <c r="H138" s="97"/>
      <c r="I138" s="39">
        <f t="shared" si="1"/>
        <v>0</v>
      </c>
      <c r="J138" s="49"/>
      <c r="K138" s="36"/>
      <c r="M138" s="126" t="str">
        <f>HYPERLINK("https://github.com/mostafa-saad/MyCompetitiveProgramming/blob/master/UVA/UVA_137.txt","Sol")</f>
        <v>Sol</v>
      </c>
    </row>
    <row r="139">
      <c r="A139" s="303"/>
      <c r="B139" s="303"/>
      <c r="C139" s="95"/>
      <c r="D139" s="95"/>
      <c r="E139" s="95"/>
      <c r="F139" s="95"/>
      <c r="G139" s="95"/>
      <c r="H139" s="97"/>
      <c r="I139" s="39">
        <f t="shared" si="1"/>
        <v>0</v>
      </c>
      <c r="J139" s="49"/>
      <c r="K139" s="36"/>
      <c r="L139" s="80"/>
      <c r="M139" s="227" t="str">
        <f>HYPERLINK("https://www.youtube.com/watch?v=QuOiEwefssM&amp;t=2s&amp;list=PLPt2dINI2MIb4OXlJ_EEwIDV9WVUpRQ5K&amp;index=16","Graph Theory - Maximum Flow (2 vid)")</f>
        <v>Graph Theory - Maximum Flow (2 vid)</v>
      </c>
    </row>
    <row r="140">
      <c r="A140" s="230" t="s">
        <v>987</v>
      </c>
      <c r="B140" s="305" t="str">
        <f>HYPERLINK("http://www.spoj.com/problems/POTHOLE/","SPOJ POTHOLE")</f>
        <v>SPOJ POTHOLE</v>
      </c>
      <c r="C140" s="95"/>
      <c r="D140" s="95"/>
      <c r="E140" s="95"/>
      <c r="F140" s="95"/>
      <c r="G140" s="95"/>
      <c r="H140" s="97"/>
      <c r="I140" s="39">
        <f t="shared" si="1"/>
        <v>0</v>
      </c>
      <c r="J140" s="49"/>
      <c r="K140" s="36"/>
      <c r="L140" s="80"/>
      <c r="M140" s="126" t="str">
        <f>HYPERLINK("https://github.com/BRAINOOOO/CompetitiveProgramming/blob/682cdb2f527d2ab262a9f616687b53a158b281a4/Spoj/SPOJ%20POTHOLE.Cpp","Sol")</f>
        <v>Sol</v>
      </c>
    </row>
    <row r="141">
      <c r="A141" s="232" t="s">
        <v>992</v>
      </c>
      <c r="B141" s="288" t="str">
        <f>HYPERLINK("https://uva.onlinejudge.org/index.php?option=onlinejudge&amp;page=show_problem&amp;problem=1271","UVA 10330")</f>
        <v>UVA 10330</v>
      </c>
      <c r="C141" s="95"/>
      <c r="D141" s="95"/>
      <c r="E141" s="95"/>
      <c r="F141" s="95"/>
      <c r="G141" s="95"/>
      <c r="H141" s="97"/>
      <c r="I141" s="39">
        <f t="shared" si="1"/>
        <v>0</v>
      </c>
      <c r="J141" s="49"/>
      <c r="K141" s="36"/>
      <c r="L141" s="80"/>
      <c r="M141" s="126" t="str">
        <f>HYPERLINK("https://github.com/ilyesG/Competitive-Programming/blob/master/UVA/UVA%2010330.cpp","Sol")</f>
        <v>Sol</v>
      </c>
    </row>
    <row r="142">
      <c r="A142" s="232" t="s">
        <v>997</v>
      </c>
      <c r="B142" s="306" t="str">
        <f>HYPERLINK("https://uva.onlinejudge.org/index.php?option=com_onlinejudge&amp;Itemid=8&amp;page=show_problem&amp;problem=1021","UVA 10080")</f>
        <v>UVA 10080</v>
      </c>
      <c r="C142" s="95"/>
      <c r="D142" s="95"/>
      <c r="E142" s="95"/>
      <c r="F142" s="95"/>
      <c r="G142" s="95"/>
      <c r="H142" s="97"/>
      <c r="I142" s="39">
        <f t="shared" si="1"/>
        <v>0</v>
      </c>
      <c r="J142" s="49"/>
      <c r="K142" s="36"/>
      <c r="L142" s="80"/>
      <c r="M142" s="126" t="str">
        <f>HYPERLINK("https://github.com/ilyesG/Competitive-Programming/blob/master/UVA/UVA%2010080.cpp","Sol")</f>
        <v>Sol</v>
      </c>
    </row>
    <row r="143">
      <c r="A143" s="232" t="s">
        <v>1001</v>
      </c>
      <c r="B143" s="288" t="str">
        <f>HYPERLINK("https://uva.onlinejudge.org/index.php?option=com_onlinejudge&amp;Itemid=8&amp;page=show_problem&amp;problem=195","UVA 259")</f>
        <v>UVA 259</v>
      </c>
      <c r="C143" s="95"/>
      <c r="D143" s="95"/>
      <c r="E143" s="95"/>
      <c r="F143" s="95"/>
      <c r="G143" s="95"/>
      <c r="H143" s="97"/>
      <c r="I143" s="39">
        <f t="shared" si="1"/>
        <v>0</v>
      </c>
      <c r="J143" s="49"/>
      <c r="K143" s="36"/>
      <c r="L143" s="80"/>
      <c r="M143" s="126" t="str">
        <f>HYPERLINK("https://github.com/mostafa-saad/MyCompetitiveProgramming/blob/master/UVA/UVA_259.txt","Sol")</f>
        <v>Sol</v>
      </c>
    </row>
    <row r="144">
      <c r="A144" s="232"/>
      <c r="B144" s="306" t="str">
        <f>HYPERLINK("https://uva.onlinejudge.org/index.php?option=onlinejudge&amp;page=show_problem&amp;problem=1290","UVA 10349")</f>
        <v>UVA 10349</v>
      </c>
      <c r="C144" s="95"/>
      <c r="D144" s="95"/>
      <c r="E144" s="95"/>
      <c r="F144" s="95"/>
      <c r="G144" s="95"/>
      <c r="H144" s="97"/>
      <c r="I144" s="39">
        <f t="shared" si="1"/>
        <v>0</v>
      </c>
      <c r="J144" s="49"/>
      <c r="K144" s="36"/>
      <c r="L144" s="80"/>
      <c r="M144" s="126" t="str">
        <f>HYPERLINK("https://github.com/mostafa-saad/MyCompetitiveProgramming/blob/master/UVA/UVA_10349.txt","Sol - 2 ways")</f>
        <v>Sol - 2 ways</v>
      </c>
    </row>
    <row r="145">
      <c r="A145" s="232"/>
      <c r="B145" s="307" t="s">
        <v>1008</v>
      </c>
      <c r="C145" s="95"/>
      <c r="D145" s="95"/>
      <c r="E145" s="95"/>
      <c r="F145" s="95"/>
      <c r="G145" s="95"/>
      <c r="H145" s="97"/>
      <c r="I145" s="39">
        <f t="shared" si="1"/>
        <v>0</v>
      </c>
      <c r="J145" s="49"/>
      <c r="K145" s="36"/>
      <c r="L145" s="80"/>
      <c r="M145" s="126" t="str">
        <f>HYPERLINK("https://github.com/BRAINOOOO/CompetitiveProgramming/blob/master/UVA/V-121/UVA%2012168.Cpp","Sol")</f>
        <v>Sol</v>
      </c>
    </row>
    <row r="146">
      <c r="A146" s="232" t="s">
        <v>1014</v>
      </c>
      <c r="B146" s="288" t="str">
        <f>HYPERLINK("https://uva.onlinejudge.org/index.php?option=onlinejudge&amp;page=show_problem&amp;problem=694","UVA 753")</f>
        <v>UVA 753</v>
      </c>
      <c r="C146" s="95"/>
      <c r="D146" s="95"/>
      <c r="E146" s="95"/>
      <c r="F146" s="95"/>
      <c r="G146" s="95"/>
      <c r="H146" s="97"/>
      <c r="I146" s="39">
        <f t="shared" si="1"/>
        <v>0</v>
      </c>
      <c r="J146" s="49"/>
      <c r="K146" s="36"/>
      <c r="L146" s="80"/>
      <c r="M146" s="126" t="str">
        <f>HYPERLINK("https://github.com/BRAINOOOO/CompetitiveProgramming/blob/master/UVA/V-7/UVA%20753.Cpp","Sol")</f>
        <v>Sol</v>
      </c>
    </row>
    <row r="147">
      <c r="A147" s="232"/>
      <c r="B147" s="308" t="str">
        <f>HYPERLINK("https://uva.onlinejudge.org/index.php?option=onlinejudge&amp;page=show_problem&amp;problem=1290","UVA 10349")</f>
        <v>UVA 10349</v>
      </c>
      <c r="C147" s="95"/>
      <c r="D147" s="95"/>
      <c r="E147" s="95"/>
      <c r="F147" s="95"/>
      <c r="G147" s="95"/>
      <c r="H147" s="97"/>
      <c r="I147" s="39">
        <f t="shared" si="1"/>
        <v>0</v>
      </c>
      <c r="J147" s="49"/>
      <c r="K147" s="36"/>
      <c r="L147" s="80"/>
      <c r="M147" s="126" t="str">
        <f>HYPERLINK("https://github.com/mostafa-saad/MyCompetitiveProgramming/blob/master/UVA/UVA_10349.txt","Sol - 2 ways")</f>
        <v>Sol - 2 ways</v>
      </c>
    </row>
    <row r="148">
      <c r="A148" s="232" t="s">
        <v>1021</v>
      </c>
      <c r="B148" s="310" t="str">
        <f>HYPERLINK("http://www.spoj.com/problems/IM","SPOJ IM")</f>
        <v>SPOJ IM</v>
      </c>
      <c r="C148" s="95"/>
      <c r="D148" s="95"/>
      <c r="E148" s="95"/>
      <c r="F148" s="95"/>
      <c r="G148" s="95"/>
      <c r="H148" s="97"/>
      <c r="I148" s="39">
        <f t="shared" si="1"/>
        <v>0</v>
      </c>
      <c r="J148" s="49"/>
      <c r="K148" s="36"/>
      <c r="L148" s="80"/>
      <c r="M148" s="126" t="str">
        <f>HYPERLINK("https://github.com/mostafa-saad/MyCompetitiveProgramming/blob/master/SPOJ/SPOJ_IM.txt","Sol")</f>
        <v>Sol</v>
      </c>
    </row>
    <row r="149">
      <c r="A149" s="232"/>
      <c r="B149" s="308" t="str">
        <f>HYPERLINK("https://uva.onlinejudge.org/index.php?option=com_onlinejudge&amp;Itemid=8&amp;page=show_problem&amp;problem=2100","UVA 11159")</f>
        <v>UVA 11159</v>
      </c>
      <c r="C149" s="95"/>
      <c r="D149" s="95"/>
      <c r="E149" s="95"/>
      <c r="F149" s="95"/>
      <c r="G149" s="95"/>
      <c r="H149" s="97"/>
      <c r="I149" s="39">
        <f t="shared" si="1"/>
        <v>0</v>
      </c>
      <c r="J149" s="49"/>
      <c r="K149" s="36"/>
      <c r="L149" s="80"/>
      <c r="M149" s="126" t="str">
        <f>HYPERLINK("https://github.com/mostafa-saad/MyCompetitiveProgramming/blob/master/UVA/UVA_11159.txt","Sol")</f>
        <v>Sol</v>
      </c>
    </row>
    <row r="150">
      <c r="A150" s="232"/>
      <c r="B150" s="307" t="s">
        <v>1029</v>
      </c>
      <c r="C150" s="95"/>
      <c r="D150" s="95"/>
      <c r="E150" s="95"/>
      <c r="F150" s="95"/>
      <c r="G150" s="95"/>
      <c r="H150" s="97"/>
      <c r="I150" s="39">
        <f t="shared" si="1"/>
        <v>0</v>
      </c>
      <c r="J150" s="49"/>
      <c r="K150" s="36"/>
      <c r="L150" s="80"/>
      <c r="M150" s="126" t="str">
        <f>HYPERLINK("https://github.com/ilyesG/Competitive-Programming/blob/master/UVA/UVA%201194.cpp","Sol")</f>
        <v>Sol</v>
      </c>
    </row>
    <row r="151">
      <c r="A151" s="273" t="s">
        <v>1031</v>
      </c>
      <c r="B151" s="311" t="str">
        <f>HYPERLINK("http://poj.org/problem?id=2374","PKU 2374")</f>
        <v>PKU 2374</v>
      </c>
      <c r="C151" s="95"/>
      <c r="D151" s="95"/>
      <c r="E151" s="95"/>
      <c r="F151" s="95"/>
      <c r="G151" s="95"/>
      <c r="H151" s="97"/>
      <c r="I151" s="39">
        <f t="shared" si="1"/>
        <v>0</v>
      </c>
      <c r="J151" s="111"/>
      <c r="K151" s="112"/>
      <c r="M151" s="126" t="str">
        <f>HYPERLINK("https://github.com/mostafa-saad/MyCompetitiveProgramming/blob/master/PKU/PKU_2374.txt","Sol")</f>
        <v>Sol</v>
      </c>
    </row>
    <row r="152">
      <c r="A152" s="270" t="s">
        <v>1036</v>
      </c>
      <c r="B152" s="273" t="s">
        <v>1037</v>
      </c>
      <c r="C152" s="95"/>
      <c r="D152" s="95"/>
      <c r="E152" s="95"/>
      <c r="F152" s="95"/>
      <c r="G152" s="95"/>
      <c r="H152" s="97"/>
      <c r="I152" s="39">
        <f t="shared" si="1"/>
        <v>0</v>
      </c>
      <c r="J152" s="111"/>
      <c r="K152" s="112"/>
      <c r="M152" s="126" t="str">
        <f>HYPERLINK("https://github.com/mostafa-saad/MyCompetitiveProgramming/blob/master/UVA/UVA_10514.txt","Sol")</f>
        <v>Sol</v>
      </c>
    </row>
    <row r="153">
      <c r="A153" s="238"/>
      <c r="B153" s="273" t="s">
        <v>1039</v>
      </c>
      <c r="C153" s="95"/>
      <c r="D153" s="95"/>
      <c r="E153" s="95"/>
      <c r="F153" s="95"/>
      <c r="G153" s="95"/>
      <c r="H153" s="97"/>
      <c r="I153" s="39">
        <f t="shared" si="1"/>
        <v>0</v>
      </c>
      <c r="J153" s="111"/>
      <c r="K153" s="112"/>
      <c r="M153" s="126" t="str">
        <f>HYPERLINK("https://github.com/AbdelrahmanRamadan/competitive-programming/blob/master/Topcoder/SRM368%20Jumping%20Board.cpp","Sol")</f>
        <v>Sol</v>
      </c>
    </row>
    <row r="154">
      <c r="A154" s="238"/>
      <c r="B154" s="273" t="s">
        <v>1041</v>
      </c>
      <c r="C154" s="95"/>
      <c r="D154" s="95"/>
      <c r="E154" s="95"/>
      <c r="F154" s="95"/>
      <c r="G154" s="95"/>
      <c r="H154" s="97"/>
      <c r="I154" s="39">
        <f t="shared" si="1"/>
        <v>0</v>
      </c>
      <c r="J154" s="111"/>
      <c r="K154" s="112"/>
      <c r="M154" s="126" t="str">
        <f>HYPERLINK("https://github.com/AbdelrahmanRamadan/competitive-programming/blob/master/Topcoder/SRM373%20RectangleCrossings.cpp","Sol")</f>
        <v>Sol</v>
      </c>
    </row>
    <row r="155">
      <c r="A155" s="238"/>
      <c r="B155" s="270" t="s">
        <v>1042</v>
      </c>
      <c r="C155" s="95"/>
      <c r="D155" s="95"/>
      <c r="E155" s="95"/>
      <c r="F155" s="95"/>
      <c r="G155" s="95"/>
      <c r="H155" s="97"/>
      <c r="I155" s="39">
        <f t="shared" si="1"/>
        <v>0</v>
      </c>
      <c r="J155" s="111"/>
      <c r="K155" s="112"/>
      <c r="L155" s="80"/>
      <c r="M155" s="51"/>
    </row>
    <row r="156">
      <c r="A156" s="238"/>
      <c r="B156" s="270" t="s">
        <v>1043</v>
      </c>
      <c r="C156" s="95"/>
      <c r="D156" s="95"/>
      <c r="E156" s="95"/>
      <c r="F156" s="95"/>
      <c r="G156" s="95"/>
      <c r="H156" s="97"/>
      <c r="I156" s="39">
        <f t="shared" si="1"/>
        <v>0</v>
      </c>
      <c r="J156" s="111"/>
      <c r="K156" s="112"/>
      <c r="L156" s="80"/>
      <c r="M156" s="51"/>
    </row>
    <row r="157">
      <c r="A157" s="238"/>
      <c r="B157" s="270" t="s">
        <v>1044</v>
      </c>
      <c r="C157" s="95"/>
      <c r="D157" s="95"/>
      <c r="E157" s="95"/>
      <c r="F157" s="95"/>
      <c r="G157" s="95"/>
      <c r="H157" s="97"/>
      <c r="I157" s="39">
        <f t="shared" si="1"/>
        <v>0</v>
      </c>
      <c r="J157" s="111"/>
      <c r="K157" s="112"/>
      <c r="L157" s="80"/>
      <c r="M157" s="126" t="str">
        <f>HYPERLINK("https://github.com/OmarHashim/Competitive-Programming/blob/master/UVA/10180.cpp","Sol")</f>
        <v>Sol</v>
      </c>
    </row>
    <row r="158">
      <c r="A158" s="238"/>
      <c r="B158" s="270" t="s">
        <v>1045</v>
      </c>
      <c r="C158" s="95"/>
      <c r="D158" s="95"/>
      <c r="E158" s="95"/>
      <c r="F158" s="95"/>
      <c r="G158" s="95"/>
      <c r="H158" s="97"/>
      <c r="I158" s="39">
        <f t="shared" si="1"/>
        <v>0</v>
      </c>
      <c r="J158" s="111"/>
      <c r="K158" s="112"/>
      <c r="L158" s="80"/>
      <c r="M158" s="80"/>
    </row>
    <row r="159">
      <c r="A159" s="238"/>
      <c r="B159" s="270" t="s">
        <v>1047</v>
      </c>
      <c r="C159" s="95"/>
      <c r="D159" s="95"/>
      <c r="E159" s="95"/>
      <c r="F159" s="95"/>
      <c r="G159" s="95"/>
      <c r="H159" s="97"/>
      <c r="I159" s="39">
        <f t="shared" si="1"/>
        <v>0</v>
      </c>
      <c r="J159" s="111"/>
      <c r="K159" s="112"/>
      <c r="L159" s="80"/>
      <c r="M159" s="279" t="str">
        <f>HYPERLINK("https://github.com/AhmedRamadanAbdElghany/CompetitiveProgramming/blob/master/UVA/1184.cpp","Sol")</f>
        <v>Sol</v>
      </c>
    </row>
  </sheetData>
  <conditionalFormatting sqref="K3:K159">
    <cfRule type="cellIs" dxfId="0" priority="1" operator="equal">
      <formula>"No"</formula>
    </cfRule>
  </conditionalFormatting>
  <conditionalFormatting sqref="K3:K159">
    <cfRule type="cellIs" dxfId="0" priority="2" operator="equal">
      <formula>"no"</formula>
    </cfRule>
  </conditionalFormatting>
  <conditionalFormatting sqref="K3:K159">
    <cfRule type="cellIs" dxfId="0" priority="3" operator="equal">
      <formula>"NO"</formula>
    </cfRule>
  </conditionalFormatting>
  <conditionalFormatting sqref="C3:C159 A134 A139:B139">
    <cfRule type="cellIs" dxfId="1" priority="4" operator="equal">
      <formula>"AC"</formula>
    </cfRule>
  </conditionalFormatting>
  <conditionalFormatting sqref="C3:C159 A134 A139:B139">
    <cfRule type="containsText" dxfId="2" priority="5" operator="containsText" text="WA">
      <formula>NOT(ISERROR(SEARCH(("WA"),(C3))))</formula>
    </cfRule>
  </conditionalFormatting>
  <conditionalFormatting sqref="C11:C159 A134 A139:B139">
    <cfRule type="containsText" dxfId="2" priority="6" operator="containsText" text="WA">
      <formula>NOT(ISERROR(SEARCH(("WA"),(C11))))</formula>
    </cfRule>
  </conditionalFormatting>
  <conditionalFormatting sqref="C3:C159 A134 A139:B139">
    <cfRule type="containsText" dxfId="3" priority="7" operator="containsText" text="TLE">
      <formula>NOT(ISERROR(SEARCH(("TLE"),(C3))))</formula>
    </cfRule>
  </conditionalFormatting>
  <conditionalFormatting sqref="C11:C159 A134 A139:B139">
    <cfRule type="containsText" dxfId="3" priority="8" operator="containsText" text="TLE">
      <formula>NOT(ISERROR(SEARCH(("TLE"),(C11))))</formula>
    </cfRule>
  </conditionalFormatting>
  <conditionalFormatting sqref="C3:C159 A134 A139:B139">
    <cfRule type="containsText" dxfId="4" priority="9" operator="containsText" text="RTE">
      <formula>NOT(ISERROR(SEARCH(("RTE"),(C3))))</formula>
    </cfRule>
  </conditionalFormatting>
  <conditionalFormatting sqref="C11:C159 A134 A139:B139">
    <cfRule type="containsText" dxfId="4" priority="10" operator="containsText" text="RTE">
      <formula>NOT(ISERROR(SEARCH(("RTE"),(C11))))</formula>
    </cfRule>
  </conditionalFormatting>
  <conditionalFormatting sqref="C3:C159 A134 A139:B139">
    <cfRule type="containsText" dxfId="5" priority="11" operator="containsText" text="CS">
      <formula>NOT(ISERROR(SEARCH(("CS"),(C3))))</formula>
    </cfRule>
  </conditionalFormatting>
  <conditionalFormatting sqref="C11:C159 A134 A139:B139">
    <cfRule type="containsText" dxfId="5" priority="12" operator="containsText" text="CS">
      <formula>NOT(ISERROR(SEARCH(("CS"),(C11))))</formula>
    </cfRule>
  </conditionalFormatting>
  <drawing r:id="rId1"/>
</worksheet>
</file>