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<sst xmlns="http://schemas.openxmlformats.org/spreadsheetml/2006/main" count="11210" uniqueCount="3030">
  <si>
    <t>Submission Id</t>
  </si>
  <si>
    <t>Owner</t>
  </si>
  <si>
    <t>Created At</t>
  </si>
  <si>
    <t>Last Updated At</t>
  </si>
  <si>
    <t xml:space="preserve">Date </t>
  </si>
  <si>
    <t>District</t>
  </si>
  <si>
    <t>Chiefdom</t>
  </si>
  <si>
    <t>PHU/PPS</t>
  </si>
  <si>
    <t>Number of ITNs received from the store/phu at the start of the day</t>
  </si>
  <si>
    <t>Additional ITNs received during the day</t>
  </si>
  <si>
    <t>Total number of ITNs received from PHU after the additional ITNs received</t>
  </si>
  <si>
    <t>Total ITNs distributed</t>
  </si>
  <si>
    <t>Total ITNs remaining after distribution</t>
  </si>
  <si>
    <t>Total number of ITNs returned to the PHU at the end of the day</t>
  </si>
  <si>
    <t>Name of phu staff</t>
  </si>
  <si>
    <t>Signature of phu staff</t>
  </si>
  <si>
    <t>GPS Location</t>
  </si>
  <si>
    <t>EDS93008736</t>
  </si>
  <si>
    <t>Unknown User</t>
  </si>
  <si>
    <t>30-06-2025 12:18 PM</t>
  </si>
  <si>
    <t>08-07-2025 11:57 AM</t>
  </si>
  <si>
    <t>Bo</t>
  </si>
  <si>
    <t>Badjia</t>
  </si>
  <si>
    <t>Njagbahun MCHP</t>
  </si>
  <si>
    <t>0</t>
  </si>
  <si>
    <t>Mariana Abu</t>
  </si>
  <si>
    <t>SJX10061595</t>
  </si>
  <si>
    <t>01-07-2025 11:01 AM</t>
  </si>
  <si>
    <t>08-07-2025 11:16 AM</t>
  </si>
  <si>
    <t>Komboya</t>
  </si>
  <si>
    <t>Teibor CHP</t>
  </si>
  <si>
    <t xml:space="preserve">Augustine H Boimah </t>
  </si>
  <si>
    <t>DPP11468482</t>
  </si>
  <si>
    <t>04-07-2025 04:52 PM</t>
  </si>
  <si>
    <t>08-07-2025 11:14 AM</t>
  </si>
  <si>
    <t>Valunia</t>
  </si>
  <si>
    <t>Foya CHP</t>
  </si>
  <si>
    <t>Musa M.Ghaliwai</t>
  </si>
  <si>
    <t>JVE80283330</t>
  </si>
  <si>
    <t>04-07-2025 03:18 PM</t>
  </si>
  <si>
    <t>JOB73874181</t>
  </si>
  <si>
    <t>03-07-2025 09:27 AM</t>
  </si>
  <si>
    <t>08-07-2025 11:13 AM</t>
  </si>
  <si>
    <t>IQN24604367</t>
  </si>
  <si>
    <t>04-07-2025 02:04 PM</t>
  </si>
  <si>
    <t>08-07-2025 11:05 AM</t>
  </si>
  <si>
    <t>Baomahun CHC</t>
  </si>
  <si>
    <t>MOH Conteh</t>
  </si>
  <si>
    <t>KWP26978834</t>
  </si>
  <si>
    <t>04-07-2025 08:42 AM</t>
  </si>
  <si>
    <t>08-07-2025 11:00 AM</t>
  </si>
  <si>
    <t>Monghere CHC</t>
  </si>
  <si>
    <t xml:space="preserve">Lahai koroma </t>
  </si>
  <si>
    <t>UEI28156244</t>
  </si>
  <si>
    <t>03-07-2025 03:08 PM</t>
  </si>
  <si>
    <t>ONX34504387</t>
  </si>
  <si>
    <t>04-07-2025 08:27 AM</t>
  </si>
  <si>
    <t>08-07-2025 09:59 AM</t>
  </si>
  <si>
    <t>Tinkoko</t>
  </si>
  <si>
    <t>Mendewa layout</t>
  </si>
  <si>
    <t xml:space="preserve">Josephine johnny </t>
  </si>
  <si>
    <t>ONU93570918</t>
  </si>
  <si>
    <t>03-07-2025 09:33 AM</t>
  </si>
  <si>
    <t>VNC95098254</t>
  </si>
  <si>
    <t>03-07-2025 09:30 AM</t>
  </si>
  <si>
    <t>WBF82968678</t>
  </si>
  <si>
    <t>02-07-2025 10:16 AM</t>
  </si>
  <si>
    <t>08-07-2025 08:39 AM</t>
  </si>
  <si>
    <t>Bombali</t>
  </si>
  <si>
    <t>Makarie</t>
  </si>
  <si>
    <t>Masongbo (Makarie) CHC</t>
  </si>
  <si>
    <t>Emmanuel songu</t>
  </si>
  <si>
    <t>ZHZ33865378</t>
  </si>
  <si>
    <t>01-07-2025 07:35 AM</t>
  </si>
  <si>
    <t>JSB25755377</t>
  </si>
  <si>
    <t>02-07-2025 08:23 AM</t>
  </si>
  <si>
    <t>08-07-2025 08:18 AM</t>
  </si>
  <si>
    <t>Bo City</t>
  </si>
  <si>
    <t>Simbo Town CHP</t>
  </si>
  <si>
    <t xml:space="preserve">Alice Bambanga </t>
  </si>
  <si>
    <t>LYS02745998</t>
  </si>
  <si>
    <t>01-07-2025 01:34 PM</t>
  </si>
  <si>
    <t>08-07-2025 08:17 AM</t>
  </si>
  <si>
    <t>Bombali Sebora</t>
  </si>
  <si>
    <t>Maforay (Bombali Sebora) CHP</t>
  </si>
  <si>
    <t>Samuella damba conteh</t>
  </si>
  <si>
    <t>EIR01449841</t>
  </si>
  <si>
    <t>01-07-2025 06:22 AM</t>
  </si>
  <si>
    <t>Makeni City</t>
  </si>
  <si>
    <t>Loreto Clinic</t>
  </si>
  <si>
    <t>00</t>
  </si>
  <si>
    <t>Samuel S Kalokoh</t>
  </si>
  <si>
    <t>LXR40576874</t>
  </si>
  <si>
    <t>04-07-2025 01:27 PM</t>
  </si>
  <si>
    <t>08-07-2025 07:40 AM</t>
  </si>
  <si>
    <t>Kakua</t>
  </si>
  <si>
    <t>Needy CHC`</t>
  </si>
  <si>
    <t xml:space="preserve">Theresa Boima </t>
  </si>
  <si>
    <t>QNW99020052</t>
  </si>
  <si>
    <t>04-07-2025 01:25 PM</t>
  </si>
  <si>
    <t>08-07-2025 07:39 AM</t>
  </si>
  <si>
    <t>OBP12954246</t>
  </si>
  <si>
    <t>04-07-2025 01:24 PM</t>
  </si>
  <si>
    <t>PPM24004986</t>
  </si>
  <si>
    <t>04-07-2025 01:21 PM</t>
  </si>
  <si>
    <t>DMJ28382748</t>
  </si>
  <si>
    <t>04-07-2025 01:28 PM</t>
  </si>
  <si>
    <t>08-07-2025 06:52 AM</t>
  </si>
  <si>
    <t xml:space="preserve">Lucia Feika </t>
  </si>
  <si>
    <t>RYZ66213324</t>
  </si>
  <si>
    <t>04-07-2025 01:26 PM</t>
  </si>
  <si>
    <t>ITJ39084888</t>
  </si>
  <si>
    <t>08-07-2025 06:51 AM</t>
  </si>
  <si>
    <t>CZA43644022</t>
  </si>
  <si>
    <t>Lucia feika</t>
  </si>
  <si>
    <t>PNV08033266</t>
  </si>
  <si>
    <t>Lucia. Feika</t>
  </si>
  <si>
    <t>JSR73552911</t>
  </si>
  <si>
    <t>04-07-2025 05:02 AM</t>
  </si>
  <si>
    <t>08-07-2025 06:04 AM</t>
  </si>
  <si>
    <t>Tengbewabu MCHP</t>
  </si>
  <si>
    <t>Edna musa</t>
  </si>
  <si>
    <t>GWG12911580</t>
  </si>
  <si>
    <t>04-07-2025 04:59 AM</t>
  </si>
  <si>
    <t>08-07-2025 06:03 AM</t>
  </si>
  <si>
    <t>Edna Musa</t>
  </si>
  <si>
    <t>ELV91857054</t>
  </si>
  <si>
    <t>02-07-2025 07:14 AM</t>
  </si>
  <si>
    <t>08-07-2025 04:58 AM</t>
  </si>
  <si>
    <t>Bargbo</t>
  </si>
  <si>
    <t>Bumkaku MCHP</t>
  </si>
  <si>
    <t xml:space="preserve">Salimatu sento jalloh </t>
  </si>
  <si>
    <t>RIN99859012</t>
  </si>
  <si>
    <t>02-07-2025 07:12 AM</t>
  </si>
  <si>
    <t>GKO89071314</t>
  </si>
  <si>
    <t>02-07-2025 07:06 AM</t>
  </si>
  <si>
    <t>CKT88449931</t>
  </si>
  <si>
    <t>02-07-2025 07:05 AM</t>
  </si>
  <si>
    <t>AUX91232804</t>
  </si>
  <si>
    <t>01-07-2025 08:26 AM</t>
  </si>
  <si>
    <t>RRO29482196</t>
  </si>
  <si>
    <t>08-07-2025 04:19 AM</t>
  </si>
  <si>
    <t>Niagorehun CHP</t>
  </si>
  <si>
    <t xml:space="preserve">Fatmata BP Sesay </t>
  </si>
  <si>
    <t>KQH32736904</t>
  </si>
  <si>
    <t>04-07-2025 01:59 PM</t>
  </si>
  <si>
    <t>07-07-2025 12:15 PM</t>
  </si>
  <si>
    <t>Tikonko CHC</t>
  </si>
  <si>
    <t xml:space="preserve">Rashid ASP Yayie </t>
  </si>
  <si>
    <t>JEB24050006</t>
  </si>
  <si>
    <t>04-07-2025 05:42 AM</t>
  </si>
  <si>
    <t>07-07-2025 11:58 AM</t>
  </si>
  <si>
    <t>Gondama CHC</t>
  </si>
  <si>
    <t xml:space="preserve">Hawa mansaray </t>
  </si>
  <si>
    <t>WIO39177384</t>
  </si>
  <si>
    <t>03-07-2025 10:21 AM</t>
  </si>
  <si>
    <t>PRH46234659</t>
  </si>
  <si>
    <t>02-07-2025 12:19 PM</t>
  </si>
  <si>
    <t>DQW37366529</t>
  </si>
  <si>
    <t>02-07-2025 05:05 AM</t>
  </si>
  <si>
    <t>07-07-2025 11:57 AM</t>
  </si>
  <si>
    <t>IJU42043673</t>
  </si>
  <si>
    <t>04-07-2025 12:37 PM</t>
  </si>
  <si>
    <t>07-07-2025 11:07 AM</t>
  </si>
  <si>
    <t>Bumpeh</t>
  </si>
  <si>
    <t>Kaniya MCHP</t>
  </si>
  <si>
    <t xml:space="preserve">Iye Bundu </t>
  </si>
  <si>
    <t>WOA59224743</t>
  </si>
  <si>
    <t>04-07-2025 12:36 PM</t>
  </si>
  <si>
    <t>TEQ40926329</t>
  </si>
  <si>
    <t>04-07-2025 12:34 PM</t>
  </si>
  <si>
    <t xml:space="preserve">Iye M Bundu </t>
  </si>
  <si>
    <t>CJU54233179</t>
  </si>
  <si>
    <t>04-07-2025 12:32 PM</t>
  </si>
  <si>
    <t xml:space="preserve">Francess Mansaray </t>
  </si>
  <si>
    <t>GMN22189754</t>
  </si>
  <si>
    <t>04-07-2025 12:29 PM</t>
  </si>
  <si>
    <t>YTI36220627</t>
  </si>
  <si>
    <t>04-07-2025 04:50 AM</t>
  </si>
  <si>
    <t>DYG68334631</t>
  </si>
  <si>
    <t>03-07-2025 05:24 AM</t>
  </si>
  <si>
    <t>07-07-2025 11:06 AM</t>
  </si>
  <si>
    <t>FAR17081232</t>
  </si>
  <si>
    <t>02-07-2025 05:29 AM</t>
  </si>
  <si>
    <t>SBF04916428</t>
  </si>
  <si>
    <t>01-07-2025 07:59 AM</t>
  </si>
  <si>
    <t>BAA82438931</t>
  </si>
  <si>
    <t>01-07-2025 07:22 AM</t>
  </si>
  <si>
    <t>HRB44631000</t>
  </si>
  <si>
    <t>04-07-2025 10:54 AM</t>
  </si>
  <si>
    <t>07-07-2025 10:52 AM</t>
  </si>
  <si>
    <t>Walihun MCHP</t>
  </si>
  <si>
    <t xml:space="preserve">Jeneba Kanneh </t>
  </si>
  <si>
    <t>WYY67159485</t>
  </si>
  <si>
    <t>02-07-2025 09:44 AM</t>
  </si>
  <si>
    <t>07-07-2025 10:43 AM</t>
  </si>
  <si>
    <t>Gbanja Town CHP</t>
  </si>
  <si>
    <t xml:space="preserve">Mamie koroma </t>
  </si>
  <si>
    <t>EAN29025926</t>
  </si>
  <si>
    <t>30-06-2025 05:55 AM</t>
  </si>
  <si>
    <t>Mamie koroma</t>
  </si>
  <si>
    <t>OHW81870029</t>
  </si>
  <si>
    <t>04-07-2025 06:22 AM</t>
  </si>
  <si>
    <t>07-07-2025 10:41 AM</t>
  </si>
  <si>
    <t xml:space="preserve">Musu Tucker </t>
  </si>
  <si>
    <t>VUG21674733</t>
  </si>
  <si>
    <t>03-07-2025 07:06 AM</t>
  </si>
  <si>
    <t>07-07-2025 10:40 AM</t>
  </si>
  <si>
    <t>GNH43279015</t>
  </si>
  <si>
    <t>02-07-2025 09:41 AM</t>
  </si>
  <si>
    <t>VLZ72208957</t>
  </si>
  <si>
    <t>30-06-2025 04:30 AM</t>
  </si>
  <si>
    <t>07-07-2025 10:39 AM</t>
  </si>
  <si>
    <t>YNY21435400</t>
  </si>
  <si>
    <t>03-07-2025 12:04 PM</t>
  </si>
  <si>
    <t>07-07-2025 10:33 AM</t>
  </si>
  <si>
    <t>Fulawahun MCHP</t>
  </si>
  <si>
    <t xml:space="preserve">Josephine Kamara </t>
  </si>
  <si>
    <t>XME81038996</t>
  </si>
  <si>
    <t>02-07-2025 07:58 AM</t>
  </si>
  <si>
    <t>07-07-2025 10:31 AM</t>
  </si>
  <si>
    <t xml:space="preserve">Josephine Bonnie </t>
  </si>
  <si>
    <t>GEN53356261</t>
  </si>
  <si>
    <t>02-07-2025 07:56 AM</t>
  </si>
  <si>
    <t>FCM77939702</t>
  </si>
  <si>
    <t>02-07-2025 07:54 AM</t>
  </si>
  <si>
    <t xml:space="preserve">Philip Swaray </t>
  </si>
  <si>
    <t>XUJ52885011</t>
  </si>
  <si>
    <t>04-07-2025 06:21 AM</t>
  </si>
  <si>
    <t>07-07-2025 10:23 AM</t>
  </si>
  <si>
    <t>RKG39626855</t>
  </si>
  <si>
    <t>03-07-2025 07:08 AM</t>
  </si>
  <si>
    <t>07-07-2025 10:22 AM</t>
  </si>
  <si>
    <t>VUL56196749</t>
  </si>
  <si>
    <t>02-07-2025 09:43 AM</t>
  </si>
  <si>
    <t>Massah monya</t>
  </si>
  <si>
    <t>GWW44047685</t>
  </si>
  <si>
    <t>01-07-2025 08:20 AM</t>
  </si>
  <si>
    <t>07-07-2025 10:21 AM</t>
  </si>
  <si>
    <t>ETY39073355</t>
  </si>
  <si>
    <t>30-06-2025 04:04 AM</t>
  </si>
  <si>
    <t>UBA61322364</t>
  </si>
  <si>
    <t>04-07-2025 11:26 AM</t>
  </si>
  <si>
    <t>07-07-2025 10:02 AM</t>
  </si>
  <si>
    <t xml:space="preserve">Mamusu Beatrice Conteh </t>
  </si>
  <si>
    <t>PGK55672079</t>
  </si>
  <si>
    <t>04-07-2025 02:48 PM</t>
  </si>
  <si>
    <t>07-07-2025 08:51 AM</t>
  </si>
  <si>
    <t>Magbaimba Ndohahun</t>
  </si>
  <si>
    <t>Mambiama MCHP</t>
  </si>
  <si>
    <t xml:space="preserve">Ramatu  B fornah </t>
  </si>
  <si>
    <t>ZUM22465237</t>
  </si>
  <si>
    <t>04-07-2025 02:44 PM</t>
  </si>
  <si>
    <t>Ramatu B fofonah</t>
  </si>
  <si>
    <t>GUP78406815</t>
  </si>
  <si>
    <t>04-07-2025 02:29 PM</t>
  </si>
  <si>
    <t>Ramatu B fornah</t>
  </si>
  <si>
    <t>AXY33592970</t>
  </si>
  <si>
    <t>04-07-2025 02:27 PM</t>
  </si>
  <si>
    <t>VFW51703216</t>
  </si>
  <si>
    <t>04-07-2025 02:25 PM</t>
  </si>
  <si>
    <t>JPW71474036</t>
  </si>
  <si>
    <t>02-07-2025 01:32 PM</t>
  </si>
  <si>
    <t>07-07-2025 08:48 AM</t>
  </si>
  <si>
    <t>Hunduwa MCHP</t>
  </si>
  <si>
    <t xml:space="preserve">Foday Harding kallon </t>
  </si>
  <si>
    <t>HUS61978011</t>
  </si>
  <si>
    <t>02-07-2025 07:00 AM</t>
  </si>
  <si>
    <t>07-07-2025 08:20 AM</t>
  </si>
  <si>
    <t>Jaiama</t>
  </si>
  <si>
    <t>Mano-Jaiama CHP</t>
  </si>
  <si>
    <t xml:space="preserve">Susan Collier </t>
  </si>
  <si>
    <t>QYR41435606</t>
  </si>
  <si>
    <t>02-07-2025 08:04 AM</t>
  </si>
  <si>
    <t>07-07-2025 06:47 AM</t>
  </si>
  <si>
    <t>Lugbu</t>
  </si>
  <si>
    <t>Karleh MCHP</t>
  </si>
  <si>
    <t xml:space="preserve">Kadiatu L Koroma </t>
  </si>
  <si>
    <t>TBY91920073</t>
  </si>
  <si>
    <t>30-06-2025 11:13 AM</t>
  </si>
  <si>
    <t>07-07-2025 06:43 AM</t>
  </si>
  <si>
    <t>Kadiatu LKoroma</t>
  </si>
  <si>
    <t>JIA77820976</t>
  </si>
  <si>
    <t>Training</t>
  </si>
  <si>
    <t>04-07-2025 09:25 AM</t>
  </si>
  <si>
    <t>07-07-2025 06:42 AM</t>
  </si>
  <si>
    <t>Ngowahun</t>
  </si>
  <si>
    <t>Makiteh (Ngowahun) MCHP</t>
  </si>
  <si>
    <t xml:space="preserve">Ramatu Kuyateh </t>
  </si>
  <si>
    <t>YPO51034417</t>
  </si>
  <si>
    <t>03-07-2025 09:57 AM</t>
  </si>
  <si>
    <t>EOO10397693</t>
  </si>
  <si>
    <t>02-07-2025 05:27 AM</t>
  </si>
  <si>
    <t>07-07-2025 06:36 AM</t>
  </si>
  <si>
    <t>Upper Saama MCHP</t>
  </si>
  <si>
    <t>Ansumana Gaima</t>
  </si>
  <si>
    <t>VPR97236047</t>
  </si>
  <si>
    <t>01-07-2025 08:36 AM</t>
  </si>
  <si>
    <t xml:space="preserve">Fatmata Gaima </t>
  </si>
  <si>
    <t>JWS72506000</t>
  </si>
  <si>
    <t>02-07-2025 01:21 PM</t>
  </si>
  <si>
    <t xml:space="preserve">Hawa Baby Kamara </t>
  </si>
  <si>
    <t>UBI37241739</t>
  </si>
  <si>
    <t>01-07-2025 02:32 PM</t>
  </si>
  <si>
    <t>LDB88131966</t>
  </si>
  <si>
    <t>30-06-2025 08:45 AM</t>
  </si>
  <si>
    <t>OSJ65141392</t>
  </si>
  <si>
    <t>02-07-2025 05:40 AM</t>
  </si>
  <si>
    <t>07-07-2025 06:13 AM</t>
  </si>
  <si>
    <t>Tambiama CHP</t>
  </si>
  <si>
    <t xml:space="preserve">Kadiatu kanu </t>
  </si>
  <si>
    <t>LHU38502332</t>
  </si>
  <si>
    <t>02-07-2025 08:48 AM</t>
  </si>
  <si>
    <t>07-07-2025 06:10 AM</t>
  </si>
  <si>
    <t>Heima MCHP</t>
  </si>
  <si>
    <t>SRM39575780</t>
  </si>
  <si>
    <t>02-07-2025 08:24 AM</t>
  </si>
  <si>
    <t>DGK93937332</t>
  </si>
  <si>
    <t>04-07-2025 07:45 AM</t>
  </si>
  <si>
    <t>07-07-2025 06:00 AM</t>
  </si>
  <si>
    <t>Kalangba (Ngowahun) CHC</t>
  </si>
  <si>
    <t xml:space="preserve">Kalangba </t>
  </si>
  <si>
    <t>VGI13010991</t>
  </si>
  <si>
    <t>03-07-2025 12:59 AM</t>
  </si>
  <si>
    <t>05-07-2025 03:21 PM</t>
  </si>
  <si>
    <t>Paki Masabong</t>
  </si>
  <si>
    <t>Kathanta Bana CHP</t>
  </si>
  <si>
    <t xml:space="preserve">Aminata Ruth Kamara </t>
  </si>
  <si>
    <t>KEX86333385</t>
  </si>
  <si>
    <t>01-07-2025 03:58 AM</t>
  </si>
  <si>
    <t>05-07-2025 09:14 AM</t>
  </si>
  <si>
    <t>Wonde</t>
  </si>
  <si>
    <t>Bathurst MCHP</t>
  </si>
  <si>
    <t xml:space="preserve">Progress M Thomas </t>
  </si>
  <si>
    <t>MNS51984356</t>
  </si>
  <si>
    <t>05-07-2025 08:19 AM</t>
  </si>
  <si>
    <t>Serabu CHC</t>
  </si>
  <si>
    <t xml:space="preserve">Steven mbayo </t>
  </si>
  <si>
    <t>OXZ02938093</t>
  </si>
  <si>
    <t>05-07-2025 07:40 AM</t>
  </si>
  <si>
    <t>Biriwa</t>
  </si>
  <si>
    <t>Kanikay MCHP</t>
  </si>
  <si>
    <t xml:space="preserve">Isata Kalokoh </t>
  </si>
  <si>
    <t>RXC55263809</t>
  </si>
  <si>
    <t>05-07-2025 07:31 AM</t>
  </si>
  <si>
    <t>Torkpoi Town CHP</t>
  </si>
  <si>
    <t xml:space="preserve">Hannah Fortune </t>
  </si>
  <si>
    <t>URE30931711</t>
  </si>
  <si>
    <t>05-07-2025 07:28 AM</t>
  </si>
  <si>
    <t>Princess Barber</t>
  </si>
  <si>
    <t>UHB41032386</t>
  </si>
  <si>
    <t>05-07-2025 07:25 AM</t>
  </si>
  <si>
    <t>Cecilia Bendu</t>
  </si>
  <si>
    <t>ZDI15926573</t>
  </si>
  <si>
    <t>05-07-2025 07:22 AM</t>
  </si>
  <si>
    <t>Hannah Fortune</t>
  </si>
  <si>
    <t>NGN04029811</t>
  </si>
  <si>
    <t>05-07-2025 07:18 AM</t>
  </si>
  <si>
    <t>Zainab Y. Kamara</t>
  </si>
  <si>
    <t>YBR07449469</t>
  </si>
  <si>
    <t>05-07-2025 07:15 AM</t>
  </si>
  <si>
    <t>EKD90954878</t>
  </si>
  <si>
    <t>05-07-2025 07:11 AM</t>
  </si>
  <si>
    <t>QME40937336</t>
  </si>
  <si>
    <t>05-07-2025 07:04 AM</t>
  </si>
  <si>
    <t xml:space="preserve">Cecilia  Bendu </t>
  </si>
  <si>
    <t>TFF22490616</t>
  </si>
  <si>
    <t>05-07-2025 04:32 AM</t>
  </si>
  <si>
    <t>05-07-2025 04:39 AM</t>
  </si>
  <si>
    <t>Veronica MCHP</t>
  </si>
  <si>
    <t xml:space="preserve">Veronica R Kamara </t>
  </si>
  <si>
    <t>KZB21206648</t>
  </si>
  <si>
    <t>05-07-2025 04:21 AM</t>
  </si>
  <si>
    <t>KLD09118650</t>
  </si>
  <si>
    <t>01-07-2025 05:30 AM</t>
  </si>
  <si>
    <t>05-07-2025 03:50 AM</t>
  </si>
  <si>
    <t>YPL35792630</t>
  </si>
  <si>
    <t>04-07-2025 05:06 PM</t>
  </si>
  <si>
    <t>Ngelehun CHC</t>
  </si>
  <si>
    <t xml:space="preserve">Maybe kuyembeh </t>
  </si>
  <si>
    <t>LSO98909442</t>
  </si>
  <si>
    <t>04-07-2025 04:43 PM</t>
  </si>
  <si>
    <t xml:space="preserve">Mamawa Sannoh </t>
  </si>
  <si>
    <t>MGV88796078</t>
  </si>
  <si>
    <t>04-07-2025 03:37 PM</t>
  </si>
  <si>
    <t>Gbendembu</t>
  </si>
  <si>
    <t>Mamaka (Gbendembu) MCHP</t>
  </si>
  <si>
    <t xml:space="preserve">Aminata Bangura </t>
  </si>
  <si>
    <t>EGD93965164</t>
  </si>
  <si>
    <t>04-07-2025 03:10 PM</t>
  </si>
  <si>
    <t>04-07-2025 03:11 PM</t>
  </si>
  <si>
    <t>Manguama CHP</t>
  </si>
  <si>
    <t xml:space="preserve">Aminata Sandi </t>
  </si>
  <si>
    <t>FPJ87225389</t>
  </si>
  <si>
    <t>04-07-2025 03:08 PM</t>
  </si>
  <si>
    <t>UPA38698135</t>
  </si>
  <si>
    <t>04-07-2025 03:06 PM</t>
  </si>
  <si>
    <t>IBO42320438</t>
  </si>
  <si>
    <t>04-07-2025 03:04 PM</t>
  </si>
  <si>
    <t>04-07-2025 03:05 PM</t>
  </si>
  <si>
    <t>POO18893439</t>
  </si>
  <si>
    <t>04-07-2025 03:02 PM</t>
  </si>
  <si>
    <t>04-07-2025 03:03 PM</t>
  </si>
  <si>
    <t>VTN38453739</t>
  </si>
  <si>
    <t>04-07-2025 03:01 PM</t>
  </si>
  <si>
    <t>LPM25557563</t>
  </si>
  <si>
    <t>04-07-2025 02:59 PM</t>
  </si>
  <si>
    <t>04-07-2025 03:00 PM</t>
  </si>
  <si>
    <t>CLW03456306</t>
  </si>
  <si>
    <t>OJO88466116</t>
  </si>
  <si>
    <t>04-07-2025 02:57 PM</t>
  </si>
  <si>
    <t>04-07-2025 02:58 PM</t>
  </si>
  <si>
    <t>TAO02817206</t>
  </si>
  <si>
    <t>04-07-2025 01:35 PM</t>
  </si>
  <si>
    <t>Buma MCHP</t>
  </si>
  <si>
    <t xml:space="preserve">Christiana Mansaray </t>
  </si>
  <si>
    <t>KXW31514738</t>
  </si>
  <si>
    <t>Yemoh Town CHC</t>
  </si>
  <si>
    <t xml:space="preserve">Gabriel Moriba </t>
  </si>
  <si>
    <t>FBW86458214</t>
  </si>
  <si>
    <t>VRS10663383</t>
  </si>
  <si>
    <t>Bagbwe</t>
  </si>
  <si>
    <t>Ngalu CHC</t>
  </si>
  <si>
    <t xml:space="preserve">Jeremiah A Quigba </t>
  </si>
  <si>
    <t>QEP37275914</t>
  </si>
  <si>
    <t>DKS21852471</t>
  </si>
  <si>
    <t>30-06-2025 08:16 AM</t>
  </si>
  <si>
    <t>04-07-2025 12:31 PM</t>
  </si>
  <si>
    <t xml:space="preserve">Francesca Mansaray </t>
  </si>
  <si>
    <t>DNS23925558</t>
  </si>
  <si>
    <t>04-07-2025 12:27 PM</t>
  </si>
  <si>
    <t>Masory CHP</t>
  </si>
  <si>
    <t xml:space="preserve">Esther I kamara </t>
  </si>
  <si>
    <t>CLM02188142</t>
  </si>
  <si>
    <t>04-07-2025 11:33 AM</t>
  </si>
  <si>
    <t>04-07-2025 11:34 AM</t>
  </si>
  <si>
    <t xml:space="preserve">Esther I Kamara </t>
  </si>
  <si>
    <t>FVU52100146</t>
  </si>
  <si>
    <t>04-07-2025 11:25 AM</t>
  </si>
  <si>
    <t>Sahn Bumpe CHP</t>
  </si>
  <si>
    <t xml:space="preserve">Wuyatta Felewah </t>
  </si>
  <si>
    <t>ULP64711479</t>
  </si>
  <si>
    <t>04-07-2025 11:23 AM</t>
  </si>
  <si>
    <t xml:space="preserve">Josephine N Smith </t>
  </si>
  <si>
    <t>ZEX71815863</t>
  </si>
  <si>
    <t>04-07-2025 11:21 AM</t>
  </si>
  <si>
    <t>FLM22687376</t>
  </si>
  <si>
    <t>04-07-2025 11:18 AM</t>
  </si>
  <si>
    <t>Kayainkassa CHP</t>
  </si>
  <si>
    <t xml:space="preserve">Muctarr N Bangura </t>
  </si>
  <si>
    <t>MSE50945089</t>
  </si>
  <si>
    <t>04-07-2025 11:05 AM</t>
  </si>
  <si>
    <t>XJP25408346</t>
  </si>
  <si>
    <t>04-07-2025 10:53 AM</t>
  </si>
  <si>
    <t>MAT24098619</t>
  </si>
  <si>
    <t>04-07-2025 10:35 AM</t>
  </si>
  <si>
    <t>04-07-2025 10:50 AM</t>
  </si>
  <si>
    <t>WHM54185415</t>
  </si>
  <si>
    <t>04-07-2025 10:48 AM</t>
  </si>
  <si>
    <t>Ramatu B Fofanah</t>
  </si>
  <si>
    <t>LKV38620488</t>
  </si>
  <si>
    <t>04-07-2025 10:34 AM</t>
  </si>
  <si>
    <t>Kasse MCHP</t>
  </si>
  <si>
    <t xml:space="preserve">Yeabu Njai </t>
  </si>
  <si>
    <t>IZG16775864</t>
  </si>
  <si>
    <t>04-07-2025 10:27 AM</t>
  </si>
  <si>
    <t>MCH Static CHC</t>
  </si>
  <si>
    <t xml:space="preserve">Princess Bindi </t>
  </si>
  <si>
    <t>MCC65137425</t>
  </si>
  <si>
    <t>04-07-2025 10:23 AM</t>
  </si>
  <si>
    <t>DYL40320458</t>
  </si>
  <si>
    <t>04-07-2025 10:16 AM</t>
  </si>
  <si>
    <t>VXW19244948</t>
  </si>
  <si>
    <t>04-07-2025 10:11 AM</t>
  </si>
  <si>
    <t xml:space="preserve">Adama F mansaray </t>
  </si>
  <si>
    <t>MDS67588584</t>
  </si>
  <si>
    <t>Kagbaneh CHC</t>
  </si>
  <si>
    <t xml:space="preserve">Hassan conteh </t>
  </si>
  <si>
    <t>FCP63084214</t>
  </si>
  <si>
    <t>04-07-2025 10:09 AM</t>
  </si>
  <si>
    <t>VXI02025021</t>
  </si>
  <si>
    <t>04-07-2025 10:06 AM</t>
  </si>
  <si>
    <t>PLC04695843</t>
  </si>
  <si>
    <t>04-07-2025 10:04 AM</t>
  </si>
  <si>
    <t>04-07-2025 10:05 AM</t>
  </si>
  <si>
    <t>FES37042680</t>
  </si>
  <si>
    <t>Rescue Health Clinic CHP</t>
  </si>
  <si>
    <t>Janet Turay</t>
  </si>
  <si>
    <t>QUH09596259</t>
  </si>
  <si>
    <t>04-07-2025 10:01 AM</t>
  </si>
  <si>
    <t>Adama f mansaray</t>
  </si>
  <si>
    <t>NFK57001781</t>
  </si>
  <si>
    <t>04-07-2025 09:59 AM</t>
  </si>
  <si>
    <t xml:space="preserve">Adama F. Mansaray </t>
  </si>
  <si>
    <t>LOB44294004</t>
  </si>
  <si>
    <t>03-07-2025 08:04 AM</t>
  </si>
  <si>
    <t>04-07-2025 09:57 AM</t>
  </si>
  <si>
    <t>MZL51887141</t>
  </si>
  <si>
    <t>03-07-2025 08:01 AM</t>
  </si>
  <si>
    <t>CRZ58850404</t>
  </si>
  <si>
    <t>QCL67484540</t>
  </si>
  <si>
    <t>02-07-2025 06:07 AM</t>
  </si>
  <si>
    <t>04-07-2025 09:56 AM</t>
  </si>
  <si>
    <t>QCR96096442</t>
  </si>
  <si>
    <t>04-07-2025 09:54 AM</t>
  </si>
  <si>
    <t xml:space="preserve">Elizabeth Bockarie </t>
  </si>
  <si>
    <t>EEL25159519</t>
  </si>
  <si>
    <t>01-07-2025 09:47 AM</t>
  </si>
  <si>
    <t>04-07-2025 09:53 AM</t>
  </si>
  <si>
    <t>FAO57612690</t>
  </si>
  <si>
    <t>01-07-2025 09:42 AM</t>
  </si>
  <si>
    <t>CYQ95639027</t>
  </si>
  <si>
    <t>01-07-2025 09:34 AM</t>
  </si>
  <si>
    <t>HRR44697313</t>
  </si>
  <si>
    <t>04-07-2025 09:41 AM</t>
  </si>
  <si>
    <t>Fullah Town 2 (Makeni City) CHP</t>
  </si>
  <si>
    <t xml:space="preserve">Isatu Bangura </t>
  </si>
  <si>
    <t>VXW04676879</t>
  </si>
  <si>
    <t>Favour MCHP</t>
  </si>
  <si>
    <t>Mary J . Ngobeh</t>
  </si>
  <si>
    <t>QWV41077936</t>
  </si>
  <si>
    <t>04-07-2025 09:40 AM</t>
  </si>
  <si>
    <t xml:space="preserve">Alice A Sandy </t>
  </si>
  <si>
    <t>PRK32076260</t>
  </si>
  <si>
    <t>04-07-2025 09:37 AM</t>
  </si>
  <si>
    <t>XXQ40210849</t>
  </si>
  <si>
    <t>04-07-2025 09:36 AM</t>
  </si>
  <si>
    <t>Mary .J . Ngobeh</t>
  </si>
  <si>
    <t>YTT22278542</t>
  </si>
  <si>
    <t>04-07-2025 09:32 AM</t>
  </si>
  <si>
    <t>JFB16808369</t>
  </si>
  <si>
    <t>Mary . J. Ngobeh</t>
  </si>
  <si>
    <t>LQM67844416</t>
  </si>
  <si>
    <t>04-07-2025 09:26 AM</t>
  </si>
  <si>
    <t>Alice A Sandy</t>
  </si>
  <si>
    <t>NRQ25516343</t>
  </si>
  <si>
    <t>Mary .J. Ngobeh</t>
  </si>
  <si>
    <t>OFA71093493</t>
  </si>
  <si>
    <t>04-07-2025 07:48 AM</t>
  </si>
  <si>
    <t>04-07-2025 09:16 AM</t>
  </si>
  <si>
    <t>Niayahun CHP</t>
  </si>
  <si>
    <t>Brima jr momodu</t>
  </si>
  <si>
    <t>VLK28949907</t>
  </si>
  <si>
    <t>04-07-2025 09:15 AM</t>
  </si>
  <si>
    <t xml:space="preserve">Aisha Sesay </t>
  </si>
  <si>
    <t>AXU15352044</t>
  </si>
  <si>
    <t>04-07-2025 09:14 AM</t>
  </si>
  <si>
    <t>SLRCS CHC</t>
  </si>
  <si>
    <t xml:space="preserve">Sorie Kamara </t>
  </si>
  <si>
    <t>HXF73918158</t>
  </si>
  <si>
    <t>04-07-2025 09:13 AM</t>
  </si>
  <si>
    <t xml:space="preserve">Emilia Anthony </t>
  </si>
  <si>
    <t>FPE88315636</t>
  </si>
  <si>
    <t>04-07-2025 09:08 AM</t>
  </si>
  <si>
    <t>Isatu kamara</t>
  </si>
  <si>
    <t>UYX30540712</t>
  </si>
  <si>
    <t>04-07-2025 09:06 AM</t>
  </si>
  <si>
    <t>Mano Yorgbo MCHP</t>
  </si>
  <si>
    <t xml:space="preserve">Catherine Turay </t>
  </si>
  <si>
    <t>CBX92119932</t>
  </si>
  <si>
    <t>04-07-2025 08:58 AM</t>
  </si>
  <si>
    <t>Agape CHC</t>
  </si>
  <si>
    <t xml:space="preserve">Isha E Koroma </t>
  </si>
  <si>
    <t>VJI77290366</t>
  </si>
  <si>
    <t>04-07-2025 08:54 AM</t>
  </si>
  <si>
    <t>Zainab Fofanah</t>
  </si>
  <si>
    <t>MDW45269401</t>
  </si>
  <si>
    <t>04-07-2025 08:48 AM</t>
  </si>
  <si>
    <t>Batiama MCHP</t>
  </si>
  <si>
    <t xml:space="preserve">Modu T Mansaray </t>
  </si>
  <si>
    <t>RML97843664</t>
  </si>
  <si>
    <t>Makarie CHP</t>
  </si>
  <si>
    <t xml:space="preserve">Sonita Kamara </t>
  </si>
  <si>
    <t>FWS91031815</t>
  </si>
  <si>
    <t xml:space="preserve">Alice Fofanah </t>
  </si>
  <si>
    <t>VTP30536426</t>
  </si>
  <si>
    <t>04-07-2025 08:32 AM</t>
  </si>
  <si>
    <t xml:space="preserve">Ramatu kamara </t>
  </si>
  <si>
    <t>UNJ31126591</t>
  </si>
  <si>
    <t>04-07-2025 08:30 AM</t>
  </si>
  <si>
    <t>Sembehun 17 CHP</t>
  </si>
  <si>
    <t xml:space="preserve">Isata m koroma </t>
  </si>
  <si>
    <t>WPV70838366</t>
  </si>
  <si>
    <t>04-07-2025 07:40 AM</t>
  </si>
  <si>
    <t>Kolisokoh CHP</t>
  </si>
  <si>
    <t xml:space="preserve">Elizabeth f Samura </t>
  </si>
  <si>
    <t>LJN17888316</t>
  </si>
  <si>
    <t>04-07-2025 08:26 AM</t>
  </si>
  <si>
    <t>Limba CHP</t>
  </si>
  <si>
    <t xml:space="preserve">Melrose Kamara </t>
  </si>
  <si>
    <t>YCD01491700</t>
  </si>
  <si>
    <t>04-07-2025 08:18 AM</t>
  </si>
  <si>
    <t>Gbanti (Bombali)</t>
  </si>
  <si>
    <t>Panlap CHP</t>
  </si>
  <si>
    <t xml:space="preserve">Santigie m Sumah </t>
  </si>
  <si>
    <t>MWX61382766</t>
  </si>
  <si>
    <t>04-07-2025 08:17 AM</t>
  </si>
  <si>
    <t>Mara</t>
  </si>
  <si>
    <t>Mara CHC</t>
  </si>
  <si>
    <t xml:space="preserve">Fatmata Neneh Mansaray </t>
  </si>
  <si>
    <t>XRM68312693</t>
  </si>
  <si>
    <t>04-07-2025 08:11 AM</t>
  </si>
  <si>
    <t>Taninahun CHP</t>
  </si>
  <si>
    <t xml:space="preserve">Christian George Sarmoh </t>
  </si>
  <si>
    <t>FJQ85577210</t>
  </si>
  <si>
    <t>04-07-2025 07:52 AM</t>
  </si>
  <si>
    <t>04-07-2025 08:08 AM</t>
  </si>
  <si>
    <t>Momajo CHP</t>
  </si>
  <si>
    <t xml:space="preserve">Abdul Brewah </t>
  </si>
  <si>
    <t>QZU11065182</t>
  </si>
  <si>
    <t>04-07-2025 08:07 AM</t>
  </si>
  <si>
    <t>Praise Foundation CHC</t>
  </si>
  <si>
    <t>Musu Rosaline Foday</t>
  </si>
  <si>
    <t>ZII08269045</t>
  </si>
  <si>
    <t>04-07-2025 07:56 AM</t>
  </si>
  <si>
    <t>Ndegbomie MCHP</t>
  </si>
  <si>
    <t xml:space="preserve">Amara Foray </t>
  </si>
  <si>
    <t>NRC36307002</t>
  </si>
  <si>
    <t>04-07-2025 08:05 AM</t>
  </si>
  <si>
    <t>Yengema MCHP</t>
  </si>
  <si>
    <t xml:space="preserve">Josephine I Harding </t>
  </si>
  <si>
    <t>ZWV93505298</t>
  </si>
  <si>
    <t>04-07-2025 08:03 AM</t>
  </si>
  <si>
    <t>TBK06540548</t>
  </si>
  <si>
    <t>04-07-2025 08:01 AM</t>
  </si>
  <si>
    <t>MED11428998</t>
  </si>
  <si>
    <t>Karina CHP</t>
  </si>
  <si>
    <t xml:space="preserve">Hawanatu Ngevao </t>
  </si>
  <si>
    <t>BWK49316388</t>
  </si>
  <si>
    <t>04-07-2025 07:55 AM</t>
  </si>
  <si>
    <t>Kamaranka</t>
  </si>
  <si>
    <t>Royeama CHP</t>
  </si>
  <si>
    <t xml:space="preserve">Hassan Marrah </t>
  </si>
  <si>
    <t>XGB90964084</t>
  </si>
  <si>
    <t>Masuba CHP</t>
  </si>
  <si>
    <t xml:space="preserve">Patrick kamara </t>
  </si>
  <si>
    <t>TYQ20146525</t>
  </si>
  <si>
    <t>02-07-2025 06:14 AM</t>
  </si>
  <si>
    <t>04-07-2025 07:51 AM</t>
  </si>
  <si>
    <t>Gender MCHP</t>
  </si>
  <si>
    <t xml:space="preserve">Mariama Sannoh </t>
  </si>
  <si>
    <t>NLO29571278</t>
  </si>
  <si>
    <t>02-07-2025 06:09 AM</t>
  </si>
  <si>
    <t>EFP65973428</t>
  </si>
  <si>
    <t>30-06-2025 09:04 AM</t>
  </si>
  <si>
    <t>Mariana S Sannoh</t>
  </si>
  <si>
    <t>TWN45775271</t>
  </si>
  <si>
    <t>03-07-2025 11:33 AM</t>
  </si>
  <si>
    <t>04-07-2025 07:50 AM</t>
  </si>
  <si>
    <t xml:space="preserve">James b fornah </t>
  </si>
  <si>
    <t>GAF52487412</t>
  </si>
  <si>
    <t>04-07-2025 07:46 AM</t>
  </si>
  <si>
    <t>RUV71853806</t>
  </si>
  <si>
    <t>Makama CHP</t>
  </si>
  <si>
    <t xml:space="preserve">Hawanatu s mansaray </t>
  </si>
  <si>
    <t>FNO36007853</t>
  </si>
  <si>
    <t>04-07-2025 07:39 AM</t>
  </si>
  <si>
    <t>Karefay Loko MCHP</t>
  </si>
  <si>
    <t xml:space="preserve">Sento Bangura </t>
  </si>
  <si>
    <t>KFV22910049</t>
  </si>
  <si>
    <t>TKN80663591</t>
  </si>
  <si>
    <t>04-07-2025 07:30 AM</t>
  </si>
  <si>
    <t>Adama Samura</t>
  </si>
  <si>
    <t>KRM37564991</t>
  </si>
  <si>
    <t>04-07-2025 07:27 AM</t>
  </si>
  <si>
    <t>Stocco CHP</t>
  </si>
  <si>
    <t>Marian s sankoh</t>
  </si>
  <si>
    <t>PSM43362641</t>
  </si>
  <si>
    <t>04-07-2025 07:26 AM</t>
  </si>
  <si>
    <t xml:space="preserve">Ann Marie Kanu </t>
  </si>
  <si>
    <t>BQQ66394101</t>
  </si>
  <si>
    <t>04-07-2025 07:24 AM</t>
  </si>
  <si>
    <t>Safroko Limba</t>
  </si>
  <si>
    <t>Binkolo CHC</t>
  </si>
  <si>
    <t xml:space="preserve">Agnes clement koroma </t>
  </si>
  <si>
    <t>GXU41812389</t>
  </si>
  <si>
    <t>04-07-2025 07:20 AM</t>
  </si>
  <si>
    <t xml:space="preserve">Isata Maria Koroma </t>
  </si>
  <si>
    <t>YWH57385626</t>
  </si>
  <si>
    <t>Emilia Y F Tiafoe</t>
  </si>
  <si>
    <t>QWM40864057</t>
  </si>
  <si>
    <t>04-07-2025 07:13 AM</t>
  </si>
  <si>
    <t xml:space="preserve">Melrose  Kamara </t>
  </si>
  <si>
    <t>NPK18361257</t>
  </si>
  <si>
    <t>04-07-2025 07:06 AM</t>
  </si>
  <si>
    <t>AYH69635337</t>
  </si>
  <si>
    <t>04-07-2025 07:03 AM</t>
  </si>
  <si>
    <t xml:space="preserve">Momoh Conteh </t>
  </si>
  <si>
    <t>NGL02407571</t>
  </si>
  <si>
    <t>04-07-2025 07:00 AM</t>
  </si>
  <si>
    <t xml:space="preserve">Veronica Gborie </t>
  </si>
  <si>
    <t>CTP92348837</t>
  </si>
  <si>
    <t>04-07-2025 06:58 AM</t>
  </si>
  <si>
    <t>Panlap CHC</t>
  </si>
  <si>
    <t xml:space="preserve">Abdul Rashid Turay </t>
  </si>
  <si>
    <t>QVX47875638</t>
  </si>
  <si>
    <t>02-07-2025 08:45 AM</t>
  </si>
  <si>
    <t>Kowama CHC</t>
  </si>
  <si>
    <t xml:space="preserve">Julius k kpana </t>
  </si>
  <si>
    <t>KSC44714179</t>
  </si>
  <si>
    <t>02-07-2025 08:42 AM</t>
  </si>
  <si>
    <t>MBB24983264</t>
  </si>
  <si>
    <t>02-07-2025 08:39 AM</t>
  </si>
  <si>
    <t>SSO41177014</t>
  </si>
  <si>
    <t>04-07-2025 06:46 AM</t>
  </si>
  <si>
    <t>BNH31520129</t>
  </si>
  <si>
    <t>04-07-2025 06:43 AM</t>
  </si>
  <si>
    <t xml:space="preserve">Victoria Bangura </t>
  </si>
  <si>
    <t>VTM54216779</t>
  </si>
  <si>
    <t>04-07-2025 06:41 AM</t>
  </si>
  <si>
    <t>M. M. Maternity MCHP</t>
  </si>
  <si>
    <t xml:space="preserve">Agnes B. Kallon </t>
  </si>
  <si>
    <t>YPQ07686657</t>
  </si>
  <si>
    <t>04-07-2025 06:34 AM</t>
  </si>
  <si>
    <t>Kamathudugu MCHP</t>
  </si>
  <si>
    <t xml:space="preserve">Bunty Jimmy </t>
  </si>
  <si>
    <t>EYS51640300</t>
  </si>
  <si>
    <t>04-07-2025 06:30 AM</t>
  </si>
  <si>
    <t>Makeni Lol MCHP</t>
  </si>
  <si>
    <t>Ibrahim s kamara</t>
  </si>
  <si>
    <t>NCC94961677</t>
  </si>
  <si>
    <t>04-07-2025 06:28 AM</t>
  </si>
  <si>
    <t>Selenga</t>
  </si>
  <si>
    <t>Damballa CHC</t>
  </si>
  <si>
    <t>Nancy Stevens</t>
  </si>
  <si>
    <t>DLT40588148</t>
  </si>
  <si>
    <t>04-07-2025 06:27 AM</t>
  </si>
  <si>
    <t>YCI33338950</t>
  </si>
  <si>
    <t>Kassama MCHP</t>
  </si>
  <si>
    <t xml:space="preserve">Jusu Kallon </t>
  </si>
  <si>
    <t>ZZI42358647</t>
  </si>
  <si>
    <t>04-07-2025 06:25 AM</t>
  </si>
  <si>
    <t>Kendeyella MCHP</t>
  </si>
  <si>
    <t xml:space="preserve">Sattu Sandi </t>
  </si>
  <si>
    <t>IIV50684207</t>
  </si>
  <si>
    <t>04-07-2025 06:05 AM</t>
  </si>
  <si>
    <t>Adama lakoh</t>
  </si>
  <si>
    <t>DUJ82967854</t>
  </si>
  <si>
    <t>04-07-2025 05:34 AM</t>
  </si>
  <si>
    <t>Manewa CHP</t>
  </si>
  <si>
    <t xml:space="preserve">Hawanatu s kamara </t>
  </si>
  <si>
    <t>HEK43339807</t>
  </si>
  <si>
    <t>Kamabai CHC</t>
  </si>
  <si>
    <t>ODI46724210</t>
  </si>
  <si>
    <t>03-07-2025 11:17 AM</t>
  </si>
  <si>
    <t>04-07-2025 05:33 AM</t>
  </si>
  <si>
    <t>UYW15843368</t>
  </si>
  <si>
    <t>03-07-2025 09:54 AM</t>
  </si>
  <si>
    <t>04-07-2025 05:31 AM</t>
  </si>
  <si>
    <t xml:space="preserve">Musiu Rosaline Foday </t>
  </si>
  <si>
    <t>ZDY45447358</t>
  </si>
  <si>
    <t>04-07-2025 05:27 AM</t>
  </si>
  <si>
    <t>MEV23046505</t>
  </si>
  <si>
    <t>04-07-2025 05:21 AM</t>
  </si>
  <si>
    <t>04-07-2025 05:23 AM</t>
  </si>
  <si>
    <t xml:space="preserve">Aminata R Kamara </t>
  </si>
  <si>
    <t>VMV27574235</t>
  </si>
  <si>
    <t>03-07-2025 05:49 AM</t>
  </si>
  <si>
    <t>04-07-2025 05:17 AM</t>
  </si>
  <si>
    <t>Kandeh Town CHP</t>
  </si>
  <si>
    <t xml:space="preserve">Bintu Tommy </t>
  </si>
  <si>
    <t>EZY71534077</t>
  </si>
  <si>
    <t>03-07-2025 05:46 AM</t>
  </si>
  <si>
    <t>YPZ97417629</t>
  </si>
  <si>
    <t>03-07-2025 05:41 AM</t>
  </si>
  <si>
    <t>HOE15883822</t>
  </si>
  <si>
    <t>04-07-2025 05:13 AM</t>
  </si>
  <si>
    <t>VTA16339794</t>
  </si>
  <si>
    <t>04-07-2025 05:07 AM</t>
  </si>
  <si>
    <t xml:space="preserve">Anita Sankoh </t>
  </si>
  <si>
    <t>ZWH70802027</t>
  </si>
  <si>
    <t>04-07-2025 04:53 AM</t>
  </si>
  <si>
    <t>QVR02651531</t>
  </si>
  <si>
    <t>04-07-2025 04:45 AM</t>
  </si>
  <si>
    <t>Laurel Y Sankoh</t>
  </si>
  <si>
    <t>EJP89808636</t>
  </si>
  <si>
    <t>04-07-2025 04:42 AM</t>
  </si>
  <si>
    <t>Kpetema MCHP</t>
  </si>
  <si>
    <t>Alma Kamara</t>
  </si>
  <si>
    <t>EWO17179863</t>
  </si>
  <si>
    <t>04-07-2025 04:35 AM</t>
  </si>
  <si>
    <t>Baoma</t>
  </si>
  <si>
    <t>Tungbebu CHP</t>
  </si>
  <si>
    <t xml:space="preserve">Thomas French </t>
  </si>
  <si>
    <t>BEG98174376</t>
  </si>
  <si>
    <t>04-07-2025 04:32 AM</t>
  </si>
  <si>
    <t>Bombali Serry</t>
  </si>
  <si>
    <t>Manonkoh CHP</t>
  </si>
  <si>
    <t xml:space="preserve">Alie s conteh </t>
  </si>
  <si>
    <t>UTF30701150</t>
  </si>
  <si>
    <t>04-07-2025 04:18 AM</t>
  </si>
  <si>
    <t>04-07-2025 04:20 AM</t>
  </si>
  <si>
    <t xml:space="preserve">Lamin Serry </t>
  </si>
  <si>
    <t>CLW68071055</t>
  </si>
  <si>
    <t>04-07-2025 04:15 AM</t>
  </si>
  <si>
    <t>VMM50439883</t>
  </si>
  <si>
    <t>04-07-2025 04:13 AM</t>
  </si>
  <si>
    <t>Red Cross (Makeni City) CHP</t>
  </si>
  <si>
    <t>Sabaina Yeama pieh</t>
  </si>
  <si>
    <t>UWK57883342</t>
  </si>
  <si>
    <t>03-07-2025 06:56 AM</t>
  </si>
  <si>
    <t>04-07-2025 04:08 AM</t>
  </si>
  <si>
    <t>Bumbanday MCHP</t>
  </si>
  <si>
    <t xml:space="preserve">Isatu M kamara </t>
  </si>
  <si>
    <t>TSJ57391406</t>
  </si>
  <si>
    <t>04-07-2025 04:05 AM</t>
  </si>
  <si>
    <t>Thonkoba CHP</t>
  </si>
  <si>
    <t>Adama kanu</t>
  </si>
  <si>
    <t>ULV47753535</t>
  </si>
  <si>
    <t>04-07-2025 04:02 AM</t>
  </si>
  <si>
    <t>KZQ86328672</t>
  </si>
  <si>
    <t>04-07-2025 03:54 AM</t>
  </si>
  <si>
    <t>Simithy koroma</t>
  </si>
  <si>
    <t>IHO61882096</t>
  </si>
  <si>
    <t>04-07-2025 03:44 AM</t>
  </si>
  <si>
    <t xml:space="preserve">Fatmata H Yagbaji </t>
  </si>
  <si>
    <t>UMU97318727</t>
  </si>
  <si>
    <t>04-07-2025 03:15 AM</t>
  </si>
  <si>
    <t xml:space="preserve">Sallay kamara </t>
  </si>
  <si>
    <t>BQQ22474320</t>
  </si>
  <si>
    <t>02-07-2025 09:39 AM</t>
  </si>
  <si>
    <t>04-07-2025 02:57 AM</t>
  </si>
  <si>
    <t>Golu MCHP</t>
  </si>
  <si>
    <t xml:space="preserve">Aminata Thoronka </t>
  </si>
  <si>
    <t>GLZ32591727</t>
  </si>
  <si>
    <t>04-07-2025 02:43 AM</t>
  </si>
  <si>
    <t>FBK37332286</t>
  </si>
  <si>
    <t>03-07-2025 03:47 PM</t>
  </si>
  <si>
    <t>Kortohun MCHP</t>
  </si>
  <si>
    <t xml:space="preserve">Umu Bangura </t>
  </si>
  <si>
    <t>OWM82182349</t>
  </si>
  <si>
    <t>03-07-2025 03:16 PM</t>
  </si>
  <si>
    <t>03-07-2025 03:20 PM</t>
  </si>
  <si>
    <t>CRA41190760</t>
  </si>
  <si>
    <t>03-07-2025 03:15 PM</t>
  </si>
  <si>
    <t>03-07-2025 03:19 PM</t>
  </si>
  <si>
    <t>ESY65740001</t>
  </si>
  <si>
    <t>03-07-2025 03:13 PM</t>
  </si>
  <si>
    <t>JDK97593580</t>
  </si>
  <si>
    <t>03-07-2025 03:12 PM</t>
  </si>
  <si>
    <t>03-07-2025 03:18 PM</t>
  </si>
  <si>
    <t>Yeabu Njai</t>
  </si>
  <si>
    <t>GCM38705416</t>
  </si>
  <si>
    <t>03-07-2025 02:51 PM</t>
  </si>
  <si>
    <t>QAR31183614</t>
  </si>
  <si>
    <t>03-07-2025 02:48 PM</t>
  </si>
  <si>
    <t xml:space="preserve">Moses Said Conteh </t>
  </si>
  <si>
    <t>KYD03906750</t>
  </si>
  <si>
    <t>03-07-2025 02:41 PM</t>
  </si>
  <si>
    <t>CMK27319551</t>
  </si>
  <si>
    <t>03-07-2025 02:37 PM</t>
  </si>
  <si>
    <t>JWB31000331</t>
  </si>
  <si>
    <t>03-07-2025 02:35 PM</t>
  </si>
  <si>
    <t>Masabong Pil CHP</t>
  </si>
  <si>
    <t xml:space="preserve">Mariatu sesay </t>
  </si>
  <si>
    <t>BYK33938306</t>
  </si>
  <si>
    <t>03-07-2025 02:34 PM</t>
  </si>
  <si>
    <t>Kabombeh MCHP</t>
  </si>
  <si>
    <t xml:space="preserve">Sarah Koroma </t>
  </si>
  <si>
    <t>JKL08084141</t>
  </si>
  <si>
    <t>03-07-2025 02:33 PM</t>
  </si>
  <si>
    <t>ODX07741105</t>
  </si>
  <si>
    <t>03-07-2025 02:31 PM</t>
  </si>
  <si>
    <t>GYU61588765</t>
  </si>
  <si>
    <t>03-07-2025 02:29 PM</t>
  </si>
  <si>
    <t>ERD40313490</t>
  </si>
  <si>
    <t>03-07-2025 02:27 PM</t>
  </si>
  <si>
    <t>SPR72573154</t>
  </si>
  <si>
    <t>03-07-2025 02:25 PM</t>
  </si>
  <si>
    <t>EHH44960609</t>
  </si>
  <si>
    <t>03-07-2025 02:19 PM</t>
  </si>
  <si>
    <t>Ngolahun Jabaty CHP</t>
  </si>
  <si>
    <t>0113</t>
  </si>
  <si>
    <t xml:space="preserve">Lansana Aruna </t>
  </si>
  <si>
    <t>XRZ75434987</t>
  </si>
  <si>
    <t>03-07-2025 01:44 PM</t>
  </si>
  <si>
    <t>OIQ75575661</t>
  </si>
  <si>
    <t>03-07-2025 12:25 PM</t>
  </si>
  <si>
    <t xml:space="preserve">Isata M.Koroma </t>
  </si>
  <si>
    <t>IJP98309552</t>
  </si>
  <si>
    <t>03-07-2025 12:18 PM</t>
  </si>
  <si>
    <t>Bombali Police CHC</t>
  </si>
  <si>
    <t xml:space="preserve">Fatmata Sankoh </t>
  </si>
  <si>
    <t>ICS61621217</t>
  </si>
  <si>
    <t>03-07-2025 12:05 PM</t>
  </si>
  <si>
    <t>RXP55814768</t>
  </si>
  <si>
    <t>03-07-2025 12:03 PM</t>
  </si>
  <si>
    <t>Bumpeh CHC</t>
  </si>
  <si>
    <t>Ishmael Mulai</t>
  </si>
  <si>
    <t>KFF48377353</t>
  </si>
  <si>
    <t>03-07-2025 11:59 AM</t>
  </si>
  <si>
    <t>Mariama s Jusu</t>
  </si>
  <si>
    <t>EKY06886301</t>
  </si>
  <si>
    <t>03-07-2025 11:56 AM</t>
  </si>
  <si>
    <t>BJI89556097</t>
  </si>
  <si>
    <t>Zainab k sei</t>
  </si>
  <si>
    <t>ZDF99387478</t>
  </si>
  <si>
    <t>03-07-2025 11:52 AM</t>
  </si>
  <si>
    <t>Daniel Jumu</t>
  </si>
  <si>
    <t>LVF86669702</t>
  </si>
  <si>
    <t>03-07-2025 11:49 AM</t>
  </si>
  <si>
    <t xml:space="preserve">Philip </t>
  </si>
  <si>
    <t>AGQ41864034</t>
  </si>
  <si>
    <t>03-07-2025 11:46 AM</t>
  </si>
  <si>
    <t>AHX28132652</t>
  </si>
  <si>
    <t>03-07-2025 11:44 AM</t>
  </si>
  <si>
    <t>Manjoro MCHP</t>
  </si>
  <si>
    <t xml:space="preserve">Kadiatu caulker </t>
  </si>
  <si>
    <t>VSL75394669</t>
  </si>
  <si>
    <t>03-07-2025 11:22 AM</t>
  </si>
  <si>
    <t>PTH69872031</t>
  </si>
  <si>
    <t>03-07-2025 11:07 AM</t>
  </si>
  <si>
    <t>E D C Unit</t>
  </si>
  <si>
    <t xml:space="preserve">Eleanor Lans Bagoley </t>
  </si>
  <si>
    <t>CKR47645924</t>
  </si>
  <si>
    <t>03-07-2025 11:05 AM</t>
  </si>
  <si>
    <t xml:space="preserve">Mary sackey </t>
  </si>
  <si>
    <t>ERS81287335</t>
  </si>
  <si>
    <t>03-07-2025 11:03 AM</t>
  </si>
  <si>
    <t>OWP17598721</t>
  </si>
  <si>
    <t>03-07-2025 11:02 AM</t>
  </si>
  <si>
    <t>LCU96180683</t>
  </si>
  <si>
    <t>03-07-2025 11:01 AM</t>
  </si>
  <si>
    <t>FWA33621445</t>
  </si>
  <si>
    <t>03-07-2025 10:59 AM</t>
  </si>
  <si>
    <t>ERQ01974787</t>
  </si>
  <si>
    <t>03-07-2025 10:56 AM</t>
  </si>
  <si>
    <t>OXN58424199</t>
  </si>
  <si>
    <t>03-07-2025 10:49 AM</t>
  </si>
  <si>
    <t>Nafaya MCHP</t>
  </si>
  <si>
    <t xml:space="preserve">Theresa B Luseni </t>
  </si>
  <si>
    <t>KOT91901747</t>
  </si>
  <si>
    <t>03-07-2025 10:47 AM</t>
  </si>
  <si>
    <t>BYZ52865258</t>
  </si>
  <si>
    <t>03-07-2025 10:10 AM</t>
  </si>
  <si>
    <t>03-07-2025 10:33 AM</t>
  </si>
  <si>
    <t>WEO75770712</t>
  </si>
  <si>
    <t>03-07-2025 10:08 AM</t>
  </si>
  <si>
    <t>VLO20052103</t>
  </si>
  <si>
    <t>03-07-2025 10:06 AM</t>
  </si>
  <si>
    <t>03-07-2025 10:32 AM</t>
  </si>
  <si>
    <t>DJG71670050</t>
  </si>
  <si>
    <t>03-07-2025 10:02 AM</t>
  </si>
  <si>
    <t>HDP17307302</t>
  </si>
  <si>
    <t>03-07-2025 10:25 AM</t>
  </si>
  <si>
    <t>Mokoba MCHP</t>
  </si>
  <si>
    <t>Innatorrma Daramy</t>
  </si>
  <si>
    <t>NXZ45672576</t>
  </si>
  <si>
    <t>03-07-2025 10:24 AM</t>
  </si>
  <si>
    <t>KZC08662830</t>
  </si>
  <si>
    <t>03-07-2025 10:23 AM</t>
  </si>
  <si>
    <t>HFJ13541700</t>
  </si>
  <si>
    <t>NAU43741008</t>
  </si>
  <si>
    <t>03-07-2025 10:20 AM</t>
  </si>
  <si>
    <t>EOV90671676</t>
  </si>
  <si>
    <t>03-07-2025 10:19 AM</t>
  </si>
  <si>
    <t xml:space="preserve">Augusta M Nylander </t>
  </si>
  <si>
    <t>PNW73295240</t>
  </si>
  <si>
    <t>03-07-2025 10:15 AM</t>
  </si>
  <si>
    <t>Kpangbalia MCHP</t>
  </si>
  <si>
    <t xml:space="preserve">Hawa </t>
  </si>
  <si>
    <t>UKP36738034</t>
  </si>
  <si>
    <t>Kondiama MCHP</t>
  </si>
  <si>
    <t xml:space="preserve">Hassanatu Steven </t>
  </si>
  <si>
    <t>PBS77209410</t>
  </si>
  <si>
    <t>03-07-2025 10:14 AM</t>
  </si>
  <si>
    <t xml:space="preserve">Inatorma Daramy </t>
  </si>
  <si>
    <t>YFL65598588</t>
  </si>
  <si>
    <t>03-07-2025 10:13 AM</t>
  </si>
  <si>
    <t>KIF34699529</t>
  </si>
  <si>
    <t>Margaret Cuakool</t>
  </si>
  <si>
    <t>HTB74340995</t>
  </si>
  <si>
    <t>Grima CHP</t>
  </si>
  <si>
    <t xml:space="preserve">Fatmata Turay </t>
  </si>
  <si>
    <t>DGS58503465</t>
  </si>
  <si>
    <t>03-07-2025 10:07 AM</t>
  </si>
  <si>
    <t xml:space="preserve">Fatmata W Jalloh </t>
  </si>
  <si>
    <t>OOS42120001</t>
  </si>
  <si>
    <t>Inatorma Daramy</t>
  </si>
  <si>
    <t>AZW19780925</t>
  </si>
  <si>
    <t>RLX27484347</t>
  </si>
  <si>
    <t>03-07-2025 10:05 AM</t>
  </si>
  <si>
    <t>XHG22356517</t>
  </si>
  <si>
    <t>03-07-2025 10:04 AM</t>
  </si>
  <si>
    <t xml:space="preserve">Alma Kamara </t>
  </si>
  <si>
    <t>HJG89574444</t>
  </si>
  <si>
    <t>03-07-2025 10:03 AM</t>
  </si>
  <si>
    <t>KUH11785993</t>
  </si>
  <si>
    <t>03-07-2025 09:55 AM</t>
  </si>
  <si>
    <t>Hindowa Alie</t>
  </si>
  <si>
    <t>HFZ48060471</t>
  </si>
  <si>
    <t>03-07-2025 09:50 AM</t>
  </si>
  <si>
    <t xml:space="preserve">Iye Alfred </t>
  </si>
  <si>
    <t>EQD76077283</t>
  </si>
  <si>
    <t>03-07-2025 09:48 AM</t>
  </si>
  <si>
    <t>Fengehun MCHP</t>
  </si>
  <si>
    <t xml:space="preserve">Fatmata J Ellie </t>
  </si>
  <si>
    <t>ZWG52157518</t>
  </si>
  <si>
    <t>03-07-2025 09:45 AM</t>
  </si>
  <si>
    <t>03-07-2025 09:46 AM</t>
  </si>
  <si>
    <t>FUP84713181</t>
  </si>
  <si>
    <t>QOG23911804</t>
  </si>
  <si>
    <t>Kathekeya Kaboli CHP</t>
  </si>
  <si>
    <t>Esther M Bangura</t>
  </si>
  <si>
    <t>YCE09874532</t>
  </si>
  <si>
    <t>Bongor</t>
  </si>
  <si>
    <t>Mamboma CHP</t>
  </si>
  <si>
    <t xml:space="preserve">Safula Saffa </t>
  </si>
  <si>
    <t>BNF85536747</t>
  </si>
  <si>
    <t>03-07-2025 09:43 AM</t>
  </si>
  <si>
    <t>ARD42166981</t>
  </si>
  <si>
    <t>03-07-2025 09:40 AM</t>
  </si>
  <si>
    <t>NKZ54717967</t>
  </si>
  <si>
    <t>03-07-2025 09:21 AM</t>
  </si>
  <si>
    <t>03-07-2025 09:39 AM</t>
  </si>
  <si>
    <t>BDL71317324</t>
  </si>
  <si>
    <t>03-07-2025 06:55 AM</t>
  </si>
  <si>
    <t>03-07-2025 09:37 AM</t>
  </si>
  <si>
    <t>Kpewama MCHP</t>
  </si>
  <si>
    <t>Alice Bendu</t>
  </si>
  <si>
    <t>UIZ20569937</t>
  </si>
  <si>
    <t>MAX47428845</t>
  </si>
  <si>
    <t>03-07-2025 09:32 AM</t>
  </si>
  <si>
    <t>XEH74777039</t>
  </si>
  <si>
    <t>03-07-2025 09:31 AM</t>
  </si>
  <si>
    <t>Isata M Koroma</t>
  </si>
  <si>
    <t>GZH73647658</t>
  </si>
  <si>
    <t>03-07-2025 09:29 AM</t>
  </si>
  <si>
    <t>FTY47901770</t>
  </si>
  <si>
    <t>03-07-2025 09:28 AM</t>
  </si>
  <si>
    <t>LCN58181232</t>
  </si>
  <si>
    <t>Yamandu CHC</t>
  </si>
  <si>
    <t>Saffie Kposowa</t>
  </si>
  <si>
    <t>JOY37438263</t>
  </si>
  <si>
    <t>03-07-2025 09:25 AM</t>
  </si>
  <si>
    <t xml:space="preserve">Daniel kposowa Morovia </t>
  </si>
  <si>
    <t>DZS58741305</t>
  </si>
  <si>
    <t xml:space="preserve">Mary I Dakowa </t>
  </si>
  <si>
    <t>ZGP79035652</t>
  </si>
  <si>
    <t>03-07-2025 09:24 AM</t>
  </si>
  <si>
    <t xml:space="preserve">Magdalene kadie kamara </t>
  </si>
  <si>
    <t>LYR59848883</t>
  </si>
  <si>
    <t>Brima Town</t>
  </si>
  <si>
    <t xml:space="preserve">Maria Etta saidu </t>
  </si>
  <si>
    <t>DRJ53132699</t>
  </si>
  <si>
    <t>03-07-2025 09:22 AM</t>
  </si>
  <si>
    <t xml:space="preserve">Amie koroma </t>
  </si>
  <si>
    <t>NRL38193982</t>
  </si>
  <si>
    <t>02-07-2025 07:50 AM</t>
  </si>
  <si>
    <t>TVV23603346</t>
  </si>
  <si>
    <t>03-07-2025 09:20 AM</t>
  </si>
  <si>
    <t>Maharie CHP</t>
  </si>
  <si>
    <t xml:space="preserve">Yealie turay </t>
  </si>
  <si>
    <t>QLN67655294</t>
  </si>
  <si>
    <t>Theresa Hakim CHP</t>
  </si>
  <si>
    <t>Christiana   Mansaray</t>
  </si>
  <si>
    <t>AXG57373282</t>
  </si>
  <si>
    <t>03-07-2025 09:18 AM</t>
  </si>
  <si>
    <t>Bongor MCHP</t>
  </si>
  <si>
    <t xml:space="preserve">Ruth M. Kemokai </t>
  </si>
  <si>
    <t>DJF77955490</t>
  </si>
  <si>
    <t>03-07-2025 09:16 AM</t>
  </si>
  <si>
    <t>Sembehun Tabema MCHP</t>
  </si>
  <si>
    <t>Mary Kpaka</t>
  </si>
  <si>
    <t>SVG62241933</t>
  </si>
  <si>
    <t>03-07-2025 09:15 AM</t>
  </si>
  <si>
    <t>Abdulrahman Batalomy</t>
  </si>
  <si>
    <t>OKH10852750</t>
  </si>
  <si>
    <t>03-07-2025 09:14 AM</t>
  </si>
  <si>
    <t>Zainab k Sei</t>
  </si>
  <si>
    <t>MWZ44863452</t>
  </si>
  <si>
    <t>03-07-2025 09:08 AM</t>
  </si>
  <si>
    <t>Barlie MCHP</t>
  </si>
  <si>
    <t xml:space="preserve">Christiana Daniel </t>
  </si>
  <si>
    <t>DXT15711265</t>
  </si>
  <si>
    <t>03-07-2025 09:05 AM</t>
  </si>
  <si>
    <t>NMY17088582</t>
  </si>
  <si>
    <t>03-07-2025 09:04 AM</t>
  </si>
  <si>
    <t>Yealie turay</t>
  </si>
  <si>
    <t>ZRT28032073</t>
  </si>
  <si>
    <t>SRS33957268</t>
  </si>
  <si>
    <t>NAC99675401</t>
  </si>
  <si>
    <t>03-07-2025 09:03 AM</t>
  </si>
  <si>
    <t>Florence T Fortune</t>
  </si>
  <si>
    <t>QRG45484763</t>
  </si>
  <si>
    <t>03-07-2025 08:32 AM</t>
  </si>
  <si>
    <t>03-07-2025 09:00 AM</t>
  </si>
  <si>
    <t>TNE28290939</t>
  </si>
  <si>
    <t>03-07-2025 08:29 AM</t>
  </si>
  <si>
    <t>TTF75340215</t>
  </si>
  <si>
    <t>03-07-2025 08:27 AM</t>
  </si>
  <si>
    <t>RYW38825606</t>
  </si>
  <si>
    <t>01-07-2025 10:24 AM</t>
  </si>
  <si>
    <t>VCU47666807</t>
  </si>
  <si>
    <t>30-06-2025 11:29 AM</t>
  </si>
  <si>
    <t>03-07-2025 08:58 AM</t>
  </si>
  <si>
    <t>LES99511058</t>
  </si>
  <si>
    <t>Patebana Marank CHC</t>
  </si>
  <si>
    <t xml:space="preserve">Jeneba R kamara </t>
  </si>
  <si>
    <t>RIT59778240</t>
  </si>
  <si>
    <t>03-07-2025 08:53 AM</t>
  </si>
  <si>
    <t>EGH69479585</t>
  </si>
  <si>
    <t>03-07-2025 08:51 AM</t>
  </si>
  <si>
    <t>Samuel Phonso Conteh</t>
  </si>
  <si>
    <t>KXX18367267</t>
  </si>
  <si>
    <t>03-07-2025 08:42 AM</t>
  </si>
  <si>
    <t xml:space="preserve">Foday Abdulai </t>
  </si>
  <si>
    <t>COB58974355</t>
  </si>
  <si>
    <t>30-06-2025 03:36 PM</t>
  </si>
  <si>
    <t xml:space="preserve">Yarra Koroma </t>
  </si>
  <si>
    <t>GZI24340669</t>
  </si>
  <si>
    <t>03-07-2025 08:41 AM</t>
  </si>
  <si>
    <t>Madina Loko CHP</t>
  </si>
  <si>
    <t xml:space="preserve">Rachel B Sesay </t>
  </si>
  <si>
    <t>RIR50450664</t>
  </si>
  <si>
    <t>03-07-2025 08:39 AM</t>
  </si>
  <si>
    <t>Telu CHP</t>
  </si>
  <si>
    <t>Sylvia B. Massallay</t>
  </si>
  <si>
    <t>ICY86380736</t>
  </si>
  <si>
    <t>03-07-2025 08:37 AM</t>
  </si>
  <si>
    <t>Sylvia B. Massallay1</t>
  </si>
  <si>
    <t>FAN35547290</t>
  </si>
  <si>
    <t>03-07-2025 08:35 AM</t>
  </si>
  <si>
    <t>03-07-2025 08:36 AM</t>
  </si>
  <si>
    <t>BNQ49870814</t>
  </si>
  <si>
    <t>03-07-2025 08:33 AM</t>
  </si>
  <si>
    <t>03-07-2025 08:34 AM</t>
  </si>
  <si>
    <t>Magbaikolie MCHP</t>
  </si>
  <si>
    <t xml:space="preserve">Alice Bangura </t>
  </si>
  <si>
    <t>YOX39484156</t>
  </si>
  <si>
    <t>03-07-2025 07:59 AM</t>
  </si>
  <si>
    <t>03-07-2025 08:30 AM</t>
  </si>
  <si>
    <t>KDC01632764</t>
  </si>
  <si>
    <t>ATV57835640</t>
  </si>
  <si>
    <t>02-07-2025 10:30 AM</t>
  </si>
  <si>
    <t>03-07-2025 08:26 AM</t>
  </si>
  <si>
    <t>EKY81364627</t>
  </si>
  <si>
    <t>03-07-2025 08:22 AM</t>
  </si>
  <si>
    <t>Tonko Clinic</t>
  </si>
  <si>
    <t xml:space="preserve">Christiana k Musa </t>
  </si>
  <si>
    <t>FDV71781489</t>
  </si>
  <si>
    <t>03-07-2025 08:19 AM</t>
  </si>
  <si>
    <t>Makump Bana CHP</t>
  </si>
  <si>
    <t xml:space="preserve">Haja F Sesay </t>
  </si>
  <si>
    <t>NFK85765532</t>
  </si>
  <si>
    <t>03-07-2025 08:16 AM</t>
  </si>
  <si>
    <t>VSV26396521</t>
  </si>
  <si>
    <t>03-07-2025 08:15 AM</t>
  </si>
  <si>
    <t>Kagbere CHC</t>
  </si>
  <si>
    <t xml:space="preserve">John Samuel conteh </t>
  </si>
  <si>
    <t>OXW26424209</t>
  </si>
  <si>
    <t>03-07-2025 08:13 AM</t>
  </si>
  <si>
    <t>QKB34173607</t>
  </si>
  <si>
    <t>03-07-2025 08:12 AM</t>
  </si>
  <si>
    <t>Zion CHP</t>
  </si>
  <si>
    <t xml:space="preserve">Rebecca M Sandy </t>
  </si>
  <si>
    <t>TWE28130583</t>
  </si>
  <si>
    <t>03-07-2025 08:07 AM</t>
  </si>
  <si>
    <t>MNQ02337036</t>
  </si>
  <si>
    <t>03-07-2025 08:02 AM</t>
  </si>
  <si>
    <t xml:space="preserve">Francis m konneh </t>
  </si>
  <si>
    <t>JED32337496</t>
  </si>
  <si>
    <t>03-07-2025 07:55 AM</t>
  </si>
  <si>
    <t>Kabonka CHP</t>
  </si>
  <si>
    <t>Adama kamara</t>
  </si>
  <si>
    <t>BRS45131287</t>
  </si>
  <si>
    <t>03-07-2025 07:54 AM</t>
  </si>
  <si>
    <t>Theresa B Luseni</t>
  </si>
  <si>
    <t>BPX75354068</t>
  </si>
  <si>
    <t>03-07-2025 07:50 AM</t>
  </si>
  <si>
    <t>Jane decker</t>
  </si>
  <si>
    <t>YCI66161583</t>
  </si>
  <si>
    <t>03-07-2025 07:48 AM</t>
  </si>
  <si>
    <t>WDC14874978</t>
  </si>
  <si>
    <t xml:space="preserve">Sally Mbawah </t>
  </si>
  <si>
    <t>SGZ63094619</t>
  </si>
  <si>
    <t>03-07-2025 07:33 AM</t>
  </si>
  <si>
    <t>Mathene MCHP</t>
  </si>
  <si>
    <t>Fatmata M Sesay</t>
  </si>
  <si>
    <t>WZH14926269</t>
  </si>
  <si>
    <t>03-07-2025 07:30 AM</t>
  </si>
  <si>
    <t>WEQ60827978</t>
  </si>
  <si>
    <t xml:space="preserve">Brima Foday </t>
  </si>
  <si>
    <t>PZN80709273</t>
  </si>
  <si>
    <t>03-07-2025 07:28 AM</t>
  </si>
  <si>
    <t>JRX80045350</t>
  </si>
  <si>
    <t>02-07-2025 04:51 AM</t>
  </si>
  <si>
    <t>03-07-2025 07:27 AM</t>
  </si>
  <si>
    <t>Adama kama</t>
  </si>
  <si>
    <t>DEJ44056614</t>
  </si>
  <si>
    <t>03-07-2025 07:25 AM</t>
  </si>
  <si>
    <t>SLL63475699</t>
  </si>
  <si>
    <t>03-07-2025 07:23 AM</t>
  </si>
  <si>
    <t>AZA93286296</t>
  </si>
  <si>
    <t>03-07-2025 07:22 AM</t>
  </si>
  <si>
    <t xml:space="preserve">Augustine Lahai </t>
  </si>
  <si>
    <t>UJH59882661</t>
  </si>
  <si>
    <t>03-07-2025 07:21 AM</t>
  </si>
  <si>
    <t>CRM75460412</t>
  </si>
  <si>
    <t>03-07-2025 07:20 AM</t>
  </si>
  <si>
    <t>Mambala MCHP</t>
  </si>
  <si>
    <t>Adama sellu</t>
  </si>
  <si>
    <t>PBE80954035</t>
  </si>
  <si>
    <t>BNI04092907</t>
  </si>
  <si>
    <t>03-07-2025 07:19 AM</t>
  </si>
  <si>
    <t>CDA91308830</t>
  </si>
  <si>
    <t>03-07-2025 07:16 AM</t>
  </si>
  <si>
    <t xml:space="preserve">Foday Brima </t>
  </si>
  <si>
    <t>LQH59344690</t>
  </si>
  <si>
    <t>03-07-2025 07:14 AM</t>
  </si>
  <si>
    <t>Emilia.Anthony</t>
  </si>
  <si>
    <t>XMI01918408</t>
  </si>
  <si>
    <t>03-07-2025 07:13 AM</t>
  </si>
  <si>
    <t>Gender CHP</t>
  </si>
  <si>
    <t xml:space="preserve">Jebbeh Dauda </t>
  </si>
  <si>
    <t>ADY02619360</t>
  </si>
  <si>
    <t>03-07-2025 07:12 AM</t>
  </si>
  <si>
    <t xml:space="preserve">Alimamy Abdulai Bangura </t>
  </si>
  <si>
    <t>UNE31654535</t>
  </si>
  <si>
    <t>03-07-2025 07:10 AM</t>
  </si>
  <si>
    <t>Sumbuya CHC</t>
  </si>
  <si>
    <t xml:space="preserve">Theresa Gbanie </t>
  </si>
  <si>
    <t>QQK00589683</t>
  </si>
  <si>
    <t>WYA03415477</t>
  </si>
  <si>
    <t>03-07-2025 07:05 AM</t>
  </si>
  <si>
    <t xml:space="preserve">Mariama Yilla </t>
  </si>
  <si>
    <t>SPT36084140</t>
  </si>
  <si>
    <t xml:space="preserve">Zainab K sei </t>
  </si>
  <si>
    <t>OPV71330545</t>
  </si>
  <si>
    <t>02-07-2025 11:17 AM</t>
  </si>
  <si>
    <t>03-07-2025 07:03 AM</t>
  </si>
  <si>
    <t>VWR47028774</t>
  </si>
  <si>
    <t>03-07-2025 07:00 AM</t>
  </si>
  <si>
    <t>Sattu Sandi , Isata Kargbo AndAlusine Feika</t>
  </si>
  <si>
    <t>MRU83137234</t>
  </si>
  <si>
    <t>03-07-2025 06:57 AM</t>
  </si>
  <si>
    <t>HRA53802531</t>
  </si>
  <si>
    <t>Jacket decker</t>
  </si>
  <si>
    <t>PBN18946838</t>
  </si>
  <si>
    <t>HVQ20748875</t>
  </si>
  <si>
    <t>03-07-2025 06:50 AM</t>
  </si>
  <si>
    <t>ZRX66705507</t>
  </si>
  <si>
    <t>03-07-2025 06:48 AM</t>
  </si>
  <si>
    <t>DGZ78938956</t>
  </si>
  <si>
    <t>03-07-2025 06:47 AM</t>
  </si>
  <si>
    <t xml:space="preserve">Emma m kamara </t>
  </si>
  <si>
    <t>UVU16081872</t>
  </si>
  <si>
    <t>03-07-2025 06:46 AM</t>
  </si>
  <si>
    <t>VKM59008179</t>
  </si>
  <si>
    <t>03-07-2025 06:45 AM</t>
  </si>
  <si>
    <t>Senehun Ngolahun MCHP</t>
  </si>
  <si>
    <t>Mamie J  Tucker</t>
  </si>
  <si>
    <t>BLE98332518</t>
  </si>
  <si>
    <t>03-07-2025 06:41 AM</t>
  </si>
  <si>
    <t>CMW99261293</t>
  </si>
  <si>
    <t>03-07-2025 06:39 AM</t>
  </si>
  <si>
    <t>Mbundorbu MCHP</t>
  </si>
  <si>
    <t>Mariama Steven</t>
  </si>
  <si>
    <t>LSX03888242</t>
  </si>
  <si>
    <t>03-07-2025 06:38 AM</t>
  </si>
  <si>
    <t>Aminata kamara</t>
  </si>
  <si>
    <t>SJU64545984</t>
  </si>
  <si>
    <t>03-07-2025 06:34 AM</t>
  </si>
  <si>
    <t>Momodu smart</t>
  </si>
  <si>
    <t>VDP04573906</t>
  </si>
  <si>
    <t>03-07-2025 06:30 AM</t>
  </si>
  <si>
    <t>Steven mbayo</t>
  </si>
  <si>
    <t>UEY13642914</t>
  </si>
  <si>
    <t>03-07-2025 06:27 AM</t>
  </si>
  <si>
    <t xml:space="preserve">Fatmata Amie Gbla </t>
  </si>
  <si>
    <t>AJD98683663</t>
  </si>
  <si>
    <t>03-07-2025 06:26 AM</t>
  </si>
  <si>
    <t xml:space="preserve">Mattu kondeh </t>
  </si>
  <si>
    <t>KRX97176302</t>
  </si>
  <si>
    <t>03-07-2025 06:20 AM</t>
  </si>
  <si>
    <t>YOI83452665</t>
  </si>
  <si>
    <t>03-07-2025 06:13 AM</t>
  </si>
  <si>
    <t>HCY32692978</t>
  </si>
  <si>
    <t>03-07-2025 06:12 AM</t>
  </si>
  <si>
    <t>YWQ93385083</t>
  </si>
  <si>
    <t>03-07-2025 06:07 AM</t>
  </si>
  <si>
    <t>RFE23186640</t>
  </si>
  <si>
    <t>03-07-2025 06:05 AM</t>
  </si>
  <si>
    <t>HUZ05427680</t>
  </si>
  <si>
    <t>03-07-2025 05:59 AM</t>
  </si>
  <si>
    <t>Hassan Marrah</t>
  </si>
  <si>
    <t>AQJ09925597</t>
  </si>
  <si>
    <t>03-07-2025 05:54 AM</t>
  </si>
  <si>
    <t>RPS99640418</t>
  </si>
  <si>
    <t>03-07-2025 05:50 AM</t>
  </si>
  <si>
    <t>EES89170729</t>
  </si>
  <si>
    <t xml:space="preserve">Abibatu jalloh </t>
  </si>
  <si>
    <t>CGH65106100</t>
  </si>
  <si>
    <t>03-07-2025 05:45 AM</t>
  </si>
  <si>
    <t>TSX96598950</t>
  </si>
  <si>
    <t>03-07-2025 05:44 AM</t>
  </si>
  <si>
    <t>PHK67566241</t>
  </si>
  <si>
    <t>03-07-2025 05:43 AM</t>
  </si>
  <si>
    <t>Koribondo CHC</t>
  </si>
  <si>
    <t xml:space="preserve">Sylvester Kalilu </t>
  </si>
  <si>
    <t>CGJ85717032</t>
  </si>
  <si>
    <t>Bandajuma MCHP</t>
  </si>
  <si>
    <t>Hawanatu mehemoh</t>
  </si>
  <si>
    <t>QZT91043914</t>
  </si>
  <si>
    <t xml:space="preserve">Zainab sallamatu kamara </t>
  </si>
  <si>
    <t>HZJ62714667</t>
  </si>
  <si>
    <t>03-07-2025 05:40 AM</t>
  </si>
  <si>
    <t>FMG78632126</t>
  </si>
  <si>
    <t>03-07-2025 05:37 AM</t>
  </si>
  <si>
    <t>OIA03685478</t>
  </si>
  <si>
    <t>03-07-2025 05:36 AM</t>
  </si>
  <si>
    <t>HYV88506277</t>
  </si>
  <si>
    <t>FHG58388169</t>
  </si>
  <si>
    <t>03-07-2025 05:34 AM</t>
  </si>
  <si>
    <t>Teko Barracks CHP</t>
  </si>
  <si>
    <t xml:space="preserve">Linda Decker </t>
  </si>
  <si>
    <t>TRW80920614</t>
  </si>
  <si>
    <t>03-07-2025 05:33 AM</t>
  </si>
  <si>
    <t xml:space="preserve">Cecilia A Lahai </t>
  </si>
  <si>
    <t>RAL76162441</t>
  </si>
  <si>
    <t>03-07-2025 05:18 AM</t>
  </si>
  <si>
    <t>03-07-2025 05:32 AM</t>
  </si>
  <si>
    <t>Kambawama MCHP</t>
  </si>
  <si>
    <t xml:space="preserve">Massela F Sheriff </t>
  </si>
  <si>
    <t>VHU32328534</t>
  </si>
  <si>
    <t>03-07-2025 05:11 AM</t>
  </si>
  <si>
    <t>YIC90381752</t>
  </si>
  <si>
    <t>03-07-2025 05:29 AM</t>
  </si>
  <si>
    <t>Thonkomba</t>
  </si>
  <si>
    <t>DRB67836853</t>
  </si>
  <si>
    <t>03-07-2025 05:25 AM</t>
  </si>
  <si>
    <t>Niawa Lenga</t>
  </si>
  <si>
    <t>Nemgbema CHP</t>
  </si>
  <si>
    <t xml:space="preserve">Ibrahim Gamanga </t>
  </si>
  <si>
    <t>UHJ49119836</t>
  </si>
  <si>
    <t>Aminata Kanu</t>
  </si>
  <si>
    <t>QOQ85630011</t>
  </si>
  <si>
    <t>30-06-2025 08:46 AM</t>
  </si>
  <si>
    <t>Brima Town CHP</t>
  </si>
  <si>
    <t>ZJB91653163</t>
  </si>
  <si>
    <t>30-06-2025 08:43 AM</t>
  </si>
  <si>
    <t>Abibatu jalloh</t>
  </si>
  <si>
    <t>XXF95723655</t>
  </si>
  <si>
    <t>30-06-2025 08:21 AM</t>
  </si>
  <si>
    <t>WQD70669151</t>
  </si>
  <si>
    <t>30-06-2025 08:12 AM</t>
  </si>
  <si>
    <t>03-07-2025 05:17 AM</t>
  </si>
  <si>
    <t>ZIP26341463</t>
  </si>
  <si>
    <t>02-07-2025 11:32 AM</t>
  </si>
  <si>
    <t>03-07-2025 05:14 AM</t>
  </si>
  <si>
    <t>MGJ69351679</t>
  </si>
  <si>
    <t>01-07-2025 09:08 AM</t>
  </si>
  <si>
    <t>03-07-2025 05:13 AM</t>
  </si>
  <si>
    <t>Maria Etta saidu</t>
  </si>
  <si>
    <t>CLJ81429688</t>
  </si>
  <si>
    <t>Faabu MCHP</t>
  </si>
  <si>
    <t xml:space="preserve">Solomon lahai </t>
  </si>
  <si>
    <t>TXZ55746992</t>
  </si>
  <si>
    <t>30-06-2025 08:15 AM</t>
  </si>
  <si>
    <t>NCQ42040734</t>
  </si>
  <si>
    <t>HIE90972961</t>
  </si>
  <si>
    <t>30-06-2025 08:07 AM</t>
  </si>
  <si>
    <t>YCZ25371668</t>
  </si>
  <si>
    <t>03-07-2025 05:12 AM</t>
  </si>
  <si>
    <t xml:space="preserve">Fatmata Koroma </t>
  </si>
  <si>
    <t>DOL53381947</t>
  </si>
  <si>
    <t>03-07-2025 05:09 AM</t>
  </si>
  <si>
    <t>Anita sankoh</t>
  </si>
  <si>
    <t>ITP99485238</t>
  </si>
  <si>
    <t>03-07-2025 05:08 AM</t>
  </si>
  <si>
    <t xml:space="preserve">Adama Ngamd </t>
  </si>
  <si>
    <t>ONT10301391</t>
  </si>
  <si>
    <t>03-07-2025 05:05 AM</t>
  </si>
  <si>
    <t xml:space="preserve">Fatmata Gbao </t>
  </si>
  <si>
    <t>NPP24229870</t>
  </si>
  <si>
    <t>03-07-2025 05:01 AM</t>
  </si>
  <si>
    <t>Njandama MCHP</t>
  </si>
  <si>
    <t xml:space="preserve">Nessie Rogers </t>
  </si>
  <si>
    <t>SFU18712585</t>
  </si>
  <si>
    <t>Princess s koroma</t>
  </si>
  <si>
    <t>NZU00204311</t>
  </si>
  <si>
    <t>03-07-2025 04:45 AM</t>
  </si>
  <si>
    <t xml:space="preserve">Catherine K Musa </t>
  </si>
  <si>
    <t>RHA09444008</t>
  </si>
  <si>
    <t>01-07-2025 06:24 PM</t>
  </si>
  <si>
    <t>03-07-2025 04:33 AM</t>
  </si>
  <si>
    <t>ZKY64038935</t>
  </si>
  <si>
    <t>03-07-2025 04:31 AM</t>
  </si>
  <si>
    <t>WQW61445643</t>
  </si>
  <si>
    <t>03-07-2025 04:29 AM</t>
  </si>
  <si>
    <t>NMD25139914</t>
  </si>
  <si>
    <t>03-07-2025 03:57 AM</t>
  </si>
  <si>
    <t xml:space="preserve">Haha F Sesay </t>
  </si>
  <si>
    <t>TBC20869633</t>
  </si>
  <si>
    <t>03-07-2025 03:54 AM</t>
  </si>
  <si>
    <t>Gbendembu CHC</t>
  </si>
  <si>
    <t xml:space="preserve">Benjamin Yusuf </t>
  </si>
  <si>
    <t>CPG43522609</t>
  </si>
  <si>
    <t>03-07-2025 03:53 AM</t>
  </si>
  <si>
    <t>YIU12747398</t>
  </si>
  <si>
    <t>03-07-2025 03:07 AM</t>
  </si>
  <si>
    <t>HZO89880409</t>
  </si>
  <si>
    <t>03-07-2025 03:05 AM</t>
  </si>
  <si>
    <t>GFM88813049</t>
  </si>
  <si>
    <t>03-07-2025 03:02 AM</t>
  </si>
  <si>
    <t>DSU09464951</t>
  </si>
  <si>
    <t>02-07-2025 04:37 PM</t>
  </si>
  <si>
    <t>MSF46978153</t>
  </si>
  <si>
    <t>02-07-2025 04:34 PM</t>
  </si>
  <si>
    <t>QDK74865317</t>
  </si>
  <si>
    <t>02-07-2025 04:28 PM</t>
  </si>
  <si>
    <t>ZBJ81343646</t>
  </si>
  <si>
    <t>02-07-2025 04:19 PM</t>
  </si>
  <si>
    <t>FDB06119009</t>
  </si>
  <si>
    <t>02-07-2025 03:30 PM</t>
  </si>
  <si>
    <t>Kortohun CHP</t>
  </si>
  <si>
    <t>VAZ83569585</t>
  </si>
  <si>
    <t>Yainkassa CHP</t>
  </si>
  <si>
    <t xml:space="preserve">Binta Barrie </t>
  </si>
  <si>
    <t>ZYM19654324</t>
  </si>
  <si>
    <t>02-07-2025 03:07 PM</t>
  </si>
  <si>
    <t>KAD78359026</t>
  </si>
  <si>
    <t>02-07-2025 02:43 PM</t>
  </si>
  <si>
    <t>ESO97720821</t>
  </si>
  <si>
    <t>02-07-2025 02:41 PM</t>
  </si>
  <si>
    <t>AGF85323729</t>
  </si>
  <si>
    <t>02-07-2025 01:57 PM</t>
  </si>
  <si>
    <t>PUX95904577</t>
  </si>
  <si>
    <t>02-07-2025 01:54 PM</t>
  </si>
  <si>
    <t>BDH33921990</t>
  </si>
  <si>
    <t>02-07-2025 01:49 PM</t>
  </si>
  <si>
    <t>Florence.M.Momoh</t>
  </si>
  <si>
    <t>LLC26118633</t>
  </si>
  <si>
    <t xml:space="preserve">Magdalene Kadie Kamara </t>
  </si>
  <si>
    <t>YJZ32392594</t>
  </si>
  <si>
    <t>02-07-2025 01:30 PM</t>
  </si>
  <si>
    <t>KBZ67404673</t>
  </si>
  <si>
    <t>02-07-2025 01:29 PM</t>
  </si>
  <si>
    <t xml:space="preserve">Isata T sankoh </t>
  </si>
  <si>
    <t>CSB63200433</t>
  </si>
  <si>
    <t>02-07-2025 01:24 PM</t>
  </si>
  <si>
    <t xml:space="preserve">Sheku Fofanah </t>
  </si>
  <si>
    <t>OSE32966161</t>
  </si>
  <si>
    <t xml:space="preserve">Mariana s Jusu </t>
  </si>
  <si>
    <t>EUQ28376284</t>
  </si>
  <si>
    <t>02-07-2025 01:20 PM</t>
  </si>
  <si>
    <t>LLH27087643</t>
  </si>
  <si>
    <t>02-07-2025 01:09 PM</t>
  </si>
  <si>
    <t xml:space="preserve">Isata M. Koroma </t>
  </si>
  <si>
    <t>TBC73893139</t>
  </si>
  <si>
    <t>02-07-2025 11:18 AM</t>
  </si>
  <si>
    <t>02-07-2025 01:06 PM</t>
  </si>
  <si>
    <t>KAV71821046</t>
  </si>
  <si>
    <t>02-07-2025 11:06 AM</t>
  </si>
  <si>
    <t>IBH79983609</t>
  </si>
  <si>
    <t>02-07-2025 01:01 PM</t>
  </si>
  <si>
    <t>Isata M.Koroma</t>
  </si>
  <si>
    <t>WGL85333005</t>
  </si>
  <si>
    <t>02-07-2025 12:56 PM</t>
  </si>
  <si>
    <t>Maselleh MCHP</t>
  </si>
  <si>
    <t xml:space="preserve">Christiana Laundeh </t>
  </si>
  <si>
    <t>YYD67181629</t>
  </si>
  <si>
    <t>02-07-2025 12:54 PM</t>
  </si>
  <si>
    <t>DEV16689726</t>
  </si>
  <si>
    <t>02-07-2025 12:49 PM</t>
  </si>
  <si>
    <t>KNM42315075</t>
  </si>
  <si>
    <t>02-07-2025 12:42 PM</t>
  </si>
  <si>
    <t xml:space="preserve">Fatmata Handay kamara </t>
  </si>
  <si>
    <t>ABX34319587</t>
  </si>
  <si>
    <t>02-07-2025 12:13 PM</t>
  </si>
  <si>
    <t>Momoh Conteh</t>
  </si>
  <si>
    <t>NJK32391598</t>
  </si>
  <si>
    <t>02-07-2025 12:06 PM</t>
  </si>
  <si>
    <t>Augusta Nylender</t>
  </si>
  <si>
    <t>GUR78591669</t>
  </si>
  <si>
    <t>02-07-2025 12:00 PM</t>
  </si>
  <si>
    <t>Kagbankona MCHP</t>
  </si>
  <si>
    <t xml:space="preserve">Hawa Koker </t>
  </si>
  <si>
    <t>DVM75390218</t>
  </si>
  <si>
    <t>02-07-2025 11:57 AM</t>
  </si>
  <si>
    <t>RFT81001735</t>
  </si>
  <si>
    <t>02-07-2025 11:56 AM</t>
  </si>
  <si>
    <t xml:space="preserve">Mohamed K Mansaray </t>
  </si>
  <si>
    <t>NBQ14206252</t>
  </si>
  <si>
    <t>02-07-2025 11:50 AM</t>
  </si>
  <si>
    <t>Sage J fillie</t>
  </si>
  <si>
    <t>HLG56462490</t>
  </si>
  <si>
    <t>Mendewa MCHP</t>
  </si>
  <si>
    <t xml:space="preserve">Yatta konjor </t>
  </si>
  <si>
    <t>KKA76567936</t>
  </si>
  <si>
    <t>02-07-2025 11:49 AM</t>
  </si>
  <si>
    <t>Mariaama</t>
  </si>
  <si>
    <t>NGK07196285</t>
  </si>
  <si>
    <t>02-07-2025 11:46 AM</t>
  </si>
  <si>
    <t xml:space="preserve">Mariana s jusu </t>
  </si>
  <si>
    <t>RYQ95474203</t>
  </si>
  <si>
    <t>02-07-2025 11:45 AM</t>
  </si>
  <si>
    <t>Torwama MCHP</t>
  </si>
  <si>
    <t>Aliyatu.M Abdulai</t>
  </si>
  <si>
    <t>RDE60316910</t>
  </si>
  <si>
    <t>02-07-2025 11:36 AM</t>
  </si>
  <si>
    <t>HNA28785591</t>
  </si>
  <si>
    <t>02-07-2025 11:34 AM</t>
  </si>
  <si>
    <t xml:space="preserve">Magdalena kadie kamara </t>
  </si>
  <si>
    <t>DTF50124923</t>
  </si>
  <si>
    <t>MTS31308095</t>
  </si>
  <si>
    <t xml:space="preserve">Agnes B Kallon </t>
  </si>
  <si>
    <t>LIY22292348</t>
  </si>
  <si>
    <t>RLL86089956</t>
  </si>
  <si>
    <t>02-07-2025 11:20 AM</t>
  </si>
  <si>
    <t>JUF20730174</t>
  </si>
  <si>
    <t xml:space="preserve">Zainab Bangura </t>
  </si>
  <si>
    <t>ODP59749236</t>
  </si>
  <si>
    <t>02-07-2025 11:16 AM</t>
  </si>
  <si>
    <t>EPS63055678</t>
  </si>
  <si>
    <t>02-07-2025 11:12 AM</t>
  </si>
  <si>
    <t>GNK75453355</t>
  </si>
  <si>
    <t>QDM84983411</t>
  </si>
  <si>
    <t>02-07-2025 11:11 AM</t>
  </si>
  <si>
    <t>Mariana s Jusu</t>
  </si>
  <si>
    <t>UDN75845850</t>
  </si>
  <si>
    <t>KXM46838058</t>
  </si>
  <si>
    <t>02-07-2025 11:08 AM</t>
  </si>
  <si>
    <t>Mapaki CHC</t>
  </si>
  <si>
    <t>James Bangura</t>
  </si>
  <si>
    <t>PVF09799273</t>
  </si>
  <si>
    <t>02-07-2025 11:07 AM</t>
  </si>
  <si>
    <t>QZY85034683</t>
  </si>
  <si>
    <t>02-07-2025 11:03 AM</t>
  </si>
  <si>
    <t>Aruna Mansaray</t>
  </si>
  <si>
    <t>ZFI57734748</t>
  </si>
  <si>
    <t>02-07-2025 10:56 AM</t>
  </si>
  <si>
    <t xml:space="preserve">Fatmata Beniter Mansaray </t>
  </si>
  <si>
    <t>WZL46289682</t>
  </si>
  <si>
    <t>02-07-2025 10:49 AM</t>
  </si>
  <si>
    <t>02-07-2025 10:55 AM</t>
  </si>
  <si>
    <t>CNK58370362</t>
  </si>
  <si>
    <t>PNB28339455</t>
  </si>
  <si>
    <t>02-07-2025 10:18 AM</t>
  </si>
  <si>
    <t>CYC75877957</t>
  </si>
  <si>
    <t>02-07-2025 10:46 AM</t>
  </si>
  <si>
    <t>Gabriel Kamara</t>
  </si>
  <si>
    <t>KII87661863</t>
  </si>
  <si>
    <t>02-07-2025 10:45 AM</t>
  </si>
  <si>
    <t>KCR05208240</t>
  </si>
  <si>
    <t>WGE97244627</t>
  </si>
  <si>
    <t>02-07-2025 10:40 AM</t>
  </si>
  <si>
    <t>RYQ71381317</t>
  </si>
  <si>
    <t>We Care Health CHP</t>
  </si>
  <si>
    <t>0145</t>
  </si>
  <si>
    <t>Isha  S Massaquoi</t>
  </si>
  <si>
    <t>HJT13526861</t>
  </si>
  <si>
    <t>TZH75746757</t>
  </si>
  <si>
    <t xml:space="preserve">Umaro Sheku Kanu </t>
  </si>
  <si>
    <t>WEH15663737</t>
  </si>
  <si>
    <t>30-06-2025 02:47 PM</t>
  </si>
  <si>
    <t>02-07-2025 10:39 AM</t>
  </si>
  <si>
    <t xml:space="preserve">Lahai Koroma </t>
  </si>
  <si>
    <t>DBB67329080</t>
  </si>
  <si>
    <t>02-07-2025 08:22 AM</t>
  </si>
  <si>
    <t>02-07-2025 10:38 AM</t>
  </si>
  <si>
    <t>VYI38437946</t>
  </si>
  <si>
    <t>02-07-2025 10:31 AM</t>
  </si>
  <si>
    <t>VKD12132653</t>
  </si>
  <si>
    <t>02-07-2025 10:29 AM</t>
  </si>
  <si>
    <t xml:space="preserve">Fatmata H Finnoh </t>
  </si>
  <si>
    <t>FMV80919761</t>
  </si>
  <si>
    <t>02-07-2025 10:28 AM</t>
  </si>
  <si>
    <t>UVP30212841</t>
  </si>
  <si>
    <t>02-07-2025 10:26 AM</t>
  </si>
  <si>
    <t>XHT26539946</t>
  </si>
  <si>
    <t>02-07-2025 10:17 AM</t>
  </si>
  <si>
    <t>FJJ98925962</t>
  </si>
  <si>
    <t>02-07-2025 10:09 AM</t>
  </si>
  <si>
    <t>YIR14753021</t>
  </si>
  <si>
    <t>02-07-2025 10:07 AM</t>
  </si>
  <si>
    <t>VTM81409417</t>
  </si>
  <si>
    <t>02-07-2025 10:04 AM</t>
  </si>
  <si>
    <t>Kpetewoma CHP</t>
  </si>
  <si>
    <t>Isata Francess Vandy</t>
  </si>
  <si>
    <t>HNR00211454</t>
  </si>
  <si>
    <t>02-07-2025 10:02 AM</t>
  </si>
  <si>
    <t>Fanima MCHP</t>
  </si>
  <si>
    <t xml:space="preserve">Margaret sama </t>
  </si>
  <si>
    <t>DIA59107077</t>
  </si>
  <si>
    <t>02-07-2025 09:53 AM</t>
  </si>
  <si>
    <t>02-07-2025 10:01 AM</t>
  </si>
  <si>
    <t>Haja.M.Kaikai</t>
  </si>
  <si>
    <t>KMT41849709</t>
  </si>
  <si>
    <t>30-06-2025 09:40 PM</t>
  </si>
  <si>
    <t>PNZ11937036</t>
  </si>
  <si>
    <t>02-07-2025 09:55 AM</t>
  </si>
  <si>
    <t>BOZ76018424</t>
  </si>
  <si>
    <t>02-07-2025 09:50 AM</t>
  </si>
  <si>
    <t>YPF49994388</t>
  </si>
  <si>
    <t>02-07-2025 09:09 AM</t>
  </si>
  <si>
    <t>02-07-2025 09:48 AM</t>
  </si>
  <si>
    <t>VLJ83818556</t>
  </si>
  <si>
    <t>02-07-2025 09:46 AM</t>
  </si>
  <si>
    <t>Sylvia. Massallay</t>
  </si>
  <si>
    <t>USV01639699</t>
  </si>
  <si>
    <t>02-07-2025 09:45 AM</t>
  </si>
  <si>
    <t>Samuel Gbembo</t>
  </si>
  <si>
    <t>VZU37621270</t>
  </si>
  <si>
    <t>Mamaka MCHP</t>
  </si>
  <si>
    <t xml:space="preserve">Momoh fornah </t>
  </si>
  <si>
    <t>AHR38544036</t>
  </si>
  <si>
    <t>BXR19934473</t>
  </si>
  <si>
    <t>AVU72982022</t>
  </si>
  <si>
    <t>02-07-2025 09:37 AM</t>
  </si>
  <si>
    <t>HLA67718523</t>
  </si>
  <si>
    <t>02-07-2025 08:37 AM</t>
  </si>
  <si>
    <t>02-07-2025 09:36 AM</t>
  </si>
  <si>
    <t>YLU32090504</t>
  </si>
  <si>
    <t>02-07-2025 09:32 AM</t>
  </si>
  <si>
    <t>CQL11459481</t>
  </si>
  <si>
    <t>02-07-2025 07:28 AM</t>
  </si>
  <si>
    <t>ZJY54860317</t>
  </si>
  <si>
    <t>02-07-2025 09:23 AM</t>
  </si>
  <si>
    <t>Haikal CHP</t>
  </si>
  <si>
    <t>Status  Sandi</t>
  </si>
  <si>
    <t>QGQ39790773</t>
  </si>
  <si>
    <t>02-07-2025 09:22 AM</t>
  </si>
  <si>
    <t>Maboleh CHP</t>
  </si>
  <si>
    <t xml:space="preserve">Haja Fatmata Sesay </t>
  </si>
  <si>
    <t>IOI54230874</t>
  </si>
  <si>
    <t>02-07-2025 09:20 AM</t>
  </si>
  <si>
    <t>Isata koroma</t>
  </si>
  <si>
    <t>PGF29069452</t>
  </si>
  <si>
    <t>02-07-2025 09:15 AM</t>
  </si>
  <si>
    <t>02-07-2025 09:17 AM</t>
  </si>
  <si>
    <t>RVV99188146</t>
  </si>
  <si>
    <t>KGB91773662</t>
  </si>
  <si>
    <t>Agnes N fullah</t>
  </si>
  <si>
    <t>MZC99109549</t>
  </si>
  <si>
    <t xml:space="preserve">Ibrahim Jabbie </t>
  </si>
  <si>
    <t>ESX14649027</t>
  </si>
  <si>
    <t>02-07-2025 09:12 AM</t>
  </si>
  <si>
    <t>MLW95361120</t>
  </si>
  <si>
    <t>Christiana M Dawo</t>
  </si>
  <si>
    <t>XFK03801626</t>
  </si>
  <si>
    <t>02-07-2025 09:02 AM</t>
  </si>
  <si>
    <t>RBF69323800</t>
  </si>
  <si>
    <t xml:space="preserve">Sylvester Ngaujah </t>
  </si>
  <si>
    <t>LKF82696170</t>
  </si>
  <si>
    <t>02-07-2025 08:58 AM</t>
  </si>
  <si>
    <t>Gbo</t>
  </si>
  <si>
    <t>Gbaiima Songa CHC</t>
  </si>
  <si>
    <t xml:space="preserve">Josephine F Fannah </t>
  </si>
  <si>
    <t>RVL85321644</t>
  </si>
  <si>
    <t>02-07-2025 08:53 AM</t>
  </si>
  <si>
    <t>Hawanatu s kamara</t>
  </si>
  <si>
    <t>VLQ52322064</t>
  </si>
  <si>
    <t>02-07-2025 08:47 AM</t>
  </si>
  <si>
    <t>BZR51996340</t>
  </si>
  <si>
    <t>02-07-2025 08:46 AM</t>
  </si>
  <si>
    <t>Masongbo Loko CHP</t>
  </si>
  <si>
    <t xml:space="preserve">Mabinty sankoh </t>
  </si>
  <si>
    <t>IRL09879938</t>
  </si>
  <si>
    <t>02-07-2025 08:44 AM</t>
  </si>
  <si>
    <t>ZJB26442304</t>
  </si>
  <si>
    <t>Hannah Sesay</t>
  </si>
  <si>
    <t>MFQ32104222</t>
  </si>
  <si>
    <t>01-07-2025 07:27 AM</t>
  </si>
  <si>
    <t>02-07-2025 08:43 AM</t>
  </si>
  <si>
    <t>YLM54771277</t>
  </si>
  <si>
    <t>02-07-2025 08:41 AM</t>
  </si>
  <si>
    <t>NFK82388608</t>
  </si>
  <si>
    <t>IQO90636989</t>
  </si>
  <si>
    <t>02-07-2025 08:33 AM</t>
  </si>
  <si>
    <t>Masingbi Lol MCHP</t>
  </si>
  <si>
    <t>Neneh Jalloh</t>
  </si>
  <si>
    <t>HAQ53492761</t>
  </si>
  <si>
    <t>LQA58581972</t>
  </si>
  <si>
    <t xml:space="preserve">Beatrice Alice Lebbie </t>
  </si>
  <si>
    <t>MWM59368968</t>
  </si>
  <si>
    <t>02-07-2025 08:30 AM</t>
  </si>
  <si>
    <t>Yambama CHP</t>
  </si>
  <si>
    <t xml:space="preserve">Christina Langba </t>
  </si>
  <si>
    <t>TNI40599209</t>
  </si>
  <si>
    <t>02-07-2025 08:28 AM</t>
  </si>
  <si>
    <t xml:space="preserve">Daniel Kposowa Morovia </t>
  </si>
  <si>
    <t>RXP36853548</t>
  </si>
  <si>
    <t>02-07-2025 08:26 AM</t>
  </si>
  <si>
    <t>UAU04034466</t>
  </si>
  <si>
    <t>02-07-2025 08:25 AM</t>
  </si>
  <si>
    <t>SGF84626310</t>
  </si>
  <si>
    <t>Assiatu S. Kabba</t>
  </si>
  <si>
    <t>HKI53222761</t>
  </si>
  <si>
    <t>ZFL46203316</t>
  </si>
  <si>
    <t>02-07-2025 08:19 AM</t>
  </si>
  <si>
    <t>02-07-2025 08:20 AM</t>
  </si>
  <si>
    <t>Ngolahun CHP</t>
  </si>
  <si>
    <t xml:space="preserve">Bockarie M Moriba </t>
  </si>
  <si>
    <t>RLM20824631</t>
  </si>
  <si>
    <t>FAN81754454</t>
  </si>
  <si>
    <t xml:space="preserve">Fatmata fornah </t>
  </si>
  <si>
    <t>SVP59820781</t>
  </si>
  <si>
    <t>02-07-2025 08:17 AM</t>
  </si>
  <si>
    <t>NHT05623250</t>
  </si>
  <si>
    <t>02-07-2025 08:15 AM</t>
  </si>
  <si>
    <t>QVV19646101</t>
  </si>
  <si>
    <t>IJB79695883</t>
  </si>
  <si>
    <t>02-07-2025 08:00 AM</t>
  </si>
  <si>
    <t>02-07-2025 08:14 AM</t>
  </si>
  <si>
    <t xml:space="preserve">Esther M Ndaloma </t>
  </si>
  <si>
    <t>ZXD78970361</t>
  </si>
  <si>
    <t>TUC89406842</t>
  </si>
  <si>
    <t>WLO96723433</t>
  </si>
  <si>
    <t>02-07-2025 08:12 AM</t>
  </si>
  <si>
    <t>RCI73600375</t>
  </si>
  <si>
    <t>02-07-2025 08:10 AM</t>
  </si>
  <si>
    <t>02-07-2025 08:11 AM</t>
  </si>
  <si>
    <t>KXM01149318</t>
  </si>
  <si>
    <t>02-07-2025 08:08 AM</t>
  </si>
  <si>
    <t xml:space="preserve">Sonitakamara </t>
  </si>
  <si>
    <t>YJF89761768</t>
  </si>
  <si>
    <t>02-07-2025 08:06 AM</t>
  </si>
  <si>
    <t xml:space="preserve">Baimba Brima </t>
  </si>
  <si>
    <t>MLI73862922</t>
  </si>
  <si>
    <t>PVL11480346</t>
  </si>
  <si>
    <t>MIR07289796</t>
  </si>
  <si>
    <t>Mamie J Tucker</t>
  </si>
  <si>
    <t>XCS84448373</t>
  </si>
  <si>
    <t>02-07-2025 07:59 AM</t>
  </si>
  <si>
    <t xml:space="preserve">Abubakarr A Kamara </t>
  </si>
  <si>
    <t>KPC26877338</t>
  </si>
  <si>
    <t>02-07-2025 06:11 AM</t>
  </si>
  <si>
    <t>XVN71366370</t>
  </si>
  <si>
    <t>QUS55201537</t>
  </si>
  <si>
    <t>HMN97377870</t>
  </si>
  <si>
    <t>02-07-2025 07:33 AM</t>
  </si>
  <si>
    <t>02-07-2025 07:53 AM</t>
  </si>
  <si>
    <t xml:space="preserve">Abdulai Foday </t>
  </si>
  <si>
    <t>EHD39680014</t>
  </si>
  <si>
    <t>02-07-2025 07:52 AM</t>
  </si>
  <si>
    <t>POY96684464</t>
  </si>
  <si>
    <t>02-07-2025 07:51 AM</t>
  </si>
  <si>
    <t>Kadiatu Sanu</t>
  </si>
  <si>
    <t>PJO74177567</t>
  </si>
  <si>
    <t xml:space="preserve">Isata swarray </t>
  </si>
  <si>
    <t>FHG29307002</t>
  </si>
  <si>
    <t>Moses koroma</t>
  </si>
  <si>
    <t>DZO99396338</t>
  </si>
  <si>
    <t>02-07-2025 07:49 AM</t>
  </si>
  <si>
    <t>MNE62183017</t>
  </si>
  <si>
    <t>02-07-2025 07:48 AM</t>
  </si>
  <si>
    <t>U M C Manjama CHC</t>
  </si>
  <si>
    <t xml:space="preserve">Swaliho Kanneh </t>
  </si>
  <si>
    <t>XEU57215452</t>
  </si>
  <si>
    <t>02-07-2025 07:47 AM</t>
  </si>
  <si>
    <t xml:space="preserve">Marian s sankoh </t>
  </si>
  <si>
    <t>YBM77316134</t>
  </si>
  <si>
    <t>FDW18741192</t>
  </si>
  <si>
    <t>02-07-2025 07:45 AM</t>
  </si>
  <si>
    <t>EXG31113168</t>
  </si>
  <si>
    <t>02-07-2025 07:43 AM</t>
  </si>
  <si>
    <t>HOY55873697</t>
  </si>
  <si>
    <t xml:space="preserve">Hawa v G Sam </t>
  </si>
  <si>
    <t>NNI14130216</t>
  </si>
  <si>
    <t>02-07-2025 07:36 AM</t>
  </si>
  <si>
    <t>ZLC44101317</t>
  </si>
  <si>
    <t>FVV45707309</t>
  </si>
  <si>
    <t>UYB04249308</t>
  </si>
  <si>
    <t>01-07-2025 10:27 AM</t>
  </si>
  <si>
    <t>02-07-2025 07:35 AM</t>
  </si>
  <si>
    <t>Gbangba MCHP</t>
  </si>
  <si>
    <t xml:space="preserve">Elizabeth S Sonnie </t>
  </si>
  <si>
    <t>RSO01473121</t>
  </si>
  <si>
    <t>01-07-2025 04:06 AM</t>
  </si>
  <si>
    <t>Elizabeth.S.Sonnie</t>
  </si>
  <si>
    <t>CTF51255267</t>
  </si>
  <si>
    <t>IXZ36211509</t>
  </si>
  <si>
    <t>02-07-2025 07:34 AM</t>
  </si>
  <si>
    <t>TLR92868363</t>
  </si>
  <si>
    <t>02-07-2025 07:30 AM</t>
  </si>
  <si>
    <t>AWS47906689</t>
  </si>
  <si>
    <t>ZJV97851973</t>
  </si>
  <si>
    <t>02-07-2025 07:29 AM</t>
  </si>
  <si>
    <t>Rokonta CHC</t>
  </si>
  <si>
    <t xml:space="preserve">Matilda Luba the </t>
  </si>
  <si>
    <t>YWJ02343766</t>
  </si>
  <si>
    <t xml:space="preserve">Ramatu Barrie </t>
  </si>
  <si>
    <t>JUN13159384</t>
  </si>
  <si>
    <t>02-07-2025 07:27 AM</t>
  </si>
  <si>
    <t>QMZ65669624</t>
  </si>
  <si>
    <t>02-07-2025 06:29 AM</t>
  </si>
  <si>
    <t>02-07-2025 07:26 AM</t>
  </si>
  <si>
    <t xml:space="preserve">Julius K  Kpana </t>
  </si>
  <si>
    <t>YCA35980683</t>
  </si>
  <si>
    <t>01-07-2025 09:36 AM</t>
  </si>
  <si>
    <t>NCY82453156</t>
  </si>
  <si>
    <t>XVP17880748</t>
  </si>
  <si>
    <t>Achmed Fears</t>
  </si>
  <si>
    <t>RVK16843667</t>
  </si>
  <si>
    <t>01-07-2025 09:22 AM</t>
  </si>
  <si>
    <t>WLO90092470</t>
  </si>
  <si>
    <t>02-07-2025 07:25 AM</t>
  </si>
  <si>
    <t>KPH85719240</t>
  </si>
  <si>
    <t>02-07-2025 07:24 AM</t>
  </si>
  <si>
    <t>Florence Kamara</t>
  </si>
  <si>
    <t>MDQ48399271</t>
  </si>
  <si>
    <t>02-07-2025 07:23 AM</t>
  </si>
  <si>
    <t>Mariama Mamie Dabor</t>
  </si>
  <si>
    <t>RPL68543548</t>
  </si>
  <si>
    <t>Amidu T Jalloh</t>
  </si>
  <si>
    <t>WWM78368529</t>
  </si>
  <si>
    <t>02-07-2025 07:21 AM</t>
  </si>
  <si>
    <t>FEQ49622986</t>
  </si>
  <si>
    <t>SRH03483039</t>
  </si>
  <si>
    <t>01-07-2025 07:21 AM</t>
  </si>
  <si>
    <t>02-07-2025 07:18 AM</t>
  </si>
  <si>
    <t>Sahn CHC</t>
  </si>
  <si>
    <t>Sarah Kaindaneh</t>
  </si>
  <si>
    <t>YYR30267501</t>
  </si>
  <si>
    <t>02-07-2025 07:16 AM</t>
  </si>
  <si>
    <t>Amidu T jalloh</t>
  </si>
  <si>
    <t>AGX06721466</t>
  </si>
  <si>
    <t>02-07-2025 07:15 AM</t>
  </si>
  <si>
    <t xml:space="preserve">Fatmata H Yagbaji  </t>
  </si>
  <si>
    <t>YHP44147664</t>
  </si>
  <si>
    <t>GPW47529409</t>
  </si>
  <si>
    <t>Sally Mbawah</t>
  </si>
  <si>
    <t>ERK65787487</t>
  </si>
  <si>
    <t>02-07-2025 07:09 AM</t>
  </si>
  <si>
    <t>FVA97433475</t>
  </si>
  <si>
    <t>02-07-2025 07:07 AM</t>
  </si>
  <si>
    <t>JET46797886</t>
  </si>
  <si>
    <t xml:space="preserve">Fatmata kemokai </t>
  </si>
  <si>
    <t>ZIF57307906</t>
  </si>
  <si>
    <t>02-07-2025 07:04 AM</t>
  </si>
  <si>
    <t>Komborya Gbauja MCHP</t>
  </si>
  <si>
    <t xml:space="preserve">Jeneba Sesay </t>
  </si>
  <si>
    <t>BNT77270600</t>
  </si>
  <si>
    <t>02-07-2025 07:02 AM</t>
  </si>
  <si>
    <t>02-07-2025 07:03 AM</t>
  </si>
  <si>
    <t xml:space="preserve">Isha N Bangura </t>
  </si>
  <si>
    <t>DHK20451412</t>
  </si>
  <si>
    <t>ROS48158448</t>
  </si>
  <si>
    <t>02-07-2025 07:01 AM</t>
  </si>
  <si>
    <t xml:space="preserve">Fatmata Mansaray </t>
  </si>
  <si>
    <t>HUQ44120709</t>
  </si>
  <si>
    <t>02-07-2025 06:58 AM</t>
  </si>
  <si>
    <t xml:space="preserve">Humu sankoh </t>
  </si>
  <si>
    <t>QAX38745360</t>
  </si>
  <si>
    <t>02-07-2025 06:57 AM</t>
  </si>
  <si>
    <t>BBZ65981235</t>
  </si>
  <si>
    <t>02-07-2025 06:54 AM</t>
  </si>
  <si>
    <t>SDN28159379</t>
  </si>
  <si>
    <t>02-07-2025 06:50 AM</t>
  </si>
  <si>
    <t>Bontiwo MCHP</t>
  </si>
  <si>
    <t xml:space="preserve">Lucy M Sam </t>
  </si>
  <si>
    <t>NDH68232935</t>
  </si>
  <si>
    <t>02-07-2025 06:43 AM</t>
  </si>
  <si>
    <t>Mabonkani MCHP</t>
  </si>
  <si>
    <t>Haja F Janneh</t>
  </si>
  <si>
    <t>YJO64962904</t>
  </si>
  <si>
    <t>02-07-2025 06:39 AM</t>
  </si>
  <si>
    <t>IST91274041</t>
  </si>
  <si>
    <t>02-07-2025 06:38 AM</t>
  </si>
  <si>
    <t>Mariama Conteh</t>
  </si>
  <si>
    <t>OJY96377362</t>
  </si>
  <si>
    <t>Kapethe MCHP</t>
  </si>
  <si>
    <t>Mariama seray Bangura</t>
  </si>
  <si>
    <t>VVG04663148</t>
  </si>
  <si>
    <t>02-07-2025 06:36 AM</t>
  </si>
  <si>
    <t xml:space="preserve">Foday Francis Kargbo </t>
  </si>
  <si>
    <t>PEJ07212031</t>
  </si>
  <si>
    <t>Ishaka Mohamed Konneh</t>
  </si>
  <si>
    <t>RRQ60328833</t>
  </si>
  <si>
    <t>02-07-2025 06:33 AM</t>
  </si>
  <si>
    <t>AKI58103465</t>
  </si>
  <si>
    <t>02-07-2025 06:30 AM</t>
  </si>
  <si>
    <t xml:space="preserve">Fatu Alpha </t>
  </si>
  <si>
    <t>EAQ63834152</t>
  </si>
  <si>
    <t>02-07-2025 06:28 AM</t>
  </si>
  <si>
    <t xml:space="preserve">Hannah B Mustapha </t>
  </si>
  <si>
    <t>OIT85495782</t>
  </si>
  <si>
    <t>GAD92871495</t>
  </si>
  <si>
    <t>02-07-2025 06:25 AM</t>
  </si>
  <si>
    <t>QBU49998133</t>
  </si>
  <si>
    <t>02-07-2025 06:23 AM</t>
  </si>
  <si>
    <t xml:space="preserve">Rachael Sawyer </t>
  </si>
  <si>
    <t>XUT77474301</t>
  </si>
  <si>
    <t>02-07-2025 06:19 AM</t>
  </si>
  <si>
    <t>Christiana Daniel</t>
  </si>
  <si>
    <t>UCO55152578</t>
  </si>
  <si>
    <t>02-07-2025 06:13 AM</t>
  </si>
  <si>
    <t xml:space="preserve">Ruth M Kemokai </t>
  </si>
  <si>
    <t>CAN17276333</t>
  </si>
  <si>
    <t>ZDN35195873</t>
  </si>
  <si>
    <t>02-07-2025 06:10 AM</t>
  </si>
  <si>
    <t xml:space="preserve">Osman Bangura </t>
  </si>
  <si>
    <t>RHJ85784258</t>
  </si>
  <si>
    <t>PCO42419568</t>
  </si>
  <si>
    <t>ADF31509661</t>
  </si>
  <si>
    <t>02-07-2025 06:08 AM</t>
  </si>
  <si>
    <t xml:space="preserve">Janet Hannah Kallay </t>
  </si>
  <si>
    <t>JWE19481850</t>
  </si>
  <si>
    <t>02-07-2025 06:04 AM</t>
  </si>
  <si>
    <t>Sami Buma MCHP</t>
  </si>
  <si>
    <t xml:space="preserve">Isatu Cole </t>
  </si>
  <si>
    <t>OKW84386036</t>
  </si>
  <si>
    <t>02-07-2025 06:01 AM</t>
  </si>
  <si>
    <t>DNR95077018</t>
  </si>
  <si>
    <t>02-07-2025 05:59 AM</t>
  </si>
  <si>
    <t>WFG96260249</t>
  </si>
  <si>
    <t>02-07-2025 05:58 AM</t>
  </si>
  <si>
    <t>JUZ06837532</t>
  </si>
  <si>
    <t>02-07-2025 05:56 AM</t>
  </si>
  <si>
    <t>Baoma CHP</t>
  </si>
  <si>
    <t>Mohamed A koroma</t>
  </si>
  <si>
    <t>PRD30547638</t>
  </si>
  <si>
    <t>02-07-2025 05:51 AM</t>
  </si>
  <si>
    <t>ZZP44090570</t>
  </si>
  <si>
    <t>02-07-2025 05:46 AM</t>
  </si>
  <si>
    <t>WPZ67400449</t>
  </si>
  <si>
    <t>02-07-2025 05:45 AM</t>
  </si>
  <si>
    <t xml:space="preserve">Gabriel kailie </t>
  </si>
  <si>
    <t>GTV13656698</t>
  </si>
  <si>
    <t>VUS76112010</t>
  </si>
  <si>
    <t>02-07-2025 05:44 AM</t>
  </si>
  <si>
    <t>Kayonkoro CHP</t>
  </si>
  <si>
    <t>Mamusu Turay</t>
  </si>
  <si>
    <t>RKZ31014661</t>
  </si>
  <si>
    <t>02-07-2025 05:42 AM</t>
  </si>
  <si>
    <t>AJR95342581</t>
  </si>
  <si>
    <t>PSD43242784</t>
  </si>
  <si>
    <t>HKF35504380</t>
  </si>
  <si>
    <t>02-07-2025 05:31 AM</t>
  </si>
  <si>
    <t xml:space="preserve">Kumba f bangura </t>
  </si>
  <si>
    <t>NJL51512832</t>
  </si>
  <si>
    <t>Alie Sesay</t>
  </si>
  <si>
    <t>MPK11632257</t>
  </si>
  <si>
    <t>02-07-2025 05:25 AM</t>
  </si>
  <si>
    <t>QOU32188727</t>
  </si>
  <si>
    <t>02-07-2025 05:21 AM</t>
  </si>
  <si>
    <t xml:space="preserve">Fatmata Bangura </t>
  </si>
  <si>
    <t>TUN70177714</t>
  </si>
  <si>
    <t>02-07-2025 05:10 AM</t>
  </si>
  <si>
    <t>02-07-2025 05:16 AM</t>
  </si>
  <si>
    <t>CVN26325553</t>
  </si>
  <si>
    <t>30-06-2025 08:31 AM</t>
  </si>
  <si>
    <t>02-07-2025 05:11 AM</t>
  </si>
  <si>
    <t>Fatama Gaima</t>
  </si>
  <si>
    <t>KQO66587586</t>
  </si>
  <si>
    <t>30-06-2025 08:19 AM</t>
  </si>
  <si>
    <t>Fatmata Gaima</t>
  </si>
  <si>
    <t>MVW33723475</t>
  </si>
  <si>
    <t>02-07-2025 05:09 AM</t>
  </si>
  <si>
    <t>Mariatu Kanu</t>
  </si>
  <si>
    <t>GWB88638769</t>
  </si>
  <si>
    <t>02-07-2025 05:08 AM</t>
  </si>
  <si>
    <t xml:space="preserve">Rosaline Koroma </t>
  </si>
  <si>
    <t>RWB56694653</t>
  </si>
  <si>
    <t>02-07-2025 05:06 AM</t>
  </si>
  <si>
    <t>JOT40641278</t>
  </si>
  <si>
    <t>02-07-2025 05:02 AM</t>
  </si>
  <si>
    <t>YZJ67185030</t>
  </si>
  <si>
    <t>02-07-2025 04:58 AM</t>
  </si>
  <si>
    <t>Amie koroma</t>
  </si>
  <si>
    <t>ERJ78657310</t>
  </si>
  <si>
    <t>02-07-2025 04:56 AM</t>
  </si>
  <si>
    <t>02-07-2025 04:57 AM</t>
  </si>
  <si>
    <t>JXC91732661</t>
  </si>
  <si>
    <t>02-07-2025 04:55 AM</t>
  </si>
  <si>
    <t>CUD50020388</t>
  </si>
  <si>
    <t>02-07-2025 04:54 AM</t>
  </si>
  <si>
    <t xml:space="preserve">Fatmata Ellie </t>
  </si>
  <si>
    <t>CZQ83252071</t>
  </si>
  <si>
    <t>Niagorehun Vaakie MCHP</t>
  </si>
  <si>
    <t xml:space="preserve">Serah Labor </t>
  </si>
  <si>
    <t>DLN57997197</t>
  </si>
  <si>
    <t>02-07-2025 04:31 AM</t>
  </si>
  <si>
    <t>02-07-2025 04:32 AM</t>
  </si>
  <si>
    <t>Kiampkakolo MCHP</t>
  </si>
  <si>
    <t xml:space="preserve">Fatmata N Kamara </t>
  </si>
  <si>
    <t>BTS16425522</t>
  </si>
  <si>
    <t>02-07-2025 04:26 AM</t>
  </si>
  <si>
    <t>02-07-2025 04:27 AM</t>
  </si>
  <si>
    <t xml:space="preserve">Martha Samba </t>
  </si>
  <si>
    <t>QTS86035468</t>
  </si>
  <si>
    <t>02-07-2025 04:24 AM</t>
  </si>
  <si>
    <t>ZCI12545774</t>
  </si>
  <si>
    <t>02-07-2025 04:15 AM</t>
  </si>
  <si>
    <t>Makaiba MCHP</t>
  </si>
  <si>
    <t xml:space="preserve">Isata SOS Tarawalie </t>
  </si>
  <si>
    <t>JZY07903353</t>
  </si>
  <si>
    <t>02-07-2025 04:04 AM</t>
  </si>
  <si>
    <t>MUY88542381</t>
  </si>
  <si>
    <t>02-07-2025 04:00 AM</t>
  </si>
  <si>
    <t xml:space="preserve">Daniel jumu </t>
  </si>
  <si>
    <t>MFY47959900</t>
  </si>
  <si>
    <t>02-07-2025 03:55 AM</t>
  </si>
  <si>
    <t>VZU87598630</t>
  </si>
  <si>
    <t>02-07-2025 03:23 AM</t>
  </si>
  <si>
    <t>Kpumbu MCHP</t>
  </si>
  <si>
    <t xml:space="preserve">Florence Mansaray </t>
  </si>
  <si>
    <t>OCQ31393571</t>
  </si>
  <si>
    <t>02-07-2025 03:06 AM</t>
  </si>
  <si>
    <t>Foindu MCHP</t>
  </si>
  <si>
    <t xml:space="preserve">Mabel Sartie </t>
  </si>
  <si>
    <t>KHL90023888</t>
  </si>
  <si>
    <t>02-07-2025 03:00 AM</t>
  </si>
  <si>
    <t>GFI81479183</t>
  </si>
  <si>
    <t>02-07-2025 02:58 AM</t>
  </si>
  <si>
    <t>Mabel y</t>
  </si>
  <si>
    <t>ZTV40127490</t>
  </si>
  <si>
    <t>02-07-2025 02:46 AM</t>
  </si>
  <si>
    <t>NTU36065096</t>
  </si>
  <si>
    <t>02-07-2025 02:35 AM</t>
  </si>
  <si>
    <t>NLD62750839</t>
  </si>
  <si>
    <t>01-07-2025 08:04 AM</t>
  </si>
  <si>
    <t>02-07-2025 02:33 AM</t>
  </si>
  <si>
    <t>IWL14521054</t>
  </si>
  <si>
    <t>01-07-2025 07:06 AM</t>
  </si>
  <si>
    <t>ZZQ12075685</t>
  </si>
  <si>
    <t>02-07-2025 01:45 AM</t>
  </si>
  <si>
    <t>VAQ15577478</t>
  </si>
  <si>
    <t>01-07-2025 11:11 AM</t>
  </si>
  <si>
    <t>02-07-2025 01:41 AM</t>
  </si>
  <si>
    <t>DNV21531616</t>
  </si>
  <si>
    <t>02-07-2025 01:08 AM</t>
  </si>
  <si>
    <t xml:space="preserve">Melrose </t>
  </si>
  <si>
    <t>GKR87217180</t>
  </si>
  <si>
    <t>02-07-2025 01:05 AM</t>
  </si>
  <si>
    <t>NMX56381533</t>
  </si>
  <si>
    <t>01-07-2025 05:19 PM</t>
  </si>
  <si>
    <t>TPE27298594</t>
  </si>
  <si>
    <t>01-07-2025 05:16 PM</t>
  </si>
  <si>
    <t xml:space="preserve">Anthonett M Alpha </t>
  </si>
  <si>
    <t>SSK01814900</t>
  </si>
  <si>
    <t>01-07-2025 05:14 PM</t>
  </si>
  <si>
    <t xml:space="preserve">Beatrice Manyeh </t>
  </si>
  <si>
    <t>NSY22097906</t>
  </si>
  <si>
    <t>01-07-2025 05:10 PM</t>
  </si>
  <si>
    <t xml:space="preserve">Josephine F. Fannah </t>
  </si>
  <si>
    <t>JNP66108935</t>
  </si>
  <si>
    <t>01-07-2025 05:07 PM</t>
  </si>
  <si>
    <t>TFL12254583</t>
  </si>
  <si>
    <t>01-07-2025 05:04 PM</t>
  </si>
  <si>
    <t>Anthonett M Alpha</t>
  </si>
  <si>
    <t>ATO22434181</t>
  </si>
  <si>
    <t>01-07-2025 05:02 PM</t>
  </si>
  <si>
    <t>OFN06899426</t>
  </si>
  <si>
    <t>01-07-2025 04:59 PM</t>
  </si>
  <si>
    <t>GDW70488431</t>
  </si>
  <si>
    <t>01-07-2025 04:02 PM</t>
  </si>
  <si>
    <t xml:space="preserve">Mabel Kuyembah </t>
  </si>
  <si>
    <t>UUZ02038498</t>
  </si>
  <si>
    <t>01-07-2025 03:58 PM</t>
  </si>
  <si>
    <t>DWW56655709</t>
  </si>
  <si>
    <t>01-07-2025 10:47 AM</t>
  </si>
  <si>
    <t>01-07-2025 03:11 PM</t>
  </si>
  <si>
    <t>PRZ03155730</t>
  </si>
  <si>
    <t>30-06-2025 02:30 PM</t>
  </si>
  <si>
    <t>01-07-2025 03:08 PM</t>
  </si>
  <si>
    <t>WGB85408474</t>
  </si>
  <si>
    <t>01-07-2025 02:52 PM</t>
  </si>
  <si>
    <t>Mano MCHP</t>
  </si>
  <si>
    <t xml:space="preserve">Irene. Hawa. MoSeray </t>
  </si>
  <si>
    <t>XGS21983333</t>
  </si>
  <si>
    <t>01-07-2025 02:47 PM</t>
  </si>
  <si>
    <t>UDU98037711</t>
  </si>
  <si>
    <t>01-07-2025 02:25 PM</t>
  </si>
  <si>
    <t>JPV09993194</t>
  </si>
  <si>
    <t>01-07-2025 02:22 PM</t>
  </si>
  <si>
    <t>01-07-2025 02:23 PM</t>
  </si>
  <si>
    <t>ULG12098761</t>
  </si>
  <si>
    <t>01-07-2025 02:19 PM</t>
  </si>
  <si>
    <t xml:space="preserve">Jerry Lahai Amara </t>
  </si>
  <si>
    <t>DIC69212711</t>
  </si>
  <si>
    <t>01-07-2025 02:16 PM</t>
  </si>
  <si>
    <t>YPZ28101898</t>
  </si>
  <si>
    <t>01-07-2025 02:12 PM</t>
  </si>
  <si>
    <t>CES63405970</t>
  </si>
  <si>
    <t>UAY24435748</t>
  </si>
  <si>
    <t>01-07-2025 01:31 PM</t>
  </si>
  <si>
    <t>SUS32623220</t>
  </si>
  <si>
    <t>01-07-2025 01:28 PM</t>
  </si>
  <si>
    <t>YQN26534884</t>
  </si>
  <si>
    <t>01-07-2025 01:26 PM</t>
  </si>
  <si>
    <t>Njala CHC</t>
  </si>
  <si>
    <t xml:space="preserve">Lucinda Josiah </t>
  </si>
  <si>
    <t>CVW68900273</t>
  </si>
  <si>
    <t>01-07-2025 01:11 PM</t>
  </si>
  <si>
    <t>QDS33789117</t>
  </si>
  <si>
    <t>01-07-2025 01:07 PM</t>
  </si>
  <si>
    <t>Kamaranka CHC</t>
  </si>
  <si>
    <t>BCF02836961</t>
  </si>
  <si>
    <t>01-07-2025 12:53 PM</t>
  </si>
  <si>
    <t>Pujehun CHP</t>
  </si>
  <si>
    <t>Hawa sheriff</t>
  </si>
  <si>
    <t>QLR43059389</t>
  </si>
  <si>
    <t>01-07-2025 12:29 PM</t>
  </si>
  <si>
    <t>SES39117377</t>
  </si>
  <si>
    <t>01-07-2025 12:28 PM</t>
  </si>
  <si>
    <t>VMZ36090980</t>
  </si>
  <si>
    <t>01-07-2025 12:14 PM</t>
  </si>
  <si>
    <t>XEO85146293</t>
  </si>
  <si>
    <t>01-07-2025 12:10 PM</t>
  </si>
  <si>
    <t>GWX14653714</t>
  </si>
  <si>
    <t>01-07-2025 12:03 PM</t>
  </si>
  <si>
    <t>01-07-2025 12:07 PM</t>
  </si>
  <si>
    <t>Kadiatu Baby Kamara</t>
  </si>
  <si>
    <t>IBK17321849</t>
  </si>
  <si>
    <t>01-07-2025 11:42 AM</t>
  </si>
  <si>
    <t>01-07-2025 12:02 PM</t>
  </si>
  <si>
    <t xml:space="preserve">Fatmata Binta Barrie </t>
  </si>
  <si>
    <t>YES41110609</t>
  </si>
  <si>
    <t>01-07-2025 12:00 PM</t>
  </si>
  <si>
    <t>XXG35036484</t>
  </si>
  <si>
    <t>01-07-2025 11:36 AM</t>
  </si>
  <si>
    <t>Emma m kamara</t>
  </si>
  <si>
    <t>MWP95081003</t>
  </si>
  <si>
    <t>01-07-2025 11:22 AM</t>
  </si>
  <si>
    <t>01-07-2025 11:31 AM</t>
  </si>
  <si>
    <t>Musa M. Ghaliwai</t>
  </si>
  <si>
    <t>WGC60264121</t>
  </si>
  <si>
    <t>01-07-2025 11:29 AM</t>
  </si>
  <si>
    <t xml:space="preserve">Emmanuel Thomas </t>
  </si>
  <si>
    <t>ODK63434739</t>
  </si>
  <si>
    <t>01-07-2025 09:51 AM</t>
  </si>
  <si>
    <t>01-07-2025 11:23 AM</t>
  </si>
  <si>
    <t>RBK63229155</t>
  </si>
  <si>
    <t>XAY24721815</t>
  </si>
  <si>
    <t>01-07-2025 11:19 AM</t>
  </si>
  <si>
    <t>QNZ87058813</t>
  </si>
  <si>
    <t>01-07-2025 11:18 AM</t>
  </si>
  <si>
    <t>Rashid ASP Yayie</t>
  </si>
  <si>
    <t>MGU11913885</t>
  </si>
  <si>
    <t>DWO24071086</t>
  </si>
  <si>
    <t>01-07-2025 11:15 AM</t>
  </si>
  <si>
    <t>FCZ14569391</t>
  </si>
  <si>
    <t>01-07-2025 11:12 AM</t>
  </si>
  <si>
    <t>01-07-2025 11:17 AM</t>
  </si>
  <si>
    <t>EWI88147764</t>
  </si>
  <si>
    <t>01-07-2025 11:06 AM</t>
  </si>
  <si>
    <t>01-07-2025 11:13 AM</t>
  </si>
  <si>
    <t>CGP64431611</t>
  </si>
  <si>
    <t xml:space="preserve">Kadiatu Baby Kamara </t>
  </si>
  <si>
    <t>KGK63609425</t>
  </si>
  <si>
    <t>01-07-2025 11:09 AM</t>
  </si>
  <si>
    <t>Musiu Rosaline Foday</t>
  </si>
  <si>
    <t>MPO14434174</t>
  </si>
  <si>
    <t>Mariana Steven</t>
  </si>
  <si>
    <t>PVO89979896</t>
  </si>
  <si>
    <t>01-07-2025 10:59 AM</t>
  </si>
  <si>
    <t>FPQ69725731</t>
  </si>
  <si>
    <t>01-07-2025 05:03 AM</t>
  </si>
  <si>
    <t>01-07-2025 10:58 AM</t>
  </si>
  <si>
    <t>OKB28566190</t>
  </si>
  <si>
    <t>01-07-2025 04:11 AM</t>
  </si>
  <si>
    <t>01-07-2025 10:56 AM</t>
  </si>
  <si>
    <t>VJU41946613</t>
  </si>
  <si>
    <t>01-07-2025 04:09 AM</t>
  </si>
  <si>
    <t>Massela F Sheriff</t>
  </si>
  <si>
    <t>ETM11907046</t>
  </si>
  <si>
    <t>01-07-2025 10:54 AM</t>
  </si>
  <si>
    <t>YXB01252427</t>
  </si>
  <si>
    <t>01-07-2025 10:51 AM</t>
  </si>
  <si>
    <t>XJX66912897</t>
  </si>
  <si>
    <t>01-07-2025 10:49 AM</t>
  </si>
  <si>
    <t>FBC63101418</t>
  </si>
  <si>
    <t>QCZ28140298</t>
  </si>
  <si>
    <t>01-07-2025 10:31 AM</t>
  </si>
  <si>
    <t>01-07-2025 10:48 AM</t>
  </si>
  <si>
    <t xml:space="preserve">Elizabeth m kebbie </t>
  </si>
  <si>
    <t>AFB80850446</t>
  </si>
  <si>
    <t>Hawanatu Ngevao</t>
  </si>
  <si>
    <t>GSK37148164</t>
  </si>
  <si>
    <t>01-07-2025 10:46 AM</t>
  </si>
  <si>
    <t>SVK68770931</t>
  </si>
  <si>
    <t>01-07-2025 09:50 AM</t>
  </si>
  <si>
    <t xml:space="preserve">Ishmael Mulai </t>
  </si>
  <si>
    <t>HMB44229358</t>
  </si>
  <si>
    <t>01-07-2025 09:39 AM</t>
  </si>
  <si>
    <t>PIR69560806</t>
  </si>
  <si>
    <t>01-07-2025 09:27 AM</t>
  </si>
  <si>
    <t>TAQ54623258</t>
  </si>
  <si>
    <t>01-07-2025 10:44 AM</t>
  </si>
  <si>
    <t xml:space="preserve">Isata Frances Vandy </t>
  </si>
  <si>
    <t>GLZ56071506</t>
  </si>
  <si>
    <t>01-07-2025 10:43 AM</t>
  </si>
  <si>
    <t xml:space="preserve">Agnes B kallon </t>
  </si>
  <si>
    <t>JLQ42119996</t>
  </si>
  <si>
    <t>01-07-2025 10:41 AM</t>
  </si>
  <si>
    <t>ZOT95710885</t>
  </si>
  <si>
    <t>01-07-2025 10:39 AM</t>
  </si>
  <si>
    <t>GLH69090778</t>
  </si>
  <si>
    <t>01-07-2025 10:37 AM</t>
  </si>
  <si>
    <t>GMT06957940</t>
  </si>
  <si>
    <t>01-07-2025 10:09 AM</t>
  </si>
  <si>
    <t>01-07-2025 10:34 AM</t>
  </si>
  <si>
    <t>HIF89823379</t>
  </si>
  <si>
    <t>01-07-2025 10:33 AM</t>
  </si>
  <si>
    <t>LXA70954762</t>
  </si>
  <si>
    <t>01-07-2025 10:32 AM</t>
  </si>
  <si>
    <t>QKN58586615</t>
  </si>
  <si>
    <t>01-07-2025 10:30 AM</t>
  </si>
  <si>
    <t>FVV16313160</t>
  </si>
  <si>
    <t>01-07-2025 10:28 AM</t>
  </si>
  <si>
    <t>Augusta M Nylander</t>
  </si>
  <si>
    <t>FBO69263047</t>
  </si>
  <si>
    <t xml:space="preserve">Isata Vandy </t>
  </si>
  <si>
    <t>HVF72965069</t>
  </si>
  <si>
    <t>Fatmata Turay</t>
  </si>
  <si>
    <t>EPA01001731</t>
  </si>
  <si>
    <t>ETF14331862</t>
  </si>
  <si>
    <t>EYI91698153</t>
  </si>
  <si>
    <t>01-07-2025 10:25 AM</t>
  </si>
  <si>
    <t>CPY79540805</t>
  </si>
  <si>
    <t>DUM39113388</t>
  </si>
  <si>
    <t>01-07-2025 10:22 AM</t>
  </si>
  <si>
    <t xml:space="preserve">Hassanatu N kamara </t>
  </si>
  <si>
    <t>ILG85426738</t>
  </si>
  <si>
    <t>Ngiyehun MCHP</t>
  </si>
  <si>
    <t xml:space="preserve">Kadiatu Yokie </t>
  </si>
  <si>
    <t>HQN73724735</t>
  </si>
  <si>
    <t>30-06-2025 10:37 AM</t>
  </si>
  <si>
    <t>ZFY63386134</t>
  </si>
  <si>
    <t>30-06-2025 06:52 AM</t>
  </si>
  <si>
    <t>Kadiatu Yokie</t>
  </si>
  <si>
    <t>SXD93730808</t>
  </si>
  <si>
    <t>01-07-2025 10:21 AM</t>
  </si>
  <si>
    <t>IGL37988717</t>
  </si>
  <si>
    <t>01-07-2025 10:20 AM</t>
  </si>
  <si>
    <t>Agnes B Kallon</t>
  </si>
  <si>
    <t>BQP82882440</t>
  </si>
  <si>
    <t xml:space="preserve">Sheku sheriff </t>
  </si>
  <si>
    <t>AFX43826385</t>
  </si>
  <si>
    <t>01-07-2025 10:15 AM</t>
  </si>
  <si>
    <t>KOU01930216</t>
  </si>
  <si>
    <t>01-07-2025 10:12 AM</t>
  </si>
  <si>
    <t>Musa Allieu</t>
  </si>
  <si>
    <t>GOK86765193</t>
  </si>
  <si>
    <t>QJQ88987212</t>
  </si>
  <si>
    <t>01-07-2025 10:06 AM</t>
  </si>
  <si>
    <t>LDF81353584</t>
  </si>
  <si>
    <t>Kagbo MCHP</t>
  </si>
  <si>
    <t xml:space="preserve">CHRISTIANA SERAY CONTEH </t>
  </si>
  <si>
    <t>WWA74588119</t>
  </si>
  <si>
    <t>VKZ86772221</t>
  </si>
  <si>
    <t>01-07-2025 10:05 AM</t>
  </si>
  <si>
    <t>NFL39241116</t>
  </si>
  <si>
    <t>01-07-2025 10:04 AM</t>
  </si>
  <si>
    <t>URC96365664</t>
  </si>
  <si>
    <t>01-07-2025 10:02 AM</t>
  </si>
  <si>
    <t>QMT63527212</t>
  </si>
  <si>
    <t>01-07-2025 10:01 AM</t>
  </si>
  <si>
    <t>Isha N Bangura</t>
  </si>
  <si>
    <t>OCF02914215</t>
  </si>
  <si>
    <t>01-07-2025 09:57 AM</t>
  </si>
  <si>
    <t>KGD94914196</t>
  </si>
  <si>
    <t>01-07-2025 09:54 AM</t>
  </si>
  <si>
    <t>QUP24845349</t>
  </si>
  <si>
    <t>Humu sankoh</t>
  </si>
  <si>
    <t>TXD04305276</t>
  </si>
  <si>
    <t xml:space="preserve">Fatmata koroma </t>
  </si>
  <si>
    <t>YGS28630810</t>
  </si>
  <si>
    <t>01-07-2025 09:48 AM</t>
  </si>
  <si>
    <t>JSF47764659</t>
  </si>
  <si>
    <t xml:space="preserve">Hawa Koroma </t>
  </si>
  <si>
    <t>JCH92421737</t>
  </si>
  <si>
    <t>PYM75282583</t>
  </si>
  <si>
    <t>01-07-2025 09:46 AM</t>
  </si>
  <si>
    <t>WEW41952037</t>
  </si>
  <si>
    <t>Gerihun CHC</t>
  </si>
  <si>
    <t xml:space="preserve">Fatmata Sawaneh </t>
  </si>
  <si>
    <t>RJB58225176</t>
  </si>
  <si>
    <t>Ibrahim Jabbie</t>
  </si>
  <si>
    <t>BIL56276980</t>
  </si>
  <si>
    <t>01-07-2025 09:44 AM</t>
  </si>
  <si>
    <t>Mohamed Rahman Sesay</t>
  </si>
  <si>
    <t>FWR03042521</t>
  </si>
  <si>
    <t>01-07-2025 09:43 AM</t>
  </si>
  <si>
    <t>DOM04297163</t>
  </si>
  <si>
    <t>01-07-2025 09:41 AM</t>
  </si>
  <si>
    <t>BLU98133806</t>
  </si>
  <si>
    <t>WWU33031452</t>
  </si>
  <si>
    <t>01-07-2025 09:37 AM</t>
  </si>
  <si>
    <t>TWZ46250641</t>
  </si>
  <si>
    <t>IDN71831001</t>
  </si>
  <si>
    <t>01-07-2025 09:33 AM</t>
  </si>
  <si>
    <t>Alice Bangura</t>
  </si>
  <si>
    <t>JGC69654328</t>
  </si>
  <si>
    <t>01-07-2025 09:32 AM</t>
  </si>
  <si>
    <t>YDU08450820</t>
  </si>
  <si>
    <t>01-07-2025 09:29 AM</t>
  </si>
  <si>
    <t>01-07-2025 09:30 AM</t>
  </si>
  <si>
    <t>AAZ10850003</t>
  </si>
  <si>
    <t>WIX77282029</t>
  </si>
  <si>
    <t>DKQ46541883</t>
  </si>
  <si>
    <t>01-07-2025 09:25 AM</t>
  </si>
  <si>
    <t>QHT51038565</t>
  </si>
  <si>
    <t>01-07-2025 09:23 AM</t>
  </si>
  <si>
    <t>BGK31354200</t>
  </si>
  <si>
    <t>01-07-2025 09:21 AM</t>
  </si>
  <si>
    <t>EFV21582744</t>
  </si>
  <si>
    <t>01-07-2025 09:20 AM</t>
  </si>
  <si>
    <t>BMD47919474</t>
  </si>
  <si>
    <t>YTQ38344461</t>
  </si>
  <si>
    <t>01-07-2025 09:18 AM</t>
  </si>
  <si>
    <t xml:space="preserve">Mariatu Munu </t>
  </si>
  <si>
    <t>MZE61912352</t>
  </si>
  <si>
    <t>01-07-2025 08:25 AM</t>
  </si>
  <si>
    <t>Esther tarawalie</t>
  </si>
  <si>
    <t>MIK85514800</t>
  </si>
  <si>
    <t>01-07-2025 09:09 AM</t>
  </si>
  <si>
    <t>01-07-2025 09:16 AM</t>
  </si>
  <si>
    <t>QRR96152017</t>
  </si>
  <si>
    <t>01-07-2025 09:12 AM</t>
  </si>
  <si>
    <t>Mariatu Munu</t>
  </si>
  <si>
    <t>APT45632321</t>
  </si>
  <si>
    <t>01-07-2025 09:11 AM</t>
  </si>
  <si>
    <t xml:space="preserve">Fanny swaray </t>
  </si>
  <si>
    <t>FVX96389532</t>
  </si>
  <si>
    <t>01-07-2025 09:06 AM</t>
  </si>
  <si>
    <t>Kakorla MCHP</t>
  </si>
  <si>
    <t>0179</t>
  </si>
  <si>
    <t xml:space="preserve">Mariatu Turay </t>
  </si>
  <si>
    <t>MCR55480560</t>
  </si>
  <si>
    <t>01-07-2025 09:04 AM</t>
  </si>
  <si>
    <t>Mohamed Bangura</t>
  </si>
  <si>
    <t>LJC20850511</t>
  </si>
  <si>
    <t>01-07-2025 09:03 AM</t>
  </si>
  <si>
    <t>SRR72964006</t>
  </si>
  <si>
    <t>01-07-2025 08:58 AM</t>
  </si>
  <si>
    <t>James b fornah</t>
  </si>
  <si>
    <t>VSD69912926</t>
  </si>
  <si>
    <t>01-07-2025 08:56 AM</t>
  </si>
  <si>
    <t>EOH89499684</t>
  </si>
  <si>
    <t>01-07-2025 08:54 AM</t>
  </si>
  <si>
    <t>WKB12940424</t>
  </si>
  <si>
    <t>01-07-2025 08:47 AM</t>
  </si>
  <si>
    <t>01-07-2025 08:52 AM</t>
  </si>
  <si>
    <t>CTR54536338</t>
  </si>
  <si>
    <t>Gboyama CHC</t>
  </si>
  <si>
    <t xml:space="preserve">Noah Alhaji Massaquoi </t>
  </si>
  <si>
    <t>ZSD14556199</t>
  </si>
  <si>
    <t>01-07-2025 08:51 AM</t>
  </si>
  <si>
    <t>Dora Hinckley</t>
  </si>
  <si>
    <t>KGZ39796232</t>
  </si>
  <si>
    <t>01-07-2025 08:50 AM</t>
  </si>
  <si>
    <t>Rebecca M Sandy</t>
  </si>
  <si>
    <t>IPN31711336</t>
  </si>
  <si>
    <t>01-07-2025 08:49 AM</t>
  </si>
  <si>
    <t>ZXE96363363</t>
  </si>
  <si>
    <t>01-07-2025 08:46 AM</t>
  </si>
  <si>
    <t xml:space="preserve"> Dora Hinckley</t>
  </si>
  <si>
    <t>FHM75043766</t>
  </si>
  <si>
    <t>01-07-2025 08:44 AM</t>
  </si>
  <si>
    <t xml:space="preserve">Isata Swarray </t>
  </si>
  <si>
    <t>VUF19282442</t>
  </si>
  <si>
    <t xml:space="preserve">Moses koroma </t>
  </si>
  <si>
    <t>AGK11114288</t>
  </si>
  <si>
    <t>01-07-2025 08:43 AM</t>
  </si>
  <si>
    <t>GLV74359421</t>
  </si>
  <si>
    <t>01-07-2025 08:39 AM</t>
  </si>
  <si>
    <t>PPT64363687</t>
  </si>
  <si>
    <t>01-07-2025 08:38 AM</t>
  </si>
  <si>
    <t>MDB22793149</t>
  </si>
  <si>
    <t>01-07-2025 08:32 AM</t>
  </si>
  <si>
    <t>TDX40924994</t>
  </si>
  <si>
    <t>BRJ50168366</t>
  </si>
  <si>
    <t>01-07-2025 08:24 AM</t>
  </si>
  <si>
    <t xml:space="preserve">Abibatu sesay </t>
  </si>
  <si>
    <t>WTJ89226384</t>
  </si>
  <si>
    <t>01-07-2025 08:21 AM</t>
  </si>
  <si>
    <t>HBV27931379</t>
  </si>
  <si>
    <t>01-07-2025 08:14 AM</t>
  </si>
  <si>
    <t>Marie.  Kannu</t>
  </si>
  <si>
    <t>SFZ96349333</t>
  </si>
  <si>
    <t xml:space="preserve">Kadiatu J conteh </t>
  </si>
  <si>
    <t>ZKZ95672845</t>
  </si>
  <si>
    <t>01-07-2025 08:13 AM</t>
  </si>
  <si>
    <t>KEA42821820</t>
  </si>
  <si>
    <t>PDW76422066</t>
  </si>
  <si>
    <t>01-07-2025 08:07 AM</t>
  </si>
  <si>
    <t>01-07-2025 08:09 AM</t>
  </si>
  <si>
    <t>Sento Bangura</t>
  </si>
  <si>
    <t>WMZ23810842</t>
  </si>
  <si>
    <t>01-07-2025 08:06 AM</t>
  </si>
  <si>
    <t>ZIA88530092</t>
  </si>
  <si>
    <t>Zainab B  serry</t>
  </si>
  <si>
    <t>MIO48301650</t>
  </si>
  <si>
    <t>01-07-2025 08:08 AM</t>
  </si>
  <si>
    <t xml:space="preserve">Magdaline Tucker </t>
  </si>
  <si>
    <t>KHG51129062</t>
  </si>
  <si>
    <t xml:space="preserve">James  Bangura </t>
  </si>
  <si>
    <t>MKE45909626</t>
  </si>
  <si>
    <t>YIH81411407</t>
  </si>
  <si>
    <t>01-07-2025 08:03 AM</t>
  </si>
  <si>
    <t>Marie Kanu</t>
  </si>
  <si>
    <t>KLT33633781</t>
  </si>
  <si>
    <t>TOY12753069</t>
  </si>
  <si>
    <t>Mohamed</t>
  </si>
  <si>
    <t>FQX11100125</t>
  </si>
  <si>
    <t>01-07-2025 07:58 AM</t>
  </si>
  <si>
    <t>Mariama S Jusu</t>
  </si>
  <si>
    <t>UMU65551404</t>
  </si>
  <si>
    <t>01-07-2025 07:57 AM</t>
  </si>
  <si>
    <t>QYF76539507</t>
  </si>
  <si>
    <t>SCJ20746392</t>
  </si>
  <si>
    <t>01-07-2025 07:55 AM</t>
  </si>
  <si>
    <t>Masongbo Limba MCHP</t>
  </si>
  <si>
    <t>Sarah Mansaray</t>
  </si>
  <si>
    <t>RHU19735307</t>
  </si>
  <si>
    <t>01-07-2025 07:03 AM</t>
  </si>
  <si>
    <t>01-07-2025 07:51 AM</t>
  </si>
  <si>
    <t>UMY45370333</t>
  </si>
  <si>
    <t>01-07-2025 07:48 AM</t>
  </si>
  <si>
    <t>HSE97148880</t>
  </si>
  <si>
    <t>01-07-2025 07:33 AM</t>
  </si>
  <si>
    <t>BSI51207798</t>
  </si>
  <si>
    <t>VVA00675285</t>
  </si>
  <si>
    <t>01-07-2025 07:18 AM</t>
  </si>
  <si>
    <t>SVG63218313</t>
  </si>
  <si>
    <t>01-07-2025 07:46 AM</t>
  </si>
  <si>
    <t xml:space="preserve">Josephine SM Moore </t>
  </si>
  <si>
    <t>NXV46982537</t>
  </si>
  <si>
    <t>01-07-2025 07:45 AM</t>
  </si>
  <si>
    <t>RGI99989564</t>
  </si>
  <si>
    <t>HFR47367539</t>
  </si>
  <si>
    <t>01-07-2025 07:42 AM</t>
  </si>
  <si>
    <t xml:space="preserve">Aruna Mansaray </t>
  </si>
  <si>
    <t>WGY50258581</t>
  </si>
  <si>
    <t>01-07-2025 07:41 AM</t>
  </si>
  <si>
    <t xml:space="preserve">Agnes  clement </t>
  </si>
  <si>
    <t>KSK81482518</t>
  </si>
  <si>
    <t>01-07-2025 07:40 AM</t>
  </si>
  <si>
    <t xml:space="preserve">Janet Koroma </t>
  </si>
  <si>
    <t>VBJ32877550</t>
  </si>
  <si>
    <t>CGO62432111</t>
  </si>
  <si>
    <t>01-07-2025 07:39 AM</t>
  </si>
  <si>
    <t>Rose Rogers</t>
  </si>
  <si>
    <t>HEB00174072</t>
  </si>
  <si>
    <t>01-07-2025 07:36 AM</t>
  </si>
  <si>
    <t>Sonora kamara</t>
  </si>
  <si>
    <t>BCS56295520</t>
  </si>
  <si>
    <t>Adama Ngandi</t>
  </si>
  <si>
    <t>HKP27418234</t>
  </si>
  <si>
    <t>01-07-2025 07:34 AM</t>
  </si>
  <si>
    <t>KYG04053394</t>
  </si>
  <si>
    <t>YBK70258019</t>
  </si>
  <si>
    <t>FMT40732051</t>
  </si>
  <si>
    <t>Kadiatu caulker</t>
  </si>
  <si>
    <t>OCP23148948</t>
  </si>
  <si>
    <t>QTP11318039</t>
  </si>
  <si>
    <t>01-07-2025 07:32 AM</t>
  </si>
  <si>
    <t>RUP88236969</t>
  </si>
  <si>
    <t>01-07-2025 07:31 AM</t>
  </si>
  <si>
    <t xml:space="preserve">Mohamed Koroma </t>
  </si>
  <si>
    <t>HJT51415575</t>
  </si>
  <si>
    <t>01-07-2025 07:29 AM</t>
  </si>
  <si>
    <t>OID77338676</t>
  </si>
  <si>
    <t>01-07-2025 07:25 AM</t>
  </si>
  <si>
    <t>Diana. Greene</t>
  </si>
  <si>
    <t>YEK41896799</t>
  </si>
  <si>
    <t>SRC51163144</t>
  </si>
  <si>
    <t>01-07-2025 07:24 AM</t>
  </si>
  <si>
    <t xml:space="preserve">Ibrahim Beckley </t>
  </si>
  <si>
    <t>BXY17765956</t>
  </si>
  <si>
    <t>01-07-2025 07:23 AM</t>
  </si>
  <si>
    <t>ETQ80607749</t>
  </si>
  <si>
    <t xml:space="preserve">Betty messie Bongroh </t>
  </si>
  <si>
    <t>WAE97086701</t>
  </si>
  <si>
    <t>01-07-2025 07:20 AM</t>
  </si>
  <si>
    <t xml:space="preserve">Fatmata H. Yagbaji </t>
  </si>
  <si>
    <t>LFB14127458</t>
  </si>
  <si>
    <t>Break Through MCHP</t>
  </si>
  <si>
    <t xml:space="preserve">Lydia Thomas </t>
  </si>
  <si>
    <t>CZP85547363</t>
  </si>
  <si>
    <t>01-07-2025 07:17 AM</t>
  </si>
  <si>
    <t>RFP98004840</t>
  </si>
  <si>
    <t>01-07-2025 07:14 AM</t>
  </si>
  <si>
    <t xml:space="preserve">Florence Kamara </t>
  </si>
  <si>
    <t>WRQ58884052</t>
  </si>
  <si>
    <t>01-07-2025 07:12 AM</t>
  </si>
  <si>
    <t>Mariama S.Jusu</t>
  </si>
  <si>
    <t>VUD22373353</t>
  </si>
  <si>
    <t>QVR12275388</t>
  </si>
  <si>
    <t>01-07-2025 07:10 AM</t>
  </si>
  <si>
    <t>NOK95902118</t>
  </si>
  <si>
    <t>01-07-2025 07:09 AM</t>
  </si>
  <si>
    <t>Francis Luseni</t>
  </si>
  <si>
    <t>VDQ20561534</t>
  </si>
  <si>
    <t>01-07-2025 07:05 AM</t>
  </si>
  <si>
    <t xml:space="preserve">Ibrahim H Koroma </t>
  </si>
  <si>
    <t>NQS17691717</t>
  </si>
  <si>
    <t>HXL96479026</t>
  </si>
  <si>
    <t>01-07-2025 07:04 AM</t>
  </si>
  <si>
    <t>RIA17759885</t>
  </si>
  <si>
    <t>DJI63175311</t>
  </si>
  <si>
    <t>01-07-2025 06:55 AM</t>
  </si>
  <si>
    <t>Kenema Blango CHP</t>
  </si>
  <si>
    <t>Martin .A.Tommy</t>
  </si>
  <si>
    <t>KKI31763712</t>
  </si>
  <si>
    <t>01-07-2025 06:54 AM</t>
  </si>
  <si>
    <t xml:space="preserve">Martha sovula </t>
  </si>
  <si>
    <t>WWT08750747</t>
  </si>
  <si>
    <t>01-07-2025 06:53 AM</t>
  </si>
  <si>
    <t>GDV67535448</t>
  </si>
  <si>
    <t xml:space="preserve">Fatmata </t>
  </si>
  <si>
    <t>WHE09666714</t>
  </si>
  <si>
    <t>01-07-2025 06:52 AM</t>
  </si>
  <si>
    <t>BIZ67712227</t>
  </si>
  <si>
    <t>01-07-2025 06:51 AM</t>
  </si>
  <si>
    <t>Fatmata Sandi</t>
  </si>
  <si>
    <t>GWE51832597</t>
  </si>
  <si>
    <t>01-07-2025 06:49 AM</t>
  </si>
  <si>
    <t xml:space="preserve">Fatmata yongu </t>
  </si>
  <si>
    <t>FIC38642902</t>
  </si>
  <si>
    <t>JIH28302905</t>
  </si>
  <si>
    <t>01-07-2025 06:46 AM</t>
  </si>
  <si>
    <t>HYC38308897</t>
  </si>
  <si>
    <t xml:space="preserve">Patricia kamara </t>
  </si>
  <si>
    <t>NUL78032242</t>
  </si>
  <si>
    <t>01-07-2025 06:45 AM</t>
  </si>
  <si>
    <t>ZRU09310389</t>
  </si>
  <si>
    <t>01-07-2025 06:44 AM</t>
  </si>
  <si>
    <t>ROR89755671</t>
  </si>
  <si>
    <t>01-07-2025 06:40 AM</t>
  </si>
  <si>
    <t>GRG43592105</t>
  </si>
  <si>
    <t>01-07-2025 06:39 AM</t>
  </si>
  <si>
    <t xml:space="preserve">Veronica R kamara </t>
  </si>
  <si>
    <t>MGC98854559</t>
  </si>
  <si>
    <t>LBV33810452</t>
  </si>
  <si>
    <t>01-07-2025 06:37 AM</t>
  </si>
  <si>
    <t>Kadiatu sanu</t>
  </si>
  <si>
    <t>JOX26237058</t>
  </si>
  <si>
    <t>01-07-2025 06:34 AM</t>
  </si>
  <si>
    <t xml:space="preserve">Isha Koroma </t>
  </si>
  <si>
    <t>HFB75724723</t>
  </si>
  <si>
    <t>01-07-2025 06:33 AM</t>
  </si>
  <si>
    <t>Mamusu Beatrice Conteh</t>
  </si>
  <si>
    <t>LYL53795392</t>
  </si>
  <si>
    <t>BSB07093699</t>
  </si>
  <si>
    <t>01-07-2025 06:32 AM</t>
  </si>
  <si>
    <t xml:space="preserve">Isha koroma </t>
  </si>
  <si>
    <t>ZVB70636715</t>
  </si>
  <si>
    <t>01-07-2025 06:31 AM</t>
  </si>
  <si>
    <t>CAC72609094</t>
  </si>
  <si>
    <t>01-07-2025 06:24 AM</t>
  </si>
  <si>
    <t>FXI05876108</t>
  </si>
  <si>
    <t>Lucy .M. Sam</t>
  </si>
  <si>
    <t>JPD26509622</t>
  </si>
  <si>
    <t>01-07-2025 06:14 AM</t>
  </si>
  <si>
    <t>VCG48388037</t>
  </si>
  <si>
    <t>JMA09925085</t>
  </si>
  <si>
    <t>01-07-2025 06:13 AM</t>
  </si>
  <si>
    <t>Foday Harding kallon</t>
  </si>
  <si>
    <t>QBT91502840</t>
  </si>
  <si>
    <t>01-07-2025 06:11 AM</t>
  </si>
  <si>
    <t>Fatmata Amie Gbla</t>
  </si>
  <si>
    <t>KIQ11108828</t>
  </si>
  <si>
    <t>01-07-2025 06:09 AM</t>
  </si>
  <si>
    <t>JOU92476783</t>
  </si>
  <si>
    <t>01-07-2025 06:08 AM</t>
  </si>
  <si>
    <t>FLQ61255410</t>
  </si>
  <si>
    <t>SAH92110255</t>
  </si>
  <si>
    <t>30-06-2025 07:35 AM</t>
  </si>
  <si>
    <t>UXE32870960</t>
  </si>
  <si>
    <t>01-07-2025 06:06 AM</t>
  </si>
  <si>
    <t>MVV84258103</t>
  </si>
  <si>
    <t>01-07-2025 06:01 AM</t>
  </si>
  <si>
    <t>HPJ74146266</t>
  </si>
  <si>
    <t>01-07-2025 05:58 AM</t>
  </si>
  <si>
    <t>Isata kargbo</t>
  </si>
  <si>
    <t>CZO75652053</t>
  </si>
  <si>
    <t>01-07-2025 05:49 AM</t>
  </si>
  <si>
    <t>Adama Ngamd</t>
  </si>
  <si>
    <t>XYJ46314290</t>
  </si>
  <si>
    <t>IGI15220464</t>
  </si>
  <si>
    <t>01-07-2025 05:47 AM</t>
  </si>
  <si>
    <t>LNA70364335</t>
  </si>
  <si>
    <t>Adama Lakoh</t>
  </si>
  <si>
    <t>GHN40773557</t>
  </si>
  <si>
    <t>01-07-2025 05:46 AM</t>
  </si>
  <si>
    <t>Fatu sillah</t>
  </si>
  <si>
    <t>OID72995832</t>
  </si>
  <si>
    <t>01-07-2025 05:45 AM</t>
  </si>
  <si>
    <t>Fatu Sillah</t>
  </si>
  <si>
    <t>DYY78856474</t>
  </si>
  <si>
    <t>KQR37835644</t>
  </si>
  <si>
    <t>01-07-2025 05:42 AM</t>
  </si>
  <si>
    <t>Amidu T.Jalloh</t>
  </si>
  <si>
    <t>JRX29226183</t>
  </si>
  <si>
    <t>01-07-2025 05:36 AM</t>
  </si>
  <si>
    <t>ANS96944617</t>
  </si>
  <si>
    <t>01-07-2025 05:33 AM</t>
  </si>
  <si>
    <t>KLU90055791</t>
  </si>
  <si>
    <t>BMI14126490</t>
  </si>
  <si>
    <t>01-07-2025 05:22 AM</t>
  </si>
  <si>
    <t>01-07-2025 05:26 AM</t>
  </si>
  <si>
    <t>Robat CHP</t>
  </si>
  <si>
    <t xml:space="preserve">DIANAH BINTU TOMMY </t>
  </si>
  <si>
    <t>GUC43200406</t>
  </si>
  <si>
    <t>01-07-2025 05:24 AM</t>
  </si>
  <si>
    <t>TRM92505416</t>
  </si>
  <si>
    <t>01-07-2025 05:12 AM</t>
  </si>
  <si>
    <t>Mariama s Bangura</t>
  </si>
  <si>
    <t>TKR16282230</t>
  </si>
  <si>
    <t>01-07-2025 05:02 AM</t>
  </si>
  <si>
    <t>ZQX51226805</t>
  </si>
  <si>
    <t>WVZ01285012</t>
  </si>
  <si>
    <t>30-06-2025 08:10 AM</t>
  </si>
  <si>
    <t>01-07-2025 05:00 AM</t>
  </si>
  <si>
    <t>CQH43054353</t>
  </si>
  <si>
    <t>01-07-2025 04:47 AM</t>
  </si>
  <si>
    <t>MHU17731604</t>
  </si>
  <si>
    <t>01-07-2025 04:45 AM</t>
  </si>
  <si>
    <t>01-07-2025 04:46 AM</t>
  </si>
  <si>
    <t>JPG96175873</t>
  </si>
  <si>
    <t>Fatmata Gbao</t>
  </si>
  <si>
    <t>PMM99916567</t>
  </si>
  <si>
    <t>01-07-2025 04:44 AM</t>
  </si>
  <si>
    <t>Amara R Conteh</t>
  </si>
  <si>
    <t>IJN77465791</t>
  </si>
  <si>
    <t>01-07-2025 04:33 AM</t>
  </si>
  <si>
    <t xml:space="preserve">Patricia Kamara </t>
  </si>
  <si>
    <t>CSQ04933289</t>
  </si>
  <si>
    <t>30-06-2025 02:50 PM</t>
  </si>
  <si>
    <t>01-07-2025 04:26 AM</t>
  </si>
  <si>
    <t>Makolor CHP</t>
  </si>
  <si>
    <t>Ramatu Onikeh Kamara</t>
  </si>
  <si>
    <t>VVO39825536</t>
  </si>
  <si>
    <t>01-07-2025 04:22 AM</t>
  </si>
  <si>
    <t>Hannah sesay</t>
  </si>
  <si>
    <t>EIC49907546</t>
  </si>
  <si>
    <t>30-06-2025 02:48 PM</t>
  </si>
  <si>
    <t>01-07-2025 04:18 AM</t>
  </si>
  <si>
    <t>XND12377539</t>
  </si>
  <si>
    <t>30-06-2025 07:55 AM</t>
  </si>
  <si>
    <t>Cecilia A Lahai</t>
  </si>
  <si>
    <t>MVZ62662113</t>
  </si>
  <si>
    <t>01-07-2025 04:12 AM</t>
  </si>
  <si>
    <t xml:space="preserve">Anthonett M. Alpha </t>
  </si>
  <si>
    <t>QIH37881619</t>
  </si>
  <si>
    <t>YNF69980935</t>
  </si>
  <si>
    <t>01-07-2025 04:05 AM</t>
  </si>
  <si>
    <t>DPD04599338</t>
  </si>
  <si>
    <t>01-07-2025 04:02 AM</t>
  </si>
  <si>
    <t>GCO22254932</t>
  </si>
  <si>
    <t>01-07-2025 03:39 AM</t>
  </si>
  <si>
    <t>Sallay R Tarawalie</t>
  </si>
  <si>
    <t>XCB89825611</t>
  </si>
  <si>
    <t>01-07-2025 02:28 AM</t>
  </si>
  <si>
    <t>Isata SOS Tarawalie</t>
  </si>
  <si>
    <t>ILK57165875</t>
  </si>
  <si>
    <t>30-06-2025 04:36 PM</t>
  </si>
  <si>
    <t>URW83640977</t>
  </si>
  <si>
    <t>30-06-2025 04:30 PM</t>
  </si>
  <si>
    <t>ZYV30447264</t>
  </si>
  <si>
    <t>30-06-2025 03:34 PM</t>
  </si>
  <si>
    <t>Bumban CHP</t>
  </si>
  <si>
    <t>Zainab Titty sawaneh</t>
  </si>
  <si>
    <t>FXR06678099</t>
  </si>
  <si>
    <t>30-06-2025 02:27 PM</t>
  </si>
  <si>
    <t>DJG22500645</t>
  </si>
  <si>
    <t>30-06-2025 02:29 PM</t>
  </si>
  <si>
    <t>MJO67618021</t>
  </si>
  <si>
    <t>30-06-2025 02:18 PM</t>
  </si>
  <si>
    <t>PUE18521015</t>
  </si>
  <si>
    <t>30-06-2025 02:11 PM</t>
  </si>
  <si>
    <t xml:space="preserve">Mabel kuyembeh </t>
  </si>
  <si>
    <t>THK51326185</t>
  </si>
  <si>
    <t>30-06-2025 02:01 PM</t>
  </si>
  <si>
    <t>CNQ08360098</t>
  </si>
  <si>
    <t>30-06-2025 01:41 PM</t>
  </si>
  <si>
    <t>AWB95543136</t>
  </si>
  <si>
    <t xml:space="preserve">Florence.M. Momoh </t>
  </si>
  <si>
    <t>GGK14381357</t>
  </si>
  <si>
    <t>30-06-2025 01:19 PM</t>
  </si>
  <si>
    <t>POF35478253</t>
  </si>
  <si>
    <t>30-06-2025 01:08 PM</t>
  </si>
  <si>
    <t>ICM48036081</t>
  </si>
  <si>
    <t>30-06-2025 01:04 PM</t>
  </si>
  <si>
    <t>TSB00819894</t>
  </si>
  <si>
    <t>30-06-2025 12:56 PM</t>
  </si>
  <si>
    <t>UVM13035942</t>
  </si>
  <si>
    <t>30-06-2025 12:54 PM</t>
  </si>
  <si>
    <t>WCW49240873</t>
  </si>
  <si>
    <t>30-06-2025 12:51 PM</t>
  </si>
  <si>
    <t>XKE15885188</t>
  </si>
  <si>
    <t>30-06-2025 12:44 PM</t>
  </si>
  <si>
    <t>RZR70719694</t>
  </si>
  <si>
    <t>30-06-2025 12:33 PM</t>
  </si>
  <si>
    <t>VNL63048861</t>
  </si>
  <si>
    <t>30-06-2025 12:40 PM</t>
  </si>
  <si>
    <t>Fatmata Neneh Mansaray</t>
  </si>
  <si>
    <t>FRL72113813</t>
  </si>
  <si>
    <t>30-06-2025 12:36 PM</t>
  </si>
  <si>
    <t>Fatmata Koroma</t>
  </si>
  <si>
    <t>TOC46452109</t>
  </si>
  <si>
    <t>30-06-2025 12:34 PM</t>
  </si>
  <si>
    <t xml:space="preserve">Augustine Pessima </t>
  </si>
  <si>
    <t>KIB72840155</t>
  </si>
  <si>
    <t>30-06-2025 12:24 PM</t>
  </si>
  <si>
    <t>GYC29271725</t>
  </si>
  <si>
    <t>OLF67562317</t>
  </si>
  <si>
    <t>30-06-2025 12:23 PM</t>
  </si>
  <si>
    <t>Easther Tarawalie</t>
  </si>
  <si>
    <t>PJS64650777</t>
  </si>
  <si>
    <t>30-06-2025 12:20 PM</t>
  </si>
  <si>
    <t>Saffire kposowa</t>
  </si>
  <si>
    <t>ANR31448476</t>
  </si>
  <si>
    <t>30-06-2025 12:19 PM</t>
  </si>
  <si>
    <t>ZUS40232198</t>
  </si>
  <si>
    <t>30-06-2025 12:12 PM</t>
  </si>
  <si>
    <t xml:space="preserve">Cecelia Bangura </t>
  </si>
  <si>
    <t>SXD12922857</t>
  </si>
  <si>
    <t>Mamusu</t>
  </si>
  <si>
    <t>UVH53640483</t>
  </si>
  <si>
    <t>30-06-2025 12:11 PM</t>
  </si>
  <si>
    <t>YPM00841658</t>
  </si>
  <si>
    <t>30-06-2025 12:09 PM</t>
  </si>
  <si>
    <t>FOR49427679</t>
  </si>
  <si>
    <t>HGF04528242</t>
  </si>
  <si>
    <t>30-06-2025 11:58 AM</t>
  </si>
  <si>
    <t>JPO48090348</t>
  </si>
  <si>
    <t>30-06-2025 11:57 AM</t>
  </si>
  <si>
    <t>Lucy M Sam</t>
  </si>
  <si>
    <t>NCJ86942188</t>
  </si>
  <si>
    <t>30-06-2025 11:54 AM</t>
  </si>
  <si>
    <t>ZVU68946358</t>
  </si>
  <si>
    <t>30-06-2025 11:37 AM</t>
  </si>
  <si>
    <t>ZJA90246932</t>
  </si>
  <si>
    <t>30-06-2025 11:52 AM</t>
  </si>
  <si>
    <t>MUQ99902819</t>
  </si>
  <si>
    <t>30-06-2025 11:46 AM</t>
  </si>
  <si>
    <t>UMB41014344</t>
  </si>
  <si>
    <t>BYM43481844</t>
  </si>
  <si>
    <t>JXG90639513</t>
  </si>
  <si>
    <t>30-06-2025 11:42 AM</t>
  </si>
  <si>
    <t>Josephine Kamara</t>
  </si>
  <si>
    <t>NWH47672139</t>
  </si>
  <si>
    <t>30-06-2025 09:42 AM</t>
  </si>
  <si>
    <t>BLV57705816</t>
  </si>
  <si>
    <t>30-06-2025 11:34 AM</t>
  </si>
  <si>
    <t>Arianna mansaray</t>
  </si>
  <si>
    <t>ICR53421749</t>
  </si>
  <si>
    <t>30-06-2025 11:32 AM</t>
  </si>
  <si>
    <t>Salamatu Kallon</t>
  </si>
  <si>
    <t>NYG56260931</t>
  </si>
  <si>
    <t>VPN95737753</t>
  </si>
  <si>
    <t>30-06-2025 11:25 AM</t>
  </si>
  <si>
    <t>1'</t>
  </si>
  <si>
    <t>SQE37543532</t>
  </si>
  <si>
    <t>30-06-2025 11:18 AM</t>
  </si>
  <si>
    <t>Sylvester Kalilu</t>
  </si>
  <si>
    <t>MUZ64387178</t>
  </si>
  <si>
    <t>30-06-2025 11:14 AM</t>
  </si>
  <si>
    <t>IXI17549571</t>
  </si>
  <si>
    <t>30-06-2025 10:22 AM</t>
  </si>
  <si>
    <t xml:space="preserve">Aminata Kanu </t>
  </si>
  <si>
    <t>YBS69286324</t>
  </si>
  <si>
    <t>30-06-2025 10:19 AM</t>
  </si>
  <si>
    <t>TCZ07607070</t>
  </si>
  <si>
    <t>30-06-2025 11:12 AM</t>
  </si>
  <si>
    <t>SYN73978139</t>
  </si>
  <si>
    <t>30-06-2025 11:09 AM</t>
  </si>
  <si>
    <t xml:space="preserve">Hannah kabba </t>
  </si>
  <si>
    <t>EUV43001077</t>
  </si>
  <si>
    <t>30-06-2025 11:07 AM</t>
  </si>
  <si>
    <t>CCS51221769</t>
  </si>
  <si>
    <t>30-06-2025 11:06 AM</t>
  </si>
  <si>
    <t>XTZ49372218</t>
  </si>
  <si>
    <t>30-06-2025 11:05 AM</t>
  </si>
  <si>
    <t>KTV34470999</t>
  </si>
  <si>
    <t>30-06-2025 11:04 AM</t>
  </si>
  <si>
    <t>Fatmata Handay kamara</t>
  </si>
  <si>
    <t>KBU96601038</t>
  </si>
  <si>
    <t>30-06-2025 05:31 AM</t>
  </si>
  <si>
    <t>30-06-2025 10:56 AM</t>
  </si>
  <si>
    <t>JAR89203952</t>
  </si>
  <si>
    <t>30-06-2025 10:52 AM</t>
  </si>
  <si>
    <t>Hawanatu s mansaray</t>
  </si>
  <si>
    <t>QKD76387334</t>
  </si>
  <si>
    <t>30-06-2025 10:51 AM</t>
  </si>
  <si>
    <t>Jeneba Kanneh</t>
  </si>
  <si>
    <t>RDK02230891</t>
  </si>
  <si>
    <t>ERX18118329</t>
  </si>
  <si>
    <t>30-06-2025 10:40 AM</t>
  </si>
  <si>
    <t>YZH69969867</t>
  </si>
  <si>
    <t>30-06-2025 10:38 AM</t>
  </si>
  <si>
    <t>KLK63033606</t>
  </si>
  <si>
    <t>30-06-2025 10:35 AM</t>
  </si>
  <si>
    <t>30-06-2025 10:36 AM</t>
  </si>
  <si>
    <t>FNO14246159</t>
  </si>
  <si>
    <t>30-06-2025 10:31 AM</t>
  </si>
  <si>
    <t>Linda Decker</t>
  </si>
  <si>
    <t>SWY95654367</t>
  </si>
  <si>
    <t>30-06-2025 10:26 AM</t>
  </si>
  <si>
    <t>HCM53328085</t>
  </si>
  <si>
    <t>30-06-2025 10:24 AM</t>
  </si>
  <si>
    <t>KUO51206542</t>
  </si>
  <si>
    <t>30-06-2025 10:14 AM</t>
  </si>
  <si>
    <t>Kumba F Bangura</t>
  </si>
  <si>
    <t>MYE08024590</t>
  </si>
  <si>
    <t xml:space="preserve">Isata Frances vandy </t>
  </si>
  <si>
    <t>YDM88326670</t>
  </si>
  <si>
    <t>30-06-2025 10:13 AM</t>
  </si>
  <si>
    <t>VFG68345046</t>
  </si>
  <si>
    <t>30-06-2025 10:11 AM</t>
  </si>
  <si>
    <t>PQT29957997</t>
  </si>
  <si>
    <t xml:space="preserve">Lahai vandy sheriff </t>
  </si>
  <si>
    <t>JBK98470021</t>
  </si>
  <si>
    <t>30-06-2025 10:07 AM</t>
  </si>
  <si>
    <t>Hawa v G Sam</t>
  </si>
  <si>
    <t>DLX59319864</t>
  </si>
  <si>
    <t>30-06-2025 10:02 AM</t>
  </si>
  <si>
    <t>Ibrahim Beckley</t>
  </si>
  <si>
    <t>LND15145922</t>
  </si>
  <si>
    <t>30-06-2025 10:00 AM</t>
  </si>
  <si>
    <t>TQA36649806</t>
  </si>
  <si>
    <t>30-06-2025 09:56 AM</t>
  </si>
  <si>
    <t>DYT83348742</t>
  </si>
  <si>
    <t>30-06-2025 09:54 AM</t>
  </si>
  <si>
    <t>TAL79385515</t>
  </si>
  <si>
    <t>30-06-2025 09:51 AM</t>
  </si>
  <si>
    <t>BBY63978817</t>
  </si>
  <si>
    <t>30-06-2025 09:49 AM</t>
  </si>
  <si>
    <t>JOM45890088</t>
  </si>
  <si>
    <t>NSH44480449</t>
  </si>
  <si>
    <t>30-06-2025 09:47 AM</t>
  </si>
  <si>
    <t>30-06-2025 09:48 AM</t>
  </si>
  <si>
    <t>Swaliho Kanneh</t>
  </si>
  <si>
    <t>CDE74760163</t>
  </si>
  <si>
    <t>30-06-2025 09:45 AM</t>
  </si>
  <si>
    <t>ABX00209982</t>
  </si>
  <si>
    <t>30-06-2025 09:44 AM</t>
  </si>
  <si>
    <t>FCW81782948</t>
  </si>
  <si>
    <t>30-06-2025 09:43 AM</t>
  </si>
  <si>
    <t>Ibrahim H Koroma</t>
  </si>
  <si>
    <t>BJU45722711</t>
  </si>
  <si>
    <t>30-06-2025 09:37 AM</t>
  </si>
  <si>
    <t>EQE46330002</t>
  </si>
  <si>
    <t>OBZ55502076</t>
  </si>
  <si>
    <t>30-06-2025 09:35 AM</t>
  </si>
  <si>
    <t>Christiana Seray Conteh</t>
  </si>
  <si>
    <t>LUN40095664</t>
  </si>
  <si>
    <t xml:space="preserve">Samuel Gbembo </t>
  </si>
  <si>
    <t>LHF60942676</t>
  </si>
  <si>
    <t>30-06-2025 09:34 AM</t>
  </si>
  <si>
    <t>TKH79322348</t>
  </si>
  <si>
    <t>30-06-2025 09:24 AM</t>
  </si>
  <si>
    <t>JNV28018217</t>
  </si>
  <si>
    <t>30-06-2025 09:22 AM</t>
  </si>
  <si>
    <t>lsha N bangura</t>
  </si>
  <si>
    <t>SFU06038576</t>
  </si>
  <si>
    <t>30-06-2025 09:20 AM</t>
  </si>
  <si>
    <t>DXW71444515</t>
  </si>
  <si>
    <t>30-06-2025 09:15 AM</t>
  </si>
  <si>
    <t>Mariana Conteh</t>
  </si>
  <si>
    <t>ANT91283219</t>
  </si>
  <si>
    <t>Veronica R Kamara</t>
  </si>
  <si>
    <t>TGV45733864</t>
  </si>
  <si>
    <t>30-06-2025 09:08 AM</t>
  </si>
  <si>
    <t>Agnes clement koroma</t>
  </si>
  <si>
    <t>PRS78250335</t>
  </si>
  <si>
    <t>30-06-2025 09:07 AM</t>
  </si>
  <si>
    <t>TUS26777824</t>
  </si>
  <si>
    <t>30-06-2025 09:05 AM</t>
  </si>
  <si>
    <t>TOS37379357</t>
  </si>
  <si>
    <t>EWG15042170</t>
  </si>
  <si>
    <t>30-06-2025 09:02 AM</t>
  </si>
  <si>
    <t>RHE93563383</t>
  </si>
  <si>
    <t>30-06-2025 09:00 AM</t>
  </si>
  <si>
    <t>Alien sesay</t>
  </si>
  <si>
    <t>ZFM92472788</t>
  </si>
  <si>
    <t>GZY29987778</t>
  </si>
  <si>
    <t>30-06-2025 08:57 AM</t>
  </si>
  <si>
    <t>SIR40289268</t>
  </si>
  <si>
    <t>30-06-2025 08:41 AM</t>
  </si>
  <si>
    <t>Mabel Sartie</t>
  </si>
  <si>
    <t>HJC96081973</t>
  </si>
  <si>
    <t>30-06-2025 08:51 AM</t>
  </si>
  <si>
    <t>QXO19265880</t>
  </si>
  <si>
    <t>30-06-2025 08:49 AM</t>
  </si>
  <si>
    <t>QVS78672997</t>
  </si>
  <si>
    <t>30-06-2025 08:40 AM</t>
  </si>
  <si>
    <t>NIM50841249</t>
  </si>
  <si>
    <t>30-06-2025 08:38 AM</t>
  </si>
  <si>
    <t>LLA68050060</t>
  </si>
  <si>
    <t>30-06-2025 08:36 AM</t>
  </si>
  <si>
    <t>UUV44321994</t>
  </si>
  <si>
    <t>30-06-2025 08:33 AM</t>
  </si>
  <si>
    <t>30-06-2025 08:35 AM</t>
  </si>
  <si>
    <t>FHI23176367</t>
  </si>
  <si>
    <t xml:space="preserve">MOHAMED K MANSARAY </t>
  </si>
  <si>
    <t>HLL96862735</t>
  </si>
  <si>
    <t>HVR80304649</t>
  </si>
  <si>
    <t>LJO19177811</t>
  </si>
  <si>
    <t>30-06-2025 08:32 AM</t>
  </si>
  <si>
    <t>Adama Gandi</t>
  </si>
  <si>
    <t>XKW66378848</t>
  </si>
  <si>
    <t>30-06-2025 08:29 AM</t>
  </si>
  <si>
    <t>Amara Foray</t>
  </si>
  <si>
    <t>UUA57742840</t>
  </si>
  <si>
    <t>30-06-2025 08:27 AM</t>
  </si>
  <si>
    <t>BOW96877666</t>
  </si>
  <si>
    <t>Foday Turay</t>
  </si>
  <si>
    <t>FAP59249207</t>
  </si>
  <si>
    <t>30-06-2025 08:22 AM</t>
  </si>
  <si>
    <t>Mariatu Turay</t>
  </si>
  <si>
    <t>DUH63894825</t>
  </si>
  <si>
    <t>30-06-2025 08:18 AM</t>
  </si>
  <si>
    <t>GIL66230917</t>
  </si>
  <si>
    <t>30-06-2025 08:09 AM</t>
  </si>
  <si>
    <t>Catherine K Musa</t>
  </si>
  <si>
    <t>UBW12251528</t>
  </si>
  <si>
    <t>KHL24136131</t>
  </si>
  <si>
    <t>TCE32399712</t>
  </si>
  <si>
    <t xml:space="preserve">Rose Rogers </t>
  </si>
  <si>
    <t>PUC37868403</t>
  </si>
  <si>
    <t>VKJ27252020</t>
  </si>
  <si>
    <t>30-06-2025 08:13 AM</t>
  </si>
  <si>
    <t>DQV65772460</t>
  </si>
  <si>
    <t>30-06-2025 08:11 AM</t>
  </si>
  <si>
    <t>Fanny swaray</t>
  </si>
  <si>
    <t>ECT66775620</t>
  </si>
  <si>
    <t>BVT48288005</t>
  </si>
  <si>
    <t xml:space="preserve">Edna Musa </t>
  </si>
  <si>
    <t>YAC00302553</t>
  </si>
  <si>
    <t>30-06-2025 08:06 AM</t>
  </si>
  <si>
    <t>EZC79482883</t>
  </si>
  <si>
    <t>FQA06016641</t>
  </si>
  <si>
    <t>SVK11995554</t>
  </si>
  <si>
    <t>30-06-2025 08:04 AM</t>
  </si>
  <si>
    <t>Jesse mp sesay</t>
  </si>
  <si>
    <t>XDF01020129</t>
  </si>
  <si>
    <t>30-06-2025 08:01 AM</t>
  </si>
  <si>
    <t>30-06-2025 08:02 AM</t>
  </si>
  <si>
    <t xml:space="preserve">Mohamed A Koroma </t>
  </si>
  <si>
    <t>IVW12595020</t>
  </si>
  <si>
    <t>30-06-2025 07:52 AM</t>
  </si>
  <si>
    <t>Mohamed Koroma</t>
  </si>
  <si>
    <t>YKA17767405</t>
  </si>
  <si>
    <t>30-06-2025 07:51 AM</t>
  </si>
  <si>
    <t>VUO40709374</t>
  </si>
  <si>
    <t>30-06-2025 07:47 AM</t>
  </si>
  <si>
    <t>30-06-2025 07:49 AM</t>
  </si>
  <si>
    <t>Veronica MCHP in</t>
  </si>
  <si>
    <t>HBE67325037</t>
  </si>
  <si>
    <t>30-06-2025 07:48 AM</t>
  </si>
  <si>
    <t>ODF10200783</t>
  </si>
  <si>
    <t>HET02859170</t>
  </si>
  <si>
    <t>30-06-2025 07:45 AM</t>
  </si>
  <si>
    <t>RDT34356920</t>
  </si>
  <si>
    <t>30-06-2025 07:37 AM</t>
  </si>
  <si>
    <t>30-06-2025 07:41 AM</t>
  </si>
  <si>
    <t>AYG18298354</t>
  </si>
  <si>
    <t>30-06-2025 07:40 AM</t>
  </si>
  <si>
    <t>Break Through CHP</t>
  </si>
  <si>
    <t>SIH99503342</t>
  </si>
  <si>
    <t>RAL11803033</t>
  </si>
  <si>
    <t>Adella paris</t>
  </si>
  <si>
    <t>ZSB76491357</t>
  </si>
  <si>
    <t>30-06-2025 07:16 AM</t>
  </si>
  <si>
    <t>30-06-2025 07:34 AM</t>
  </si>
  <si>
    <t>LJQ24469402</t>
  </si>
  <si>
    <t>30-06-2025 07:21 AM</t>
  </si>
  <si>
    <t>30-06-2025 07:23 AM</t>
  </si>
  <si>
    <t>Isata Vandy</t>
  </si>
  <si>
    <t>NFG44905220</t>
  </si>
  <si>
    <t>30-06-2025 07:20 AM</t>
  </si>
  <si>
    <t xml:space="preserve">Abie Sesay </t>
  </si>
  <si>
    <t>KQS28472881</t>
  </si>
  <si>
    <t>OWF99499295</t>
  </si>
  <si>
    <t>30-06-2025 07:11 AM</t>
  </si>
  <si>
    <t xml:space="preserve">Kai Koroma </t>
  </si>
  <si>
    <t>EHM07257899</t>
  </si>
  <si>
    <t>30-06-2025 07:09 AM</t>
  </si>
  <si>
    <t>LFI56671635</t>
  </si>
  <si>
    <t>30-06-2025 07:08 AM</t>
  </si>
  <si>
    <t xml:space="preserve">Sister Sarah Kaindaneh </t>
  </si>
  <si>
    <t>YRC79302673</t>
  </si>
  <si>
    <t>30-06-2025 07:07 AM</t>
  </si>
  <si>
    <t>XAI79543587</t>
  </si>
  <si>
    <t>WGN13851465</t>
  </si>
  <si>
    <t>30-06-2025 07:04 AM</t>
  </si>
  <si>
    <t>DNT23584428</t>
  </si>
  <si>
    <t>30-06-2025 07:01 AM</t>
  </si>
  <si>
    <t xml:space="preserve">Elizabeth Hawa Yagbaji </t>
  </si>
  <si>
    <t>TJY29094201</t>
  </si>
  <si>
    <t>30-06-2025 06:58 AM</t>
  </si>
  <si>
    <t>LJP56690155</t>
  </si>
  <si>
    <t>30-06-2025 06:57 AM</t>
  </si>
  <si>
    <t>PWD28171361</t>
  </si>
  <si>
    <t>30-06-2025 06:48 AM</t>
  </si>
  <si>
    <t>BRQ35207913</t>
  </si>
  <si>
    <t>30-06-2025 06:35 AM</t>
  </si>
  <si>
    <t>OJW80096312</t>
  </si>
  <si>
    <t>30-06-2025 06:33 AM</t>
  </si>
  <si>
    <t>ROI03155380</t>
  </si>
  <si>
    <t>30-06-2025 06:19 AM</t>
  </si>
  <si>
    <t>30-06-2025 06:31 AM</t>
  </si>
  <si>
    <t>IFR19483398</t>
  </si>
  <si>
    <t>30-06-2025 06:29 AM</t>
  </si>
  <si>
    <t>EJB73933566</t>
  </si>
  <si>
    <t>30-06-2025 06:20 AM</t>
  </si>
  <si>
    <t>YMY78411421</t>
  </si>
  <si>
    <t>30-06-2025 06:15 AM</t>
  </si>
  <si>
    <t>GGD53642699</t>
  </si>
  <si>
    <t>30-06-2025 05:43 AM</t>
  </si>
  <si>
    <t>30-06-2025 06:12 AM</t>
  </si>
  <si>
    <t>KGV51386057</t>
  </si>
  <si>
    <t>KBK15779659</t>
  </si>
  <si>
    <t>30-06-2025 05:46 AM</t>
  </si>
  <si>
    <t>Mattru on the Rail CHP</t>
  </si>
  <si>
    <t xml:space="preserve">Amadu Alhaji Barrie </t>
  </si>
  <si>
    <t>PZH39048894</t>
  </si>
  <si>
    <t>Feiba CHP</t>
  </si>
  <si>
    <t xml:space="preserve">Frederick Walters </t>
  </si>
  <si>
    <t>ZQS07012105</t>
  </si>
  <si>
    <t>TJV26415488</t>
  </si>
  <si>
    <t>30-06-2025 05:41 AM</t>
  </si>
  <si>
    <t xml:space="preserve">National Islamic primary school </t>
  </si>
  <si>
    <t>QEP81278900</t>
  </si>
  <si>
    <t>30-06-2025 05:32 AM</t>
  </si>
  <si>
    <t>NSM83731525</t>
  </si>
  <si>
    <t>30-06-2025 05:24 AM</t>
  </si>
  <si>
    <t>30-06-2025 05:26 AM</t>
  </si>
  <si>
    <t>NSB11995717</t>
  </si>
  <si>
    <t>30-06-2025 05:22 AM</t>
  </si>
  <si>
    <t>Adama samura</t>
  </si>
  <si>
    <t>ICG33417085</t>
  </si>
  <si>
    <t>30-06-2025 04:52 AM</t>
  </si>
  <si>
    <t>Fatmata T Turay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</si>
</sst>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2">
        <v>45838.0</v>
      </c>
      <c r="F2" s="1" t="s">
        <v>21</v>
      </c>
      <c r="G2" s="1" t="s">
        <v>22</v>
      </c>
      <c r="H2" s="1" t="s">
        <v>23</v>
      </c>
      <c r="I2" s="1">
        <v>50.0</v>
      </c>
      <c r="J2" s="1" t="s">
        <v>24</v>
      </c>
      <c r="K2" s="1">
        <v>50.0</v>
      </c>
      <c r="L2" s="1">
        <v>39.0</v>
      </c>
      <c r="M2" s="1">
        <v>11.0</v>
      </c>
      <c r="N2" s="1">
        <v>11.0</v>
      </c>
      <c r="O2" s="1" t="s">
        <v>25</v>
      </c>
      <c r="P2" s="3" t="str">
        <f>HYPERLINK("https://icf.clappia.com/app/SOM165486/submission/EDS93008736/ICF247370-SOM165486-1i5hdi0e4mkpm0000000/SIG-20250630_17178dig5.jpeg", "SIG-20250630_17178dig5.jpeg")</f>
        <v>SIG-20250630_17178dig5.jpeg</v>
      </c>
      <c r="Q2" s="3" t="str">
        <f>HYPERLINK("https://www.google.com/maps/place/8.1496582%2C-11.4341032", "8.1496582,-11.4341032")</f>
        <v>8.1496582,-11.4341032</v>
      </c>
    </row>
    <row r="3">
      <c r="A3" s="1" t="s">
        <v>26</v>
      </c>
      <c r="B3" s="1" t="s">
        <v>18</v>
      </c>
      <c r="C3" s="1" t="s">
        <v>27</v>
      </c>
      <c r="D3" s="1" t="s">
        <v>28</v>
      </c>
      <c r="E3" s="2">
        <v>45839.0</v>
      </c>
      <c r="F3" s="1" t="s">
        <v>21</v>
      </c>
      <c r="G3" s="1" t="s">
        <v>29</v>
      </c>
      <c r="H3" s="1" t="s">
        <v>30</v>
      </c>
      <c r="I3" s="1">
        <v>50.0</v>
      </c>
      <c r="J3" s="1" t="s">
        <v>24</v>
      </c>
      <c r="K3" s="1">
        <v>50.0</v>
      </c>
      <c r="L3" s="1">
        <v>47.0</v>
      </c>
      <c r="M3" s="1">
        <v>3.0</v>
      </c>
      <c r="N3" s="1" t="s">
        <v>24</v>
      </c>
      <c r="O3" s="1" t="s">
        <v>31</v>
      </c>
      <c r="P3" s="3" t="str">
        <f>HYPERLINK("https://icf.clappia.com/app/SOM165486/submission/SJX10061595/ICF247370-SOM165486-33a4l03fb8e800000000/SIG-20250701_160172b3a.jpeg", "SIG-20250701_160172b3a.jpeg")</f>
        <v>SIG-20250701_160172b3a.jpeg</v>
      </c>
      <c r="Q3" s="3" t="str">
        <f>HYPERLINK("https://www.google.com/maps/place/8.2457817%2C-11.5196183", "8.2457817,-11.5196183")</f>
        <v>8.2457817,-11.5196183</v>
      </c>
    </row>
    <row r="4">
      <c r="A4" s="1" t="s">
        <v>32</v>
      </c>
      <c r="B4" s="1" t="s">
        <v>18</v>
      </c>
      <c r="C4" s="1" t="s">
        <v>33</v>
      </c>
      <c r="D4" s="1" t="s">
        <v>34</v>
      </c>
      <c r="E4" s="2">
        <v>45842.0</v>
      </c>
      <c r="F4" s="1" t="s">
        <v>21</v>
      </c>
      <c r="G4" s="1" t="s">
        <v>35</v>
      </c>
      <c r="H4" s="1" t="s">
        <v>36</v>
      </c>
      <c r="I4" s="1">
        <v>200.0</v>
      </c>
      <c r="J4" s="1" t="s">
        <v>24</v>
      </c>
      <c r="K4" s="1">
        <v>200.0</v>
      </c>
      <c r="L4" s="1">
        <v>178.0</v>
      </c>
      <c r="M4" s="1">
        <v>22.0</v>
      </c>
      <c r="N4" s="1">
        <v>22.0</v>
      </c>
      <c r="O4" s="1" t="s">
        <v>37</v>
      </c>
      <c r="P4" s="3" t="str">
        <f>HYPERLINK("https://icf.clappia.com/app/SOM165486/submission/DPP11468482/ICF247370-SOM165486-5h5nlf70doe000000000/SIG-20250704_215215ed30.jpeg", "SIG-20250704_215215ed30.jpeg")</f>
        <v>SIG-20250704_215215ed30.jpeg</v>
      </c>
      <c r="Q4" s="3" t="str">
        <f>HYPERLINK("https://www.google.com/maps/place/8.2804267%2C-11.6196133", "8.2804267,-11.6196133")</f>
        <v>8.2804267,-11.6196133</v>
      </c>
    </row>
    <row r="5">
      <c r="A5" s="1" t="s">
        <v>38</v>
      </c>
      <c r="B5" s="1" t="s">
        <v>18</v>
      </c>
      <c r="C5" s="1" t="s">
        <v>39</v>
      </c>
      <c r="D5" s="1" t="s">
        <v>34</v>
      </c>
      <c r="E5" s="2">
        <v>45840.0</v>
      </c>
      <c r="F5" s="1" t="s">
        <v>21</v>
      </c>
      <c r="G5" s="1" t="s">
        <v>35</v>
      </c>
      <c r="H5" s="1" t="s">
        <v>36</v>
      </c>
      <c r="I5" s="1">
        <v>300.0</v>
      </c>
      <c r="J5" s="1" t="s">
        <v>24</v>
      </c>
      <c r="K5" s="1">
        <v>300.0</v>
      </c>
      <c r="L5" s="1">
        <v>260.0</v>
      </c>
      <c r="M5" s="1">
        <v>40.0</v>
      </c>
      <c r="N5" s="1">
        <v>40.0</v>
      </c>
      <c r="O5" s="1" t="s">
        <v>37</v>
      </c>
      <c r="P5" s="3" t="str">
        <f>HYPERLINK("https://icf.clappia.com/app/SOM165486/submission/JVE80283330/ICF247370-SOM165486-24m53a78pdl9a0000000/SIG-20250704_201619658h.jpeg", "SIG-20250704_201619658h.jpeg")</f>
        <v>SIG-20250704_201619658h.jpeg</v>
      </c>
      <c r="Q5" s="3" t="str">
        <f>HYPERLINK("https://www.google.com/maps/place/8.2801433%2C-11.6194133", "8.2801433,-11.6194133")</f>
        <v>8.2801433,-11.6194133</v>
      </c>
    </row>
    <row r="6">
      <c r="A6" s="1" t="s">
        <v>40</v>
      </c>
      <c r="B6" s="1" t="s">
        <v>18</v>
      </c>
      <c r="C6" s="1" t="s">
        <v>41</v>
      </c>
      <c r="D6" s="1" t="s">
        <v>42</v>
      </c>
      <c r="E6" s="2">
        <v>45842.0</v>
      </c>
      <c r="F6" s="1" t="s">
        <v>21</v>
      </c>
      <c r="G6" s="1" t="s">
        <v>35</v>
      </c>
      <c r="H6" s="1" t="s">
        <v>36</v>
      </c>
      <c r="I6" s="1">
        <v>150.0</v>
      </c>
      <c r="J6" s="1" t="s">
        <v>24</v>
      </c>
      <c r="K6" s="1">
        <v>150.0</v>
      </c>
      <c r="L6" s="1">
        <v>145.0</v>
      </c>
      <c r="M6" s="1">
        <v>5.0</v>
      </c>
      <c r="N6" s="1">
        <v>5.0</v>
      </c>
      <c r="O6" s="1" t="s">
        <v>37</v>
      </c>
      <c r="P6" s="3" t="str">
        <f>HYPERLINK("https://icf.clappia.com/app/SOM165486/submission/JOB73874181/ICF247370-SOM165486-3padiob2od9k00000000/SIG-20250703_1427g891p.jpeg", "SIG-20250703_1427g891p.jpeg")</f>
        <v>SIG-20250703_1427g891p.jpeg</v>
      </c>
      <c r="Q6" s="3" t="str">
        <f>HYPERLINK("https://www.google.com/maps/place/8.3087483%2C-11.5742533", "8.3087483,-11.5742533")</f>
        <v>8.3087483,-11.5742533</v>
      </c>
    </row>
    <row r="7">
      <c r="A7" s="1" t="s">
        <v>43</v>
      </c>
      <c r="B7" s="1" t="s">
        <v>18</v>
      </c>
      <c r="C7" s="1" t="s">
        <v>44</v>
      </c>
      <c r="D7" s="1" t="s">
        <v>45</v>
      </c>
      <c r="E7" s="2">
        <v>45842.0</v>
      </c>
      <c r="F7" s="1" t="s">
        <v>21</v>
      </c>
      <c r="G7" s="1" t="s">
        <v>35</v>
      </c>
      <c r="H7" s="1" t="s">
        <v>46</v>
      </c>
      <c r="I7" s="1">
        <v>145.0</v>
      </c>
      <c r="J7" s="1" t="s">
        <v>24</v>
      </c>
      <c r="K7" s="1">
        <v>145.0</v>
      </c>
      <c r="L7" s="1">
        <v>145.0</v>
      </c>
      <c r="M7" s="1" t="s">
        <v>24</v>
      </c>
      <c r="N7" s="1" t="s">
        <v>24</v>
      </c>
      <c r="O7" s="1" t="s">
        <v>47</v>
      </c>
      <c r="P7" s="3" t="str">
        <f>HYPERLINK("https://icf.clappia.com/app/SOM165486/submission/IQN24604367/ICF247370-SOM165486-i3cmoa3gfalm0000000/SIG-20250704_19031a3cbc.jpeg", "SIG-20250704_19031a3cbc.jpeg")</f>
        <v>SIG-20250704_19031a3cbc.jpeg</v>
      </c>
      <c r="Q7" s="3" t="str">
        <f>HYPERLINK("https://www.google.com/maps/place/8.4167644%2C-11.6674733", "8.4167644,-11.6674733")</f>
        <v>8.4167644,-11.6674733</v>
      </c>
    </row>
    <row r="8">
      <c r="A8" s="1" t="s">
        <v>48</v>
      </c>
      <c r="B8" s="1" t="s">
        <v>18</v>
      </c>
      <c r="C8" s="1" t="s">
        <v>49</v>
      </c>
      <c r="D8" s="1" t="s">
        <v>50</v>
      </c>
      <c r="E8" s="2">
        <v>45842.0</v>
      </c>
      <c r="F8" s="1" t="s">
        <v>21</v>
      </c>
      <c r="G8" s="1" t="s">
        <v>35</v>
      </c>
      <c r="H8" s="1" t="s">
        <v>51</v>
      </c>
      <c r="I8" s="1">
        <v>206.0</v>
      </c>
      <c r="J8" s="1" t="s">
        <v>24</v>
      </c>
      <c r="K8" s="1">
        <v>206.0</v>
      </c>
      <c r="L8" s="1">
        <v>206.0</v>
      </c>
      <c r="M8" s="1" t="s">
        <v>24</v>
      </c>
      <c r="N8" s="1" t="s">
        <v>24</v>
      </c>
      <c r="O8" s="1" t="s">
        <v>52</v>
      </c>
      <c r="P8" s="3" t="str">
        <f>HYPERLINK("https://icf.clappia.com/app/SOM165486/submission/KWP26978834/ICF247370-SOM165486-1kdh8hl6ngjci0000000/SIG-20250704_134115p205.jpeg", "SIG-20250704_134115p205.jpeg")</f>
        <v>SIG-20250704_134115p205.jpeg</v>
      </c>
      <c r="Q8" s="3" t="str">
        <f>HYPERLINK("https://www.google.com/maps/place/8.3234383%2C-11.7346017", "8.3234383,-11.7346017")</f>
        <v>8.3234383,-11.7346017</v>
      </c>
    </row>
    <row r="9">
      <c r="A9" s="1" t="s">
        <v>53</v>
      </c>
      <c r="B9" s="1" t="s">
        <v>18</v>
      </c>
      <c r="C9" s="1" t="s">
        <v>54</v>
      </c>
      <c r="D9" s="1" t="s">
        <v>50</v>
      </c>
      <c r="E9" s="2">
        <v>45841.0</v>
      </c>
      <c r="F9" s="1" t="s">
        <v>21</v>
      </c>
      <c r="G9" s="1" t="s">
        <v>35</v>
      </c>
      <c r="H9" s="1" t="s">
        <v>51</v>
      </c>
      <c r="I9" s="1">
        <v>180.0</v>
      </c>
      <c r="J9" s="1" t="s">
        <v>24</v>
      </c>
      <c r="K9" s="1">
        <v>180.0</v>
      </c>
      <c r="L9" s="1">
        <v>168.0</v>
      </c>
      <c r="M9" s="1">
        <v>12.0</v>
      </c>
      <c r="N9" s="1">
        <v>12.0</v>
      </c>
      <c r="O9" s="1" t="s">
        <v>52</v>
      </c>
      <c r="P9" s="3" t="str">
        <f>HYPERLINK("https://icf.clappia.com/app/SOM165486/submission/UEI28156244/ICF247370-SOM165486-86jbfg4ooh520000000/SIG-20250703_2007dog7o.jpeg", "SIG-20250703_2007dog7o.jpeg")</f>
        <v>SIG-20250703_2007dog7o.jpeg</v>
      </c>
      <c r="Q9" s="3" t="str">
        <f>HYPERLINK("https://www.google.com/maps/place/8.3253717%2C-11.7350183", "8.3253717,-11.7350183")</f>
        <v>8.3253717,-11.7350183</v>
      </c>
    </row>
    <row r="10">
      <c r="A10" s="1" t="s">
        <v>55</v>
      </c>
      <c r="B10" s="1" t="s">
        <v>18</v>
      </c>
      <c r="C10" s="1" t="s">
        <v>56</v>
      </c>
      <c r="D10" s="1" t="s">
        <v>57</v>
      </c>
      <c r="E10" s="2">
        <v>45842.0</v>
      </c>
      <c r="F10" s="1" t="s">
        <v>21</v>
      </c>
      <c r="G10" s="1" t="s">
        <v>58</v>
      </c>
      <c r="H10" s="1" t="s">
        <v>59</v>
      </c>
      <c r="I10" s="1">
        <v>100.0</v>
      </c>
      <c r="J10" s="1" t="s">
        <v>24</v>
      </c>
      <c r="K10" s="1">
        <v>100.0</v>
      </c>
      <c r="L10" s="1">
        <v>66.0</v>
      </c>
      <c r="M10" s="1">
        <v>34.0</v>
      </c>
      <c r="N10" s="1">
        <v>34.0</v>
      </c>
      <c r="O10" s="1" t="s">
        <v>60</v>
      </c>
      <c r="P10" s="3" t="str">
        <f>HYPERLINK("https://icf.clappia.com/app/SOM165486/submission/ONX34504387/ICF247370-SOM165486-52761gdhglde00000000/SIG-20250704_13261hdg7.jpeg", "SIG-20250704_13261hdg7.jpeg")</f>
        <v>SIG-20250704_13261hdg7.jpeg</v>
      </c>
      <c r="Q10" s="3" t="str">
        <f>HYPERLINK("https://www.google.com/maps/place/7.940394%2C-11.7493596", "7.940394,-11.7493596")</f>
        <v>7.940394,-11.7493596</v>
      </c>
    </row>
    <row r="11">
      <c r="A11" s="1" t="s">
        <v>61</v>
      </c>
      <c r="B11" s="1" t="s">
        <v>18</v>
      </c>
      <c r="C11" s="1" t="s">
        <v>62</v>
      </c>
      <c r="D11" s="1" t="s">
        <v>57</v>
      </c>
      <c r="E11" s="2">
        <v>45841.0</v>
      </c>
      <c r="F11" s="1" t="s">
        <v>21</v>
      </c>
      <c r="G11" s="1" t="s">
        <v>58</v>
      </c>
      <c r="H11" s="1" t="s">
        <v>59</v>
      </c>
      <c r="I11" s="1">
        <v>300.0</v>
      </c>
      <c r="J11" s="1" t="s">
        <v>24</v>
      </c>
      <c r="K11" s="1">
        <v>300.0</v>
      </c>
      <c r="L11" s="1">
        <v>252.0</v>
      </c>
      <c r="M11" s="1">
        <v>48.0</v>
      </c>
      <c r="N11" s="1">
        <v>48.0</v>
      </c>
      <c r="O11" s="1" t="s">
        <v>60</v>
      </c>
      <c r="P11" s="3" t="str">
        <f>HYPERLINK("https://icf.clappia.com/app/SOM165486/submission/ONU93570918/ICF247370-SOM165486-3o8nooj8l96a00000000/SIG-20250703_1432j8h0d.jpeg", "SIG-20250703_1432j8h0d.jpeg")</f>
        <v>SIG-20250703_1432j8h0d.jpeg</v>
      </c>
      <c r="Q11" s="3" t="str">
        <f>HYPERLINK("https://www.google.com/maps/place/7.9321117%2C-11.745965", "7.9321117,-11.745965")</f>
        <v>7.9321117,-11.745965</v>
      </c>
    </row>
    <row r="12">
      <c r="A12" s="1" t="s">
        <v>63</v>
      </c>
      <c r="B12" s="1" t="s">
        <v>18</v>
      </c>
      <c r="C12" s="1" t="s">
        <v>64</v>
      </c>
      <c r="D12" s="1" t="s">
        <v>57</v>
      </c>
      <c r="E12" s="2">
        <v>45841.0</v>
      </c>
      <c r="F12" s="1" t="s">
        <v>21</v>
      </c>
      <c r="G12" s="1" t="s">
        <v>58</v>
      </c>
      <c r="H12" s="1" t="s">
        <v>59</v>
      </c>
      <c r="I12" s="1">
        <v>200.0</v>
      </c>
      <c r="J12" s="1" t="s">
        <v>24</v>
      </c>
      <c r="K12" s="1">
        <v>200.0</v>
      </c>
      <c r="L12" s="1">
        <v>116.0</v>
      </c>
      <c r="M12" s="1">
        <v>84.0</v>
      </c>
      <c r="N12" s="1">
        <v>48.0</v>
      </c>
      <c r="O12" s="1" t="s">
        <v>60</v>
      </c>
      <c r="P12" s="3" t="str">
        <f>HYPERLINK("https://icf.clappia.com/app/SOM165486/submission/VNC95098254/ICF247370-SOM165486-1l67ankp8gad60000000/SIG-20250703_14301ae8lj.jpeg", "SIG-20250703_14301ae8lj.jpeg")</f>
        <v>SIG-20250703_14301ae8lj.jpeg</v>
      </c>
      <c r="Q12" s="3" t="str">
        <f>HYPERLINK("https://www.google.com/maps/place/7.9318283%2C-11.7459167", "7.9318283,-11.7459167")</f>
        <v>7.9318283,-11.7459167</v>
      </c>
    </row>
    <row r="13">
      <c r="A13" s="1" t="s">
        <v>65</v>
      </c>
      <c r="B13" s="1" t="s">
        <v>18</v>
      </c>
      <c r="C13" s="1" t="s">
        <v>66</v>
      </c>
      <c r="D13" s="1" t="s">
        <v>67</v>
      </c>
      <c r="E13" s="2">
        <v>45840.0</v>
      </c>
      <c r="F13" s="1" t="s">
        <v>68</v>
      </c>
      <c r="G13" s="1" t="s">
        <v>69</v>
      </c>
      <c r="H13" s="1" t="s">
        <v>70</v>
      </c>
      <c r="I13" s="1">
        <v>200.0</v>
      </c>
      <c r="J13" s="1">
        <v>250.0</v>
      </c>
      <c r="K13" s="1">
        <v>450.0</v>
      </c>
      <c r="L13" s="1">
        <v>450.0</v>
      </c>
      <c r="M13" s="1" t="s">
        <v>24</v>
      </c>
      <c r="N13" s="1" t="s">
        <v>24</v>
      </c>
      <c r="O13" s="1" t="s">
        <v>71</v>
      </c>
      <c r="P13" s="3" t="str">
        <f>HYPERLINK("https://icf.clappia.com/app/SOM165486/submission/WBF82968678/ICF247370-SOM165486-4macj707g4bg00000000/SIG-20250702_0947la067.jpeg", "SIG-20250702_0947la067.jpeg")</f>
        <v>SIG-20250702_0947la067.jpeg</v>
      </c>
      <c r="Q13" s="3" t="str">
        <f>HYPERLINK("https://www.google.com/maps/place/8.87731%2C-12.1085983", "8.87731,-12.1085983")</f>
        <v>8.87731,-12.1085983</v>
      </c>
    </row>
    <row r="14">
      <c r="A14" s="1" t="s">
        <v>72</v>
      </c>
      <c r="B14" s="1" t="s">
        <v>18</v>
      </c>
      <c r="C14" s="1" t="s">
        <v>73</v>
      </c>
      <c r="D14" s="1" t="s">
        <v>67</v>
      </c>
      <c r="E14" s="2">
        <v>45839.0</v>
      </c>
      <c r="F14" s="1" t="s">
        <v>68</v>
      </c>
      <c r="G14" s="1" t="s">
        <v>69</v>
      </c>
      <c r="H14" s="1" t="s">
        <v>70</v>
      </c>
      <c r="I14" s="1">
        <v>200.0</v>
      </c>
      <c r="J14" s="1" t="s">
        <v>24</v>
      </c>
      <c r="K14" s="1">
        <v>200.0</v>
      </c>
      <c r="L14" s="1">
        <v>200.0</v>
      </c>
      <c r="M14" s="1" t="s">
        <v>24</v>
      </c>
      <c r="N14" s="1" t="s">
        <v>24</v>
      </c>
      <c r="O14" s="1" t="s">
        <v>71</v>
      </c>
      <c r="P14" s="3" t="str">
        <f>HYPERLINK("https://icf.clappia.com/app/SOM165486/submission/ZHZ33865378/ICF247370-SOM165486-55ndfnh9ajhm00000000/SIG-20250701_1234o801m.jpeg", "SIG-20250701_1234o801m.jpeg")</f>
        <v>SIG-20250701_1234o801m.jpeg</v>
      </c>
      <c r="Q14" s="3" t="str">
        <f>HYPERLINK("https://www.google.com/maps/place/8.8771333%2C-12.1081817", "8.8771333,-12.1081817")</f>
        <v>8.8771333,-12.1081817</v>
      </c>
    </row>
    <row r="15">
      <c r="A15" s="1" t="s">
        <v>74</v>
      </c>
      <c r="B15" s="1" t="s">
        <v>18</v>
      </c>
      <c r="C15" s="1" t="s">
        <v>75</v>
      </c>
      <c r="D15" s="1" t="s">
        <v>76</v>
      </c>
      <c r="E15" s="2">
        <v>45839.0</v>
      </c>
      <c r="F15" s="1" t="s">
        <v>21</v>
      </c>
      <c r="G15" s="1" t="s">
        <v>77</v>
      </c>
      <c r="H15" s="1" t="s">
        <v>78</v>
      </c>
      <c r="I15" s="1">
        <v>200.0</v>
      </c>
      <c r="J15" s="1">
        <v>100.0</v>
      </c>
      <c r="K15" s="1">
        <v>300.0</v>
      </c>
      <c r="L15" s="1">
        <v>265.0</v>
      </c>
      <c r="M15" s="1">
        <v>35.0</v>
      </c>
      <c r="N15" s="1">
        <v>35.0</v>
      </c>
      <c r="O15" s="1" t="s">
        <v>79</v>
      </c>
      <c r="P15" s="3" t="str">
        <f>HYPERLINK("https://icf.clappia.com/app/SOM165486/submission/JSB25755377/ICF247370-SOM165486-2epecp5hm4j60000000/SIG-20250702_11134g1j6.jpeg", "SIG-20250702_11134g1j6.jpeg")</f>
        <v>SIG-20250702_11134g1j6.jpeg</v>
      </c>
      <c r="Q15" s="3" t="str">
        <f>HYPERLINK("https://www.google.com/maps/place/7.9751275%2C-11.7393928", "7.9751275,-11.7393928")</f>
        <v>7.9751275,-11.7393928</v>
      </c>
    </row>
    <row r="16">
      <c r="A16" s="1" t="s">
        <v>80</v>
      </c>
      <c r="B16" s="1" t="s">
        <v>18</v>
      </c>
      <c r="C16" s="1" t="s">
        <v>81</v>
      </c>
      <c r="D16" s="1" t="s">
        <v>82</v>
      </c>
      <c r="E16" s="2">
        <v>45839.0</v>
      </c>
      <c r="F16" s="1" t="s">
        <v>68</v>
      </c>
      <c r="G16" s="1" t="s">
        <v>83</v>
      </c>
      <c r="H16" s="1" t="s">
        <v>84</v>
      </c>
      <c r="I16" s="1">
        <v>500.0</v>
      </c>
      <c r="J16" s="1" t="s">
        <v>24</v>
      </c>
      <c r="K16" s="1">
        <v>500.0</v>
      </c>
      <c r="L16" s="1">
        <v>400.0</v>
      </c>
      <c r="M16" s="1">
        <v>100.0</v>
      </c>
      <c r="N16" s="1">
        <v>100.0</v>
      </c>
      <c r="O16" s="1" t="s">
        <v>85</v>
      </c>
      <c r="P16" s="3" t="str">
        <f>HYPERLINK("https://icf.clappia.com/app/SOM165486/submission/LYS02745998/ICF247370-SOM165486-3c33jfa67af200000000/SIG-20250701_1833k7k4o.jpeg", "SIG-20250701_1833k7k4o.jpeg")</f>
        <v>SIG-20250701_1833k7k4o.jpeg</v>
      </c>
      <c r="Q16" s="3" t="str">
        <f>HYPERLINK("https://www.google.com/maps/place/8.87842%2C-12.03601", "8.87842,-12.03601")</f>
        <v>8.87842,-12.03601</v>
      </c>
    </row>
    <row r="17">
      <c r="A17" s="1" t="s">
        <v>86</v>
      </c>
      <c r="B17" s="1" t="s">
        <v>18</v>
      </c>
      <c r="C17" s="1" t="s">
        <v>87</v>
      </c>
      <c r="D17" s="1" t="s">
        <v>82</v>
      </c>
      <c r="E17" s="2">
        <v>45839.0</v>
      </c>
      <c r="F17" s="1" t="s">
        <v>68</v>
      </c>
      <c r="G17" s="1" t="s">
        <v>88</v>
      </c>
      <c r="H17" s="1" t="s">
        <v>89</v>
      </c>
      <c r="I17" s="1">
        <v>500.0</v>
      </c>
      <c r="J17" s="1" t="s">
        <v>90</v>
      </c>
      <c r="K17" s="1">
        <v>500.0</v>
      </c>
      <c r="L17" s="1">
        <v>300.0</v>
      </c>
      <c r="M17" s="1">
        <v>200.0</v>
      </c>
      <c r="N17" s="1">
        <v>200.0</v>
      </c>
      <c r="O17" s="1" t="s">
        <v>91</v>
      </c>
      <c r="P17" s="3" t="str">
        <f>HYPERLINK("https://icf.clappia.com/app/SOM165486/submission/EIR01449841/ICF247370-SOM165486-48od60695b9400000000/SIG-20250701_111912l181.jpeg", "SIG-20250701_111912l181.jpeg")</f>
        <v>SIG-20250701_111912l181.jpeg</v>
      </c>
      <c r="Q17" s="3" t="str">
        <f>HYPERLINK("https://www.google.com/maps/place/8.875615%2C-12.043485", "8.875615,-12.043485")</f>
        <v>8.875615,-12.043485</v>
      </c>
    </row>
    <row r="18">
      <c r="A18" s="1" t="s">
        <v>92</v>
      </c>
      <c r="B18" s="1" t="s">
        <v>18</v>
      </c>
      <c r="C18" s="1" t="s">
        <v>93</v>
      </c>
      <c r="D18" s="1" t="s">
        <v>94</v>
      </c>
      <c r="E18" s="2">
        <v>45841.0</v>
      </c>
      <c r="F18" s="1" t="s">
        <v>21</v>
      </c>
      <c r="G18" s="1" t="s">
        <v>95</v>
      </c>
      <c r="H18" s="1" t="s">
        <v>96</v>
      </c>
      <c r="I18" s="1">
        <v>217.0</v>
      </c>
      <c r="J18" s="1" t="s">
        <v>24</v>
      </c>
      <c r="K18" s="1">
        <v>217.0</v>
      </c>
      <c r="L18" s="1">
        <v>217.0</v>
      </c>
      <c r="M18" s="1" t="s">
        <v>24</v>
      </c>
      <c r="N18" s="1" t="s">
        <v>24</v>
      </c>
      <c r="O18" s="1" t="s">
        <v>97</v>
      </c>
      <c r="P18" s="3" t="str">
        <f>HYPERLINK("https://icf.clappia.com/app/SOM165486/submission/LXR40576874/ICF247370-SOM165486-4dihbnh6eo3000000000/SIG-20250704_182759i2m.jpeg", "SIG-20250704_182759i2m.jpeg")</f>
        <v>SIG-20250704_182759i2m.jpeg</v>
      </c>
      <c r="Q18" s="3" t="str">
        <f t="shared" ref="Q18:Q21" si="1">HYPERLINK("https://www.google.com/maps/place/7.9574795%2C-11.7482916", "7.9574795,-11.7482916")</f>
        <v>7.9574795,-11.7482916</v>
      </c>
    </row>
    <row r="19">
      <c r="A19" s="1" t="s">
        <v>98</v>
      </c>
      <c r="B19" s="1" t="s">
        <v>18</v>
      </c>
      <c r="C19" s="1" t="s">
        <v>99</v>
      </c>
      <c r="D19" s="1" t="s">
        <v>100</v>
      </c>
      <c r="E19" s="2">
        <v>45840.0</v>
      </c>
      <c r="F19" s="1" t="s">
        <v>21</v>
      </c>
      <c r="G19" s="1" t="s">
        <v>95</v>
      </c>
      <c r="H19" s="1" t="s">
        <v>96</v>
      </c>
      <c r="I19" s="1">
        <v>50.0</v>
      </c>
      <c r="J19" s="1" t="s">
        <v>24</v>
      </c>
      <c r="K19" s="1">
        <v>50.0</v>
      </c>
      <c r="L19" s="1">
        <v>50.0</v>
      </c>
      <c r="M19" s="1" t="s">
        <v>24</v>
      </c>
      <c r="N19" s="1" t="s">
        <v>24</v>
      </c>
      <c r="O19" s="1" t="s">
        <v>97</v>
      </c>
      <c r="P19" s="3" t="str">
        <f>HYPERLINK("https://icf.clappia.com/app/SOM165486/submission/QNW99020052/ICF247370-SOM165486-4kekocoh10p200000000/SIG-20250704_182516oo8m.jpeg", "SIG-20250704_182516oo8m.jpeg")</f>
        <v>SIG-20250704_182516oo8m.jpeg</v>
      </c>
      <c r="Q19" s="3" t="str">
        <f t="shared" si="1"/>
        <v>7.9574795,-11.7482916</v>
      </c>
    </row>
    <row r="20" ht="15.75" customHeight="1">
      <c r="A20" s="1" t="s">
        <v>101</v>
      </c>
      <c r="B20" s="1" t="s">
        <v>18</v>
      </c>
      <c r="C20" s="1" t="s">
        <v>102</v>
      </c>
      <c r="D20" s="1" t="s">
        <v>100</v>
      </c>
      <c r="E20" s="2">
        <v>45839.0</v>
      </c>
      <c r="F20" s="1" t="s">
        <v>21</v>
      </c>
      <c r="G20" s="1" t="s">
        <v>95</v>
      </c>
      <c r="H20" s="1" t="s">
        <v>96</v>
      </c>
      <c r="I20" s="1">
        <v>280.0</v>
      </c>
      <c r="J20" s="1" t="s">
        <v>24</v>
      </c>
      <c r="K20" s="1">
        <v>280.0</v>
      </c>
      <c r="L20" s="1">
        <v>280.0</v>
      </c>
      <c r="M20" s="1" t="s">
        <v>24</v>
      </c>
      <c r="N20" s="1" t="s">
        <v>24</v>
      </c>
      <c r="O20" s="1" t="s">
        <v>97</v>
      </c>
      <c r="P20" s="3" t="str">
        <f>HYPERLINK("https://icf.clappia.com/app/SOM165486/submission/OBP12954246/ICF247370-SOM165486-2a7hcclf818lm0000000/SIG-20250704_1823g1g89.jpeg", "SIG-20250704_1823g1g89.jpeg")</f>
        <v>SIG-20250704_1823g1g89.jpeg</v>
      </c>
      <c r="Q20" s="3" t="str">
        <f t="shared" si="1"/>
        <v>7.9574795,-11.7482916</v>
      </c>
    </row>
    <row r="21" ht="15.75" customHeight="1">
      <c r="A21" s="1" t="s">
        <v>103</v>
      </c>
      <c r="B21" s="1" t="s">
        <v>18</v>
      </c>
      <c r="C21" s="1" t="s">
        <v>104</v>
      </c>
      <c r="D21" s="1" t="s">
        <v>100</v>
      </c>
      <c r="E21" s="2">
        <v>45838.0</v>
      </c>
      <c r="F21" s="1" t="s">
        <v>21</v>
      </c>
      <c r="G21" s="1" t="s">
        <v>95</v>
      </c>
      <c r="H21" s="1" t="s">
        <v>96</v>
      </c>
      <c r="I21" s="1">
        <v>50.0</v>
      </c>
      <c r="J21" s="1" t="s">
        <v>24</v>
      </c>
      <c r="K21" s="1">
        <v>50.0</v>
      </c>
      <c r="L21" s="1">
        <v>50.0</v>
      </c>
      <c r="M21" s="1" t="s">
        <v>24</v>
      </c>
      <c r="N21" s="1" t="s">
        <v>24</v>
      </c>
      <c r="O21" s="1" t="s">
        <v>97</v>
      </c>
      <c r="P21" s="3" t="str">
        <f>HYPERLINK("https://icf.clappia.com/app/SOM165486/submission/PPM24004986/ICF247370-SOM165486-7nonfok9eokm0000000/SIG-20250704_18204ngpd.jpeg", "SIG-20250704_18204ngpd.jpeg")</f>
        <v>SIG-20250704_18204ngpd.jpeg</v>
      </c>
      <c r="Q21" s="3" t="str">
        <f t="shared" si="1"/>
        <v>7.9574795,-11.7482916</v>
      </c>
    </row>
    <row r="22" ht="15.75" customHeight="1">
      <c r="A22" s="1" t="s">
        <v>105</v>
      </c>
      <c r="B22" s="1" t="s">
        <v>18</v>
      </c>
      <c r="C22" s="1" t="s">
        <v>106</v>
      </c>
      <c r="D22" s="1" t="s">
        <v>107</v>
      </c>
      <c r="E22" s="2">
        <v>45842.0</v>
      </c>
      <c r="F22" s="1" t="s">
        <v>21</v>
      </c>
      <c r="G22" s="1" t="s">
        <v>95</v>
      </c>
      <c r="H22" s="1" t="s">
        <v>96</v>
      </c>
      <c r="I22" s="1">
        <v>375.0</v>
      </c>
      <c r="J22" s="1" t="s">
        <v>24</v>
      </c>
      <c r="K22" s="1">
        <v>375.0</v>
      </c>
      <c r="L22" s="1">
        <v>375.0</v>
      </c>
      <c r="M22" s="1" t="s">
        <v>24</v>
      </c>
      <c r="N22" s="1" t="s">
        <v>24</v>
      </c>
      <c r="O22" s="1" t="s">
        <v>108</v>
      </c>
      <c r="P22" s="3" t="str">
        <f>HYPERLINK("https://icf.clappia.com/app/SOM165486/submission/DMJ28382748/ICF247370-SOM165486-2ofmin00agla00000000/SIG-20250704_182811777.jpeg", "SIG-20250704_182811777.jpeg")</f>
        <v>SIG-20250704_182811777.jpeg</v>
      </c>
      <c r="Q22" s="3" t="str">
        <f>HYPERLINK("https://www.google.com/maps/place/7.9579917%2C-11.7417467", "7.9579917,-11.7417467")</f>
        <v>7.9579917,-11.7417467</v>
      </c>
    </row>
    <row r="23" ht="15.75" customHeight="1">
      <c r="A23" s="1" t="s">
        <v>109</v>
      </c>
      <c r="B23" s="1" t="s">
        <v>18</v>
      </c>
      <c r="C23" s="1" t="s">
        <v>110</v>
      </c>
      <c r="D23" s="1" t="s">
        <v>107</v>
      </c>
      <c r="E23" s="2">
        <v>45841.0</v>
      </c>
      <c r="F23" s="1" t="s">
        <v>21</v>
      </c>
      <c r="G23" s="1" t="s">
        <v>95</v>
      </c>
      <c r="H23" s="1" t="s">
        <v>96</v>
      </c>
      <c r="I23" s="1">
        <v>286.0</v>
      </c>
      <c r="J23" s="1" t="s">
        <v>24</v>
      </c>
      <c r="K23" s="1">
        <v>286.0</v>
      </c>
      <c r="L23" s="1">
        <v>286.0</v>
      </c>
      <c r="M23" s="1" t="s">
        <v>24</v>
      </c>
      <c r="N23" s="1" t="s">
        <v>24</v>
      </c>
      <c r="O23" s="1" t="s">
        <v>108</v>
      </c>
      <c r="P23" s="3" t="str">
        <f>HYPERLINK("https://icf.clappia.com/app/SOM165486/submission/RYZ66213324/ICF247370-SOM165486-59m7kdp1cfm600000000/SIG-20250704_18261a9p40.jpeg", "SIG-20250704_18261a9p40.jpeg")</f>
        <v>SIG-20250704_18261a9p40.jpeg</v>
      </c>
      <c r="Q23" s="3" t="str">
        <f>HYPERLINK("https://www.google.com/maps/place/7.9579883%2C-11.74177", "7.9579883,-11.74177")</f>
        <v>7.9579883,-11.74177</v>
      </c>
    </row>
    <row r="24" ht="15.75" customHeight="1">
      <c r="A24" s="1" t="s">
        <v>111</v>
      </c>
      <c r="B24" s="1" t="s">
        <v>18</v>
      </c>
      <c r="C24" s="1" t="s">
        <v>99</v>
      </c>
      <c r="D24" s="1" t="s">
        <v>112</v>
      </c>
      <c r="E24" s="2">
        <v>45840.0</v>
      </c>
      <c r="F24" s="1" t="s">
        <v>21</v>
      </c>
      <c r="G24" s="1" t="s">
        <v>95</v>
      </c>
      <c r="H24" s="1" t="s">
        <v>96</v>
      </c>
      <c r="I24" s="1">
        <v>50.0</v>
      </c>
      <c r="J24" s="1" t="s">
        <v>24</v>
      </c>
      <c r="K24" s="1">
        <v>50.0</v>
      </c>
      <c r="L24" s="1">
        <v>50.0</v>
      </c>
      <c r="M24" s="1" t="s">
        <v>24</v>
      </c>
      <c r="N24" s="1" t="s">
        <v>24</v>
      </c>
      <c r="O24" s="1" t="s">
        <v>108</v>
      </c>
      <c r="P24" s="3" t="str">
        <f>HYPERLINK("https://icf.clappia.com/app/SOM165486/submission/ITJ39084888/ICF247370-SOM165486-j10agb5cdffe0000000/SIG-20250704_18251399g4.jpeg", "SIG-20250704_18251399g4.jpeg")</f>
        <v>SIG-20250704_18251399g4.jpeg</v>
      </c>
      <c r="Q24" s="3" t="str">
        <f>HYPERLINK("https://www.google.com/maps/place/7.9583783%2C-11.741735", "7.9583783,-11.741735")</f>
        <v>7.9583783,-11.741735</v>
      </c>
    </row>
    <row r="25" ht="15.75" customHeight="1">
      <c r="A25" s="1" t="s">
        <v>113</v>
      </c>
      <c r="B25" s="1" t="s">
        <v>18</v>
      </c>
      <c r="C25" s="1" t="s">
        <v>102</v>
      </c>
      <c r="D25" s="1" t="s">
        <v>112</v>
      </c>
      <c r="E25" s="2">
        <v>45839.0</v>
      </c>
      <c r="F25" s="1" t="s">
        <v>21</v>
      </c>
      <c r="G25" s="1" t="s">
        <v>95</v>
      </c>
      <c r="H25" s="1" t="s">
        <v>96</v>
      </c>
      <c r="I25" s="1">
        <v>100.0</v>
      </c>
      <c r="J25" s="1" t="s">
        <v>24</v>
      </c>
      <c r="K25" s="1">
        <v>100.0</v>
      </c>
      <c r="L25" s="1">
        <v>100.0</v>
      </c>
      <c r="M25" s="1" t="s">
        <v>24</v>
      </c>
      <c r="N25" s="1" t="s">
        <v>24</v>
      </c>
      <c r="O25" s="1" t="s">
        <v>114</v>
      </c>
      <c r="P25" s="3" t="str">
        <f>HYPERLINK("https://icf.clappia.com/app/SOM165486/submission/CZA43644022/ICF247370-SOM165486-5f7jli54jine00000000/SIG-20250704_1824enia6.jpeg", "SIG-20250704_1824enia6.jpeg")</f>
        <v>SIG-20250704_1824enia6.jpeg</v>
      </c>
      <c r="Q25" s="3" t="str">
        <f>HYPERLINK("https://www.google.com/maps/place/7.95771%2C-11.7416033", "7.95771,-11.7416033")</f>
        <v>7.95771,-11.7416033</v>
      </c>
    </row>
    <row r="26" ht="15.75" customHeight="1">
      <c r="A26" s="1" t="s">
        <v>115</v>
      </c>
      <c r="B26" s="1" t="s">
        <v>18</v>
      </c>
      <c r="C26" s="1" t="s">
        <v>104</v>
      </c>
      <c r="D26" s="1" t="s">
        <v>112</v>
      </c>
      <c r="E26" s="2">
        <v>45838.0</v>
      </c>
      <c r="F26" s="1" t="s">
        <v>21</v>
      </c>
      <c r="G26" s="1" t="s">
        <v>95</v>
      </c>
      <c r="H26" s="1" t="s">
        <v>96</v>
      </c>
      <c r="I26" s="1">
        <v>200.0</v>
      </c>
      <c r="J26" s="1" t="s">
        <v>24</v>
      </c>
      <c r="K26" s="1">
        <v>200.0</v>
      </c>
      <c r="L26" s="1" t="s">
        <v>24</v>
      </c>
      <c r="M26" s="1">
        <v>200.0</v>
      </c>
      <c r="N26" s="1" t="s">
        <v>24</v>
      </c>
      <c r="O26" s="1" t="s">
        <v>116</v>
      </c>
      <c r="P26" s="3" t="str">
        <f>HYPERLINK("https://icf.clappia.com/app/SOM165486/submission/PNV08033266/ICF247370-SOM165486-4637khaebl9e00000000/SIG-20250704_1820dghng.jpeg", "SIG-20250704_1820dghng.jpeg")</f>
        <v>SIG-20250704_1820dghng.jpeg</v>
      </c>
      <c r="Q26" s="3" t="str">
        <f>HYPERLINK("https://www.google.com/maps/place/7.95768%2C-11.7415683", "7.95768,-11.7415683")</f>
        <v>7.95768,-11.7415683</v>
      </c>
    </row>
    <row r="27" ht="15.75" customHeight="1">
      <c r="A27" s="1" t="s">
        <v>117</v>
      </c>
      <c r="B27" s="1" t="s">
        <v>18</v>
      </c>
      <c r="C27" s="1" t="s">
        <v>118</v>
      </c>
      <c r="D27" s="1" t="s">
        <v>119</v>
      </c>
      <c r="E27" s="2">
        <v>44746.0</v>
      </c>
      <c r="F27" s="1" t="s">
        <v>21</v>
      </c>
      <c r="G27" s="1" t="s">
        <v>77</v>
      </c>
      <c r="H27" s="1" t="s">
        <v>120</v>
      </c>
      <c r="I27" s="1">
        <v>61.0</v>
      </c>
      <c r="J27" s="1" t="s">
        <v>24</v>
      </c>
      <c r="K27" s="1">
        <v>61.0</v>
      </c>
      <c r="L27" s="1">
        <v>61.0</v>
      </c>
      <c r="M27" s="1" t="s">
        <v>24</v>
      </c>
      <c r="N27" s="1" t="s">
        <v>24</v>
      </c>
      <c r="O27" s="1" t="s">
        <v>121</v>
      </c>
      <c r="P27" s="3" t="str">
        <f>HYPERLINK("https://icf.clappia.com/app/SOM165486/submission/JSR73552911/ICF247370-SOM165486-2eieebijn3ji00000000/SIG-20250704_1002d01e3.jpeg", "SIG-20250704_1002d01e3.jpeg")</f>
        <v>SIG-20250704_1002d01e3.jpeg</v>
      </c>
      <c r="Q27" s="3" t="str">
        <f>HYPERLINK("https://www.google.com/maps/place/7.9464533%2C-11.7213633", "7.9464533,-11.7213633")</f>
        <v>7.9464533,-11.7213633</v>
      </c>
    </row>
    <row r="28" ht="15.75" customHeight="1">
      <c r="A28" s="1" t="s">
        <v>122</v>
      </c>
      <c r="B28" s="1" t="s">
        <v>18</v>
      </c>
      <c r="C28" s="1" t="s">
        <v>123</v>
      </c>
      <c r="D28" s="1" t="s">
        <v>124</v>
      </c>
      <c r="E28" s="2">
        <v>45842.0</v>
      </c>
      <c r="F28" s="1" t="s">
        <v>21</v>
      </c>
      <c r="G28" s="1" t="s">
        <v>77</v>
      </c>
      <c r="H28" s="1" t="s">
        <v>120</v>
      </c>
      <c r="I28" s="1">
        <v>61.0</v>
      </c>
      <c r="J28" s="1" t="s">
        <v>24</v>
      </c>
      <c r="K28" s="1">
        <v>61.0</v>
      </c>
      <c r="L28" s="1">
        <v>61.0</v>
      </c>
      <c r="M28" s="1" t="s">
        <v>24</v>
      </c>
      <c r="N28" s="1" t="s">
        <v>24</v>
      </c>
      <c r="O28" s="1" t="s">
        <v>125</v>
      </c>
      <c r="P28" s="3" t="str">
        <f>HYPERLINK("https://icf.clappia.com/app/SOM165486/submission/GWG12911580/ICF247370-SOM165486-22aa76c05oelm0000000/SIG-20250704_0959lp9hc.jpeg", "SIG-20250704_0959lp9hc.jpeg")</f>
        <v>SIG-20250704_0959lp9hc.jpeg</v>
      </c>
      <c r="Q28" s="3" t="str">
        <f>HYPERLINK("https://www.google.com/maps/place/7.94615%2C-11.7213667", "7.94615,-11.7213667")</f>
        <v>7.94615,-11.7213667</v>
      </c>
    </row>
    <row r="29" ht="15.75" customHeight="1">
      <c r="A29" s="1" t="s">
        <v>126</v>
      </c>
      <c r="B29" s="1" t="s">
        <v>18</v>
      </c>
      <c r="C29" s="1" t="s">
        <v>127</v>
      </c>
      <c r="D29" s="1" t="s">
        <v>128</v>
      </c>
      <c r="E29" s="2">
        <v>45840.0</v>
      </c>
      <c r="F29" s="1" t="s">
        <v>21</v>
      </c>
      <c r="G29" s="1" t="s">
        <v>129</v>
      </c>
      <c r="H29" s="1" t="s">
        <v>130</v>
      </c>
      <c r="I29" s="1">
        <v>50.0</v>
      </c>
      <c r="J29" s="1" t="s">
        <v>24</v>
      </c>
      <c r="K29" s="1">
        <v>50.0</v>
      </c>
      <c r="L29" s="1">
        <v>47.0</v>
      </c>
      <c r="M29" s="1">
        <v>3.0</v>
      </c>
      <c r="N29" s="1">
        <v>3.0</v>
      </c>
      <c r="O29" s="1" t="s">
        <v>131</v>
      </c>
      <c r="P29" s="3" t="str">
        <f>HYPERLINK("https://icf.clappia.com/app/SOM165486/submission/ELV91857054/ICF247370-SOM165486-3b2jm3b8dh0i00000000/SIG-20250702_1214164ca.jpeg", "SIG-20250702_1214164ca.jpeg")</f>
        <v>SIG-20250702_1214164ca.jpeg</v>
      </c>
    </row>
    <row r="30" ht="15.75" customHeight="1">
      <c r="A30" s="1" t="s">
        <v>132</v>
      </c>
      <c r="B30" s="1" t="s">
        <v>18</v>
      </c>
      <c r="C30" s="1" t="s">
        <v>133</v>
      </c>
      <c r="D30" s="1" t="s">
        <v>128</v>
      </c>
      <c r="E30" s="2">
        <v>45840.0</v>
      </c>
      <c r="F30" s="1" t="s">
        <v>21</v>
      </c>
      <c r="G30" s="1" t="s">
        <v>129</v>
      </c>
      <c r="H30" s="1" t="s">
        <v>130</v>
      </c>
      <c r="I30" s="1">
        <v>50.0</v>
      </c>
      <c r="J30" s="1" t="s">
        <v>24</v>
      </c>
      <c r="K30" s="1">
        <v>50.0</v>
      </c>
      <c r="L30" s="1">
        <v>47.0</v>
      </c>
      <c r="M30" s="1">
        <v>3.0</v>
      </c>
      <c r="N30" s="1">
        <v>3.0</v>
      </c>
      <c r="O30" s="1" t="s">
        <v>131</v>
      </c>
      <c r="P30" s="3" t="str">
        <f>HYPERLINK("https://icf.clappia.com/app/SOM165486/submission/RIN99859012/ICF247370-SOM165486-f4aj6g3mlbi80000000/SIG-20250702_1208107c62.jpeg", "SIG-20250702_1208107c62.jpeg")</f>
        <v>SIG-20250702_1208107c62.jpeg</v>
      </c>
    </row>
    <row r="31" ht="15.75" customHeight="1">
      <c r="A31" s="1" t="s">
        <v>134</v>
      </c>
      <c r="B31" s="1" t="s">
        <v>18</v>
      </c>
      <c r="C31" s="1" t="s">
        <v>135</v>
      </c>
      <c r="D31" s="1" t="s">
        <v>128</v>
      </c>
      <c r="E31" s="2">
        <v>45840.0</v>
      </c>
      <c r="F31" s="1" t="s">
        <v>21</v>
      </c>
      <c r="G31" s="1" t="s">
        <v>129</v>
      </c>
      <c r="H31" s="1" t="s">
        <v>130</v>
      </c>
      <c r="I31" s="1">
        <v>50.0</v>
      </c>
      <c r="J31" s="1" t="s">
        <v>24</v>
      </c>
      <c r="K31" s="1">
        <v>50.0</v>
      </c>
      <c r="L31" s="1">
        <v>47.0</v>
      </c>
      <c r="M31" s="1">
        <v>3.0</v>
      </c>
      <c r="N31" s="1">
        <v>3.0</v>
      </c>
      <c r="O31" s="1" t="s">
        <v>131</v>
      </c>
      <c r="P31" s="3" t="str">
        <f>HYPERLINK("https://icf.clappia.com/app/SOM165486/submission/GKO89071314/ICF247370-SOM165486-4kd7mi4o1ofm00000000/SIG-20250702_1206f5ai8.jpeg", "SIG-20250702_1206f5ai8.jpeg")</f>
        <v>SIG-20250702_1206f5ai8.jpeg</v>
      </c>
    </row>
    <row r="32" ht="15.75" customHeight="1">
      <c r="A32" s="1" t="s">
        <v>136</v>
      </c>
      <c r="B32" s="1" t="s">
        <v>18</v>
      </c>
      <c r="C32" s="1" t="s">
        <v>137</v>
      </c>
      <c r="D32" s="1" t="s">
        <v>128</v>
      </c>
      <c r="E32" s="2">
        <v>45840.0</v>
      </c>
      <c r="F32" s="1" t="s">
        <v>21</v>
      </c>
      <c r="G32" s="1" t="s">
        <v>129</v>
      </c>
      <c r="H32" s="1" t="s">
        <v>130</v>
      </c>
      <c r="I32" s="1">
        <v>50.0</v>
      </c>
      <c r="J32" s="1" t="s">
        <v>24</v>
      </c>
      <c r="K32" s="1">
        <v>50.0</v>
      </c>
      <c r="L32" s="1">
        <v>47.0</v>
      </c>
      <c r="M32" s="1">
        <v>3.0</v>
      </c>
      <c r="N32" s="1">
        <v>3.0</v>
      </c>
      <c r="O32" s="1" t="s">
        <v>131</v>
      </c>
      <c r="P32" s="3" t="str">
        <f>HYPERLINK("https://icf.clappia.com/app/SOM165486/submission/CKT88449931/ICF247370-SOM165486-2j7jkmgon1o600000000/SIG-20250702_1203f91np.jpeg", "SIG-20250702_1203f91np.jpeg")</f>
        <v>SIG-20250702_1203f91np.jpeg</v>
      </c>
    </row>
    <row r="33" ht="15.75" customHeight="1">
      <c r="A33" s="1" t="s">
        <v>138</v>
      </c>
      <c r="B33" s="1" t="s">
        <v>18</v>
      </c>
      <c r="C33" s="1" t="s">
        <v>139</v>
      </c>
      <c r="D33" s="1" t="s">
        <v>128</v>
      </c>
      <c r="E33" s="2">
        <v>45839.0</v>
      </c>
      <c r="F33" s="1" t="s">
        <v>21</v>
      </c>
      <c r="G33" s="1" t="s">
        <v>129</v>
      </c>
      <c r="H33" s="1" t="s">
        <v>130</v>
      </c>
      <c r="I33" s="1">
        <v>75.0</v>
      </c>
      <c r="J33" s="1" t="s">
        <v>24</v>
      </c>
      <c r="K33" s="1">
        <v>75.0</v>
      </c>
      <c r="L33" s="1">
        <v>50.0</v>
      </c>
      <c r="M33" s="1">
        <v>25.0</v>
      </c>
      <c r="N33" s="1">
        <v>25.0</v>
      </c>
      <c r="O33" s="1" t="s">
        <v>131</v>
      </c>
      <c r="P33" s="3" t="str">
        <f>HYPERLINK("https://icf.clappia.com/app/SOM165486/submission/AUX91232804/ICF247370-SOM165486-4g5ko61296de00000000/SIG-20250701_1325173n6k.jpeg", "SIG-20250701_1325173n6k.jpeg")</f>
        <v>SIG-20250701_1325173n6k.jpeg</v>
      </c>
    </row>
    <row r="34" ht="15.75" customHeight="1">
      <c r="A34" s="1" t="s">
        <v>140</v>
      </c>
      <c r="B34" s="1" t="s">
        <v>18</v>
      </c>
      <c r="C34" s="1" t="s">
        <v>73</v>
      </c>
      <c r="D34" s="1" t="s">
        <v>141</v>
      </c>
      <c r="E34" s="2">
        <v>45838.0</v>
      </c>
      <c r="F34" s="1" t="s">
        <v>21</v>
      </c>
      <c r="G34" s="1" t="s">
        <v>129</v>
      </c>
      <c r="H34" s="1" t="s">
        <v>142</v>
      </c>
      <c r="I34" s="1">
        <v>200.0</v>
      </c>
      <c r="J34" s="1" t="s">
        <v>24</v>
      </c>
      <c r="K34" s="1">
        <v>200.0</v>
      </c>
      <c r="L34" s="1">
        <v>162.0</v>
      </c>
      <c r="M34" s="1">
        <v>38.0</v>
      </c>
      <c r="N34" s="1">
        <v>38.0</v>
      </c>
      <c r="O34" s="1" t="s">
        <v>143</v>
      </c>
      <c r="P34" s="3" t="str">
        <f>HYPERLINK("https://icf.clappia.com/app/SOM165486/submission/RRO29482196/ICF247370-SOM165486-in5ghhmkml3e0000000/SIG-20250701_123515l9bk.jpeg", "SIG-20250701_123515l9bk.jpeg")</f>
        <v>SIG-20250701_123515l9bk.jpeg</v>
      </c>
      <c r="Q34" s="3" t="str">
        <f>HYPERLINK("https://www.google.com/maps/place/7.6849588%2C-11.7653796", "7.6849588,-11.7653796")</f>
        <v>7.6849588,-11.7653796</v>
      </c>
    </row>
    <row r="35" ht="15.75" customHeight="1">
      <c r="A35" s="1" t="s">
        <v>144</v>
      </c>
      <c r="B35" s="1" t="s">
        <v>18</v>
      </c>
      <c r="C35" s="1" t="s">
        <v>145</v>
      </c>
      <c r="D35" s="1" t="s">
        <v>146</v>
      </c>
      <c r="E35" s="2">
        <v>45842.0</v>
      </c>
      <c r="F35" s="1" t="s">
        <v>21</v>
      </c>
      <c r="G35" s="1" t="s">
        <v>58</v>
      </c>
      <c r="H35" s="1" t="s">
        <v>147</v>
      </c>
      <c r="I35" s="1">
        <v>361.0</v>
      </c>
      <c r="J35" s="1" t="s">
        <v>24</v>
      </c>
      <c r="K35" s="1">
        <v>361.0</v>
      </c>
      <c r="L35" s="1">
        <v>328.0</v>
      </c>
      <c r="M35" s="1">
        <v>33.0</v>
      </c>
      <c r="N35" s="1">
        <v>33.0</v>
      </c>
      <c r="O35" s="1" t="s">
        <v>148</v>
      </c>
      <c r="P35" s="3" t="str">
        <f>HYPERLINK("https://icf.clappia.com/app/SOM165486/submission/KQH32736904/ICF247370-SOM165486-5fb4phfk64ke00000000/SIG-20250704_18587b4oo.jpeg", "SIG-20250704_18587b4oo.jpeg")</f>
        <v>SIG-20250704_18587b4oo.jpeg</v>
      </c>
      <c r="Q35" s="3" t="str">
        <f>HYPERLINK("https://www.google.com/maps/place/7.8782933%2C-11.7809617", "7.8782933,-11.7809617")</f>
        <v>7.8782933,-11.7809617</v>
      </c>
    </row>
    <row r="36" ht="15.75" customHeight="1">
      <c r="A36" s="1" t="s">
        <v>149</v>
      </c>
      <c r="B36" s="1" t="s">
        <v>18</v>
      </c>
      <c r="C36" s="1" t="s">
        <v>150</v>
      </c>
      <c r="D36" s="1" t="s">
        <v>151</v>
      </c>
      <c r="E36" s="2">
        <v>45842.0</v>
      </c>
      <c r="F36" s="1" t="s">
        <v>21</v>
      </c>
      <c r="G36" s="1" t="s">
        <v>58</v>
      </c>
      <c r="H36" s="1" t="s">
        <v>152</v>
      </c>
      <c r="I36" s="1">
        <v>49.0</v>
      </c>
      <c r="J36" s="1" t="s">
        <v>24</v>
      </c>
      <c r="K36" s="1">
        <v>49.0</v>
      </c>
      <c r="L36" s="1">
        <v>49.0</v>
      </c>
      <c r="M36" s="1" t="s">
        <v>24</v>
      </c>
      <c r="N36" s="1" t="s">
        <v>24</v>
      </c>
      <c r="O36" s="1" t="s">
        <v>153</v>
      </c>
      <c r="P36" s="3" t="str">
        <f>HYPERLINK("https://icf.clappia.com/app/SOM165486/submission/JEB24050006/ICF247370-SOM165486-542m79io2lg400000000/SIG-20250704_10417mmb5.jpeg", "SIG-20250704_10417mmb5.jpeg")</f>
        <v>SIG-20250704_10417mmb5.jpeg</v>
      </c>
      <c r="Q36" s="3" t="str">
        <f>HYPERLINK("https://www.google.com/maps/place/7.8706856%2C-11.7087865", "7.8706856,-11.7087865")</f>
        <v>7.8706856,-11.7087865</v>
      </c>
    </row>
    <row r="37" ht="15.75" customHeight="1">
      <c r="A37" s="1" t="s">
        <v>154</v>
      </c>
      <c r="B37" s="1" t="s">
        <v>18</v>
      </c>
      <c r="C37" s="1" t="s">
        <v>155</v>
      </c>
      <c r="D37" s="1" t="s">
        <v>151</v>
      </c>
      <c r="E37" s="2">
        <v>45841.0</v>
      </c>
      <c r="F37" s="1" t="s">
        <v>21</v>
      </c>
      <c r="G37" s="1" t="s">
        <v>58</v>
      </c>
      <c r="H37" s="1" t="s">
        <v>152</v>
      </c>
      <c r="I37" s="1">
        <v>146.0</v>
      </c>
      <c r="J37" s="1" t="s">
        <v>24</v>
      </c>
      <c r="K37" s="1">
        <v>146.0</v>
      </c>
      <c r="L37" s="1">
        <v>97.0</v>
      </c>
      <c r="M37" s="1">
        <v>49.0</v>
      </c>
      <c r="N37" s="1">
        <v>49.0</v>
      </c>
      <c r="O37" s="1">
        <v>3.0</v>
      </c>
      <c r="P37" s="3" t="str">
        <f>HYPERLINK("https://icf.clappia.com/app/SOM165486/submission/WIO39177384/ICF247370-SOM165486-1o1dmnkbi615a0000000/SIG-20250703_1016kafe8.jpeg", "SIG-20250703_1016kafe8.jpeg")</f>
        <v>SIG-20250703_1016kafe8.jpeg</v>
      </c>
      <c r="Q37" s="3" t="str">
        <f>HYPERLINK("https://www.google.com/maps/place/7.8656167%2C-11.7068433", "7.8656167,-11.7068433")</f>
        <v>7.8656167,-11.7068433</v>
      </c>
    </row>
    <row r="38" ht="15.75" customHeight="1">
      <c r="A38" s="1" t="s">
        <v>156</v>
      </c>
      <c r="B38" s="1" t="s">
        <v>18</v>
      </c>
      <c r="C38" s="1" t="s">
        <v>157</v>
      </c>
      <c r="D38" s="1" t="s">
        <v>151</v>
      </c>
      <c r="E38" s="2">
        <v>45840.0</v>
      </c>
      <c r="F38" s="1" t="s">
        <v>21</v>
      </c>
      <c r="G38" s="1" t="s">
        <v>58</v>
      </c>
      <c r="H38" s="1" t="s">
        <v>152</v>
      </c>
      <c r="I38" s="1">
        <v>124.0</v>
      </c>
      <c r="J38" s="1" t="s">
        <v>24</v>
      </c>
      <c r="K38" s="1">
        <v>124.0</v>
      </c>
      <c r="L38" s="1">
        <v>47.0</v>
      </c>
      <c r="M38" s="1">
        <v>77.0</v>
      </c>
      <c r="N38" s="1">
        <v>77.0</v>
      </c>
      <c r="O38" s="1" t="s">
        <v>153</v>
      </c>
      <c r="P38" s="3" t="str">
        <f>HYPERLINK("https://icf.clappia.com/app/SOM165486/submission/PRH46234659/ICF247370-SOM165486-5ckj5k6p8cg800000000/SIG-20250702_11219nb0.jpeg", "SIG-20250702_11219nb0.jpeg")</f>
        <v>SIG-20250702_11219nb0.jpeg</v>
      </c>
      <c r="Q38" s="3" t="str">
        <f>HYPERLINK("https://www.google.com/maps/place/7.8636717%2C-11.7073883", "7.8636717,-11.7073883")</f>
        <v>7.8636717,-11.7073883</v>
      </c>
    </row>
    <row r="39" ht="15.75" customHeight="1">
      <c r="A39" s="1" t="s">
        <v>158</v>
      </c>
      <c r="B39" s="1" t="s">
        <v>18</v>
      </c>
      <c r="C39" s="1" t="s">
        <v>159</v>
      </c>
      <c r="D39" s="1" t="s">
        <v>160</v>
      </c>
      <c r="E39" s="2">
        <v>45839.0</v>
      </c>
      <c r="F39" s="1" t="s">
        <v>21</v>
      </c>
      <c r="G39" s="1" t="s">
        <v>58</v>
      </c>
      <c r="H39" s="1" t="s">
        <v>152</v>
      </c>
      <c r="I39" s="1">
        <v>164.0</v>
      </c>
      <c r="J39" s="1" t="s">
        <v>24</v>
      </c>
      <c r="K39" s="1">
        <v>164.0</v>
      </c>
      <c r="L39" s="1">
        <v>40.0</v>
      </c>
      <c r="M39" s="1">
        <v>124.0</v>
      </c>
      <c r="N39" s="1">
        <v>124.0</v>
      </c>
      <c r="O39" s="1">
        <v>3.0</v>
      </c>
      <c r="P39" s="3" t="str">
        <f>HYPERLINK("https://icf.clappia.com/app/SOM165486/submission/DQW37366529/ICF247370-SOM165486-4k4fbpb2b8km00000000/SIG-20250701_0927bj6i3.jpeg", "SIG-20250701_0927bj6i3.jpeg")</f>
        <v>SIG-20250701_0927bj6i3.jpeg</v>
      </c>
      <c r="Q39" s="3" t="str">
        <f>HYPERLINK("https://www.google.com/maps/place/7.8658581%2C-11.70673", "7.8658581,-11.70673")</f>
        <v>7.8658581,-11.70673</v>
      </c>
    </row>
    <row r="40" ht="15.75" customHeight="1">
      <c r="A40" s="1" t="s">
        <v>161</v>
      </c>
      <c r="B40" s="1" t="s">
        <v>18</v>
      </c>
      <c r="C40" s="1" t="s">
        <v>162</v>
      </c>
      <c r="D40" s="1" t="s">
        <v>163</v>
      </c>
      <c r="E40" s="2">
        <v>45842.0</v>
      </c>
      <c r="F40" s="1" t="s">
        <v>21</v>
      </c>
      <c r="G40" s="1" t="s">
        <v>164</v>
      </c>
      <c r="H40" s="1" t="s">
        <v>165</v>
      </c>
      <c r="I40" s="1">
        <v>178.0</v>
      </c>
      <c r="J40" s="1" t="s">
        <v>24</v>
      </c>
      <c r="K40" s="1">
        <v>178.0</v>
      </c>
      <c r="L40" s="1">
        <v>178.0</v>
      </c>
      <c r="M40" s="1" t="s">
        <v>24</v>
      </c>
      <c r="N40" s="1" t="s">
        <v>24</v>
      </c>
      <c r="O40" s="1" t="s">
        <v>166</v>
      </c>
      <c r="P40" s="3" t="str">
        <f>HYPERLINK("https://icf.clappia.com/app/SOM165486/submission/IJU42043673/ICF247370-SOM165486-3fd1pi53hbi800000000/SIG-20250704_173719g55l.jpeg", "SIG-20250704_173719g55l.jpeg")</f>
        <v>SIG-20250704_173719g55l.jpeg</v>
      </c>
    </row>
    <row r="41" ht="15.75" customHeight="1">
      <c r="A41" s="1" t="s">
        <v>167</v>
      </c>
      <c r="B41" s="1" t="s">
        <v>18</v>
      </c>
      <c r="C41" s="1" t="s">
        <v>168</v>
      </c>
      <c r="D41" s="1" t="s">
        <v>163</v>
      </c>
      <c r="E41" s="2">
        <v>45841.0</v>
      </c>
      <c r="F41" s="1" t="s">
        <v>21</v>
      </c>
      <c r="G41" s="1" t="s">
        <v>164</v>
      </c>
      <c r="H41" s="1" t="s">
        <v>165</v>
      </c>
      <c r="I41" s="1">
        <v>59.0</v>
      </c>
      <c r="J41" s="1" t="s">
        <v>24</v>
      </c>
      <c r="K41" s="1">
        <v>59.0</v>
      </c>
      <c r="L41" s="1">
        <v>59.0</v>
      </c>
      <c r="M41" s="1" t="s">
        <v>24</v>
      </c>
      <c r="N41" s="1" t="s">
        <v>24</v>
      </c>
      <c r="O41" s="1" t="s">
        <v>166</v>
      </c>
      <c r="P41" s="3" t="str">
        <f>HYPERLINK("https://icf.clappia.com/app/SOM165486/submission/WOA59224743/ICF247370-SOM165486-6a223006co8800000000/SIG-20250704_1735aecc7.jpeg", "SIG-20250704_1735aecc7.jpeg")</f>
        <v>SIG-20250704_1735aecc7.jpeg</v>
      </c>
      <c r="Q41" s="3" t="str">
        <f t="shared" ref="Q41:Q42" si="2">HYPERLINK("https://www.google.com/maps/place/7.6797015%2C-11.8109611", "7.6797015,-11.8109611")</f>
        <v>7.6797015,-11.8109611</v>
      </c>
    </row>
    <row r="42" ht="15.75" customHeight="1">
      <c r="A42" s="1" t="s">
        <v>169</v>
      </c>
      <c r="B42" s="1" t="s">
        <v>18</v>
      </c>
      <c r="C42" s="1" t="s">
        <v>170</v>
      </c>
      <c r="D42" s="1" t="s">
        <v>163</v>
      </c>
      <c r="E42" s="2">
        <v>45840.0</v>
      </c>
      <c r="F42" s="1" t="s">
        <v>21</v>
      </c>
      <c r="G42" s="1" t="s">
        <v>164</v>
      </c>
      <c r="H42" s="1" t="s">
        <v>165</v>
      </c>
      <c r="I42" s="1">
        <v>55.0</v>
      </c>
      <c r="J42" s="1" t="s">
        <v>24</v>
      </c>
      <c r="K42" s="1">
        <v>55.0</v>
      </c>
      <c r="L42" s="1">
        <v>55.0</v>
      </c>
      <c r="M42" s="1" t="s">
        <v>24</v>
      </c>
      <c r="N42" s="1" t="s">
        <v>24</v>
      </c>
      <c r="O42" s="1" t="s">
        <v>171</v>
      </c>
      <c r="P42" s="3" t="str">
        <f>HYPERLINK("https://icf.clappia.com/app/SOM165486/submission/TEQ40926329/ICF247370-SOM165486-5i1ebf7gd34800000000/SIG-20250704_173316codb.jpeg", "SIG-20250704_173316codb.jpeg")</f>
        <v>SIG-20250704_173316codb.jpeg</v>
      </c>
      <c r="Q42" s="3" t="str">
        <f t="shared" si="2"/>
        <v>7.6797015,-11.8109611</v>
      </c>
    </row>
    <row r="43" ht="15.75" customHeight="1">
      <c r="A43" s="1" t="s">
        <v>172</v>
      </c>
      <c r="B43" s="1" t="s">
        <v>18</v>
      </c>
      <c r="C43" s="1" t="s">
        <v>173</v>
      </c>
      <c r="D43" s="1" t="s">
        <v>163</v>
      </c>
      <c r="E43" s="2">
        <v>45839.0</v>
      </c>
      <c r="F43" s="1" t="s">
        <v>21</v>
      </c>
      <c r="G43" s="1" t="s">
        <v>164</v>
      </c>
      <c r="H43" s="1" t="s">
        <v>165</v>
      </c>
      <c r="I43" s="1">
        <v>258.0</v>
      </c>
      <c r="J43" s="1" t="s">
        <v>24</v>
      </c>
      <c r="K43" s="1">
        <v>258.0</v>
      </c>
      <c r="L43" s="1">
        <v>258.0</v>
      </c>
      <c r="M43" s="1" t="s">
        <v>24</v>
      </c>
      <c r="N43" s="1" t="s">
        <v>24</v>
      </c>
      <c r="O43" s="1" t="s">
        <v>174</v>
      </c>
      <c r="P43" s="3" t="str">
        <f>HYPERLINK("https://icf.clappia.com/app/SOM165486/submission/CJU54233179/ICF247370-SOM165486-351d1kkdpm7800000000/SIG-20250704_17326c85c.jpeg", "SIG-20250704_17326c85c.jpeg")</f>
        <v>SIG-20250704_17326c85c.jpeg</v>
      </c>
    </row>
    <row r="44" ht="15.75" customHeight="1">
      <c r="A44" s="1" t="s">
        <v>175</v>
      </c>
      <c r="B44" s="1" t="s">
        <v>18</v>
      </c>
      <c r="C44" s="1" t="s">
        <v>176</v>
      </c>
      <c r="D44" s="1" t="s">
        <v>163</v>
      </c>
      <c r="E44" s="2">
        <v>45838.0</v>
      </c>
      <c r="F44" s="1" t="s">
        <v>21</v>
      </c>
      <c r="G44" s="1" t="s">
        <v>164</v>
      </c>
      <c r="H44" s="1" t="s">
        <v>165</v>
      </c>
      <c r="I44" s="1">
        <v>152.0</v>
      </c>
      <c r="J44" s="1" t="s">
        <v>24</v>
      </c>
      <c r="K44" s="1">
        <v>152.0</v>
      </c>
      <c r="L44" s="1">
        <v>152.0</v>
      </c>
      <c r="M44" s="1" t="s">
        <v>24</v>
      </c>
      <c r="N44" s="1" t="s">
        <v>24</v>
      </c>
      <c r="O44" s="1" t="s">
        <v>174</v>
      </c>
      <c r="P44" s="3" t="str">
        <f>HYPERLINK("https://icf.clappia.com/app/SOM165486/submission/GMN22189754/ICF247370-SOM165486-47pc5np61eg800000000/SIG-20250704_1729hg0ep.jpeg", "SIG-20250704_1729hg0ep.jpeg")</f>
        <v>SIG-20250704_1729hg0ep.jpeg</v>
      </c>
    </row>
    <row r="45" ht="15.75" customHeight="1">
      <c r="A45" s="1" t="s">
        <v>177</v>
      </c>
      <c r="B45" s="1" t="s">
        <v>18</v>
      </c>
      <c r="C45" s="1" t="s">
        <v>178</v>
      </c>
      <c r="D45" s="1" t="s">
        <v>163</v>
      </c>
      <c r="E45" s="2">
        <v>45842.0</v>
      </c>
      <c r="F45" s="1" t="s">
        <v>21</v>
      </c>
      <c r="G45" s="1" t="s">
        <v>164</v>
      </c>
      <c r="H45" s="1" t="s">
        <v>165</v>
      </c>
      <c r="I45" s="1">
        <v>150.0</v>
      </c>
      <c r="J45" s="1">
        <v>28.0</v>
      </c>
      <c r="K45" s="1">
        <v>178.0</v>
      </c>
      <c r="L45" s="1">
        <v>178.0</v>
      </c>
      <c r="M45" s="1" t="s">
        <v>24</v>
      </c>
      <c r="N45" s="1" t="s">
        <v>24</v>
      </c>
      <c r="O45" s="1" t="s">
        <v>174</v>
      </c>
      <c r="P45" s="3" t="str">
        <f>HYPERLINK("https://icf.clappia.com/app/SOM165486/submission/YTI36220627/ICF247370-SOM165486-6577563oocji00000000/SIG-20250704_094816doem.jpeg", "SIG-20250704_094816doem.jpeg")</f>
        <v>SIG-20250704_094816doem.jpeg</v>
      </c>
      <c r="Q45" s="3" t="str">
        <f>HYPERLINK("https://www.google.com/maps/place/7.6719517%2C-11.973915", "7.6719517,-11.973915")</f>
        <v>7.6719517,-11.973915</v>
      </c>
    </row>
    <row r="46" ht="15.75" customHeight="1">
      <c r="A46" s="1" t="s">
        <v>179</v>
      </c>
      <c r="B46" s="1" t="s">
        <v>18</v>
      </c>
      <c r="C46" s="1" t="s">
        <v>180</v>
      </c>
      <c r="D46" s="1" t="s">
        <v>181</v>
      </c>
      <c r="E46" s="2">
        <v>45841.0</v>
      </c>
      <c r="F46" s="1" t="s">
        <v>21</v>
      </c>
      <c r="G46" s="1" t="s">
        <v>164</v>
      </c>
      <c r="H46" s="1" t="s">
        <v>165</v>
      </c>
      <c r="I46" s="1">
        <v>55.0</v>
      </c>
      <c r="J46" s="1" t="s">
        <v>24</v>
      </c>
      <c r="K46" s="1">
        <v>55.0</v>
      </c>
      <c r="L46" s="1">
        <v>55.0</v>
      </c>
      <c r="M46" s="1" t="s">
        <v>24</v>
      </c>
      <c r="N46" s="1" t="s">
        <v>24</v>
      </c>
      <c r="O46" s="1" t="s">
        <v>174</v>
      </c>
      <c r="P46" s="3" t="str">
        <f>HYPERLINK("https://icf.clappia.com/app/SOM165486/submission/DYG68334631/ICF247370-SOM165486-3f8a7kn2dobo00000000/SIG-20250703_1023fd6dd.jpeg", "SIG-20250703_1023fd6dd.jpeg")</f>
        <v>SIG-20250703_1023fd6dd.jpeg</v>
      </c>
      <c r="Q46" s="3" t="str">
        <f>HYPERLINK("https://www.google.com/maps/place/7.6842183%2C-12.016555", "7.6842183,-12.016555")</f>
        <v>7.6842183,-12.016555</v>
      </c>
    </row>
    <row r="47" ht="15.75" customHeight="1">
      <c r="A47" s="1" t="s">
        <v>182</v>
      </c>
      <c r="B47" s="1" t="s">
        <v>18</v>
      </c>
      <c r="C47" s="1" t="s">
        <v>183</v>
      </c>
      <c r="D47" s="1" t="s">
        <v>181</v>
      </c>
      <c r="E47" s="2">
        <v>45840.0</v>
      </c>
      <c r="F47" s="1" t="s">
        <v>21</v>
      </c>
      <c r="G47" s="1" t="s">
        <v>164</v>
      </c>
      <c r="H47" s="1" t="s">
        <v>165</v>
      </c>
      <c r="I47" s="1">
        <v>55.0</v>
      </c>
      <c r="J47" s="1" t="s">
        <v>24</v>
      </c>
      <c r="K47" s="1">
        <v>55.0</v>
      </c>
      <c r="L47" s="1">
        <v>55.0</v>
      </c>
      <c r="M47" s="1" t="s">
        <v>24</v>
      </c>
      <c r="N47" s="1" t="s">
        <v>24</v>
      </c>
      <c r="O47" s="1" t="s">
        <v>174</v>
      </c>
      <c r="P47" s="3" t="str">
        <f>HYPERLINK("https://icf.clappia.com/app/SOM165486/submission/FAR17081232/ICF247370-SOM165486-652baj2mjpk000000000/SIG-20250702_1028mjejo.jpeg", "SIG-20250702_1028mjejo.jpeg")</f>
        <v>SIG-20250702_1028mjejo.jpeg</v>
      </c>
      <c r="Q47" s="3" t="str">
        <f>HYPERLINK("https://www.google.com/maps/place/7.6503067%2C-11.9808733", "7.6503067,-11.9808733")</f>
        <v>7.6503067,-11.9808733</v>
      </c>
    </row>
    <row r="48" ht="15.75" customHeight="1">
      <c r="A48" s="1" t="s">
        <v>184</v>
      </c>
      <c r="B48" s="1" t="s">
        <v>18</v>
      </c>
      <c r="C48" s="1" t="s">
        <v>185</v>
      </c>
      <c r="D48" s="1" t="s">
        <v>181</v>
      </c>
      <c r="E48" s="2">
        <v>45839.0</v>
      </c>
      <c r="F48" s="1" t="s">
        <v>21</v>
      </c>
      <c r="G48" s="1" t="s">
        <v>164</v>
      </c>
      <c r="H48" s="1" t="s">
        <v>165</v>
      </c>
      <c r="I48" s="1">
        <v>157.0</v>
      </c>
      <c r="J48" s="1" t="s">
        <v>24</v>
      </c>
      <c r="K48" s="1">
        <v>157.0</v>
      </c>
      <c r="L48" s="1">
        <v>144.0</v>
      </c>
      <c r="M48" s="1">
        <v>13.0</v>
      </c>
      <c r="N48" s="1">
        <v>13.0</v>
      </c>
      <c r="O48" s="1" t="s">
        <v>174</v>
      </c>
      <c r="P48" s="3" t="str">
        <f>HYPERLINK("https://icf.clappia.com/app/SOM165486/submission/SBF04916428/ICF247370-SOM165486-1b4ja6nn18fkc0000000/SIG-20250701_1258epl3.jpeg", "SIG-20250701_1258epl3.jpeg")</f>
        <v>SIG-20250701_1258epl3.jpeg</v>
      </c>
      <c r="Q48" s="3" t="str">
        <f>HYPERLINK("https://www.google.com/maps/place/7.6818767%2C-11.9937983", "7.6818767,-11.9937983")</f>
        <v>7.6818767,-11.9937983</v>
      </c>
    </row>
    <row r="49" ht="15.75" customHeight="1">
      <c r="A49" s="1" t="s">
        <v>186</v>
      </c>
      <c r="B49" s="1" t="s">
        <v>18</v>
      </c>
      <c r="C49" s="1" t="s">
        <v>187</v>
      </c>
      <c r="D49" s="1" t="s">
        <v>181</v>
      </c>
      <c r="E49" s="2">
        <v>45839.0</v>
      </c>
      <c r="F49" s="1" t="s">
        <v>21</v>
      </c>
      <c r="G49" s="1" t="s">
        <v>164</v>
      </c>
      <c r="H49" s="1" t="s">
        <v>165</v>
      </c>
      <c r="I49" s="1">
        <v>101.0</v>
      </c>
      <c r="J49" s="1" t="s">
        <v>24</v>
      </c>
      <c r="K49" s="1">
        <v>101.0</v>
      </c>
      <c r="L49" s="1">
        <v>101.0</v>
      </c>
      <c r="M49" s="1" t="s">
        <v>24</v>
      </c>
      <c r="N49" s="1" t="s">
        <v>24</v>
      </c>
      <c r="O49" s="1" t="s">
        <v>174</v>
      </c>
      <c r="P49" s="3" t="str">
        <f>HYPERLINK("https://icf.clappia.com/app/SOM165486/submission/BAA82438931/ICF247370-SOM165486-4fg1ce4cekm600000000/SIG-20250701_12211b6pf.jpeg", "SIG-20250701_12211b6pf.jpeg")</f>
        <v>SIG-20250701_12211b6pf.jpeg</v>
      </c>
      <c r="Q49" s="3" t="str">
        <f>HYPERLINK("https://www.google.com/maps/place/7.7007917%2C-11.9911117", "7.7007917,-11.9911117")</f>
        <v>7.7007917,-11.9911117</v>
      </c>
    </row>
    <row r="50" ht="15.75" customHeight="1">
      <c r="A50" s="1" t="s">
        <v>188</v>
      </c>
      <c r="B50" s="1" t="s">
        <v>18</v>
      </c>
      <c r="C50" s="1" t="s">
        <v>189</v>
      </c>
      <c r="D50" s="1" t="s">
        <v>190</v>
      </c>
      <c r="E50" s="2">
        <v>45842.0</v>
      </c>
      <c r="F50" s="1" t="s">
        <v>21</v>
      </c>
      <c r="G50" s="1" t="s">
        <v>164</v>
      </c>
      <c r="H50" s="1" t="s">
        <v>191</v>
      </c>
      <c r="I50" s="1">
        <v>115.0</v>
      </c>
      <c r="J50" s="1">
        <v>0.0</v>
      </c>
      <c r="K50" s="1">
        <v>115.0</v>
      </c>
      <c r="L50" s="1">
        <v>104.0</v>
      </c>
      <c r="M50" s="1">
        <v>11.0</v>
      </c>
      <c r="N50" s="1">
        <v>11.0</v>
      </c>
      <c r="O50" s="1" t="s">
        <v>192</v>
      </c>
      <c r="P50" s="3" t="str">
        <f>HYPERLINK("https://icf.clappia.com/app/SOM165486/submission/HRB44631000/ICF247370-SOM165486-3eali19aigpa00000000/SIG-20250704_1554472jh.jpeg", "SIG-20250704_1554472jh.jpeg")</f>
        <v>SIG-20250704_1554472jh.jpeg</v>
      </c>
      <c r="Q50" s="3" t="str">
        <f>HYPERLINK("https://www.google.com/maps/place/7.7680867%2C-12.09258", "7.7680867,-12.09258")</f>
        <v>7.7680867,-12.09258</v>
      </c>
    </row>
    <row r="51" ht="15.75" customHeight="1">
      <c r="A51" s="1" t="s">
        <v>193</v>
      </c>
      <c r="B51" s="1" t="s">
        <v>18</v>
      </c>
      <c r="C51" s="1" t="s">
        <v>194</v>
      </c>
      <c r="D51" s="1" t="s">
        <v>195</v>
      </c>
      <c r="E51" s="2">
        <v>45840.0</v>
      </c>
      <c r="F51" s="1" t="s">
        <v>21</v>
      </c>
      <c r="G51" s="1" t="s">
        <v>95</v>
      </c>
      <c r="H51" s="1" t="s">
        <v>196</v>
      </c>
      <c r="I51" s="1">
        <v>74.0</v>
      </c>
      <c r="J51" s="1" t="s">
        <v>24</v>
      </c>
      <c r="K51" s="1">
        <v>74.0</v>
      </c>
      <c r="L51" s="1">
        <v>74.0</v>
      </c>
      <c r="M51" s="1" t="s">
        <v>24</v>
      </c>
      <c r="N51" s="1" t="s">
        <v>24</v>
      </c>
      <c r="O51" s="1" t="s">
        <v>197</v>
      </c>
      <c r="P51" s="3" t="str">
        <f>HYPERLINK("https://icf.clappia.com/app/SOM165486/submission/WYY67159485/ICF247370-SOM165486-48mhpf09p7f200000000/SIG-20250702_1444m08j4.jpeg", "SIG-20250702_1444m08j4.jpeg")</f>
        <v>SIG-20250702_1444m08j4.jpeg</v>
      </c>
      <c r="Q51" s="3" t="str">
        <f>HYPERLINK("https://www.google.com/maps/place/7.9897709%2C-11.7435362", "7.9897709,-11.7435362")</f>
        <v>7.9897709,-11.7435362</v>
      </c>
    </row>
    <row r="52" ht="15.75" customHeight="1">
      <c r="A52" s="1" t="s">
        <v>198</v>
      </c>
      <c r="B52" s="1" t="s">
        <v>18</v>
      </c>
      <c r="C52" s="1" t="s">
        <v>199</v>
      </c>
      <c r="D52" s="1" t="s">
        <v>195</v>
      </c>
      <c r="E52" s="2">
        <v>45838.0</v>
      </c>
      <c r="F52" s="1" t="s">
        <v>21</v>
      </c>
      <c r="G52" s="1" t="s">
        <v>95</v>
      </c>
      <c r="H52" s="1" t="s">
        <v>196</v>
      </c>
      <c r="I52" s="1">
        <v>279.0</v>
      </c>
      <c r="J52" s="1" t="s">
        <v>24</v>
      </c>
      <c r="K52" s="1">
        <v>279.0</v>
      </c>
      <c r="L52" s="1">
        <v>279.0</v>
      </c>
      <c r="M52" s="1" t="s">
        <v>24</v>
      </c>
      <c r="N52" s="1" t="s">
        <v>24</v>
      </c>
      <c r="O52" s="1" t="s">
        <v>200</v>
      </c>
      <c r="P52" s="3" t="str">
        <f>HYPERLINK("https://icf.clappia.com/app/SOM165486/submission/EAN29025926/ICF247370-SOM165486-5075nm6n38om00000000/SIG-20250630_10554dfpm.jpeg", "SIG-20250630_10554dfpm.jpeg")</f>
        <v>SIG-20250630_10554dfpm.jpeg</v>
      </c>
      <c r="Q52" s="3" t="str">
        <f>HYPERLINK("https://www.google.com/maps/place/7.9897716%2C-11.7435315", "7.9897716,-11.7435315")</f>
        <v>7.9897716,-11.7435315</v>
      </c>
    </row>
    <row r="53" ht="15.75" customHeight="1">
      <c r="A53" s="1" t="s">
        <v>201</v>
      </c>
      <c r="B53" s="1" t="s">
        <v>18</v>
      </c>
      <c r="C53" s="1" t="s">
        <v>202</v>
      </c>
      <c r="D53" s="1" t="s">
        <v>203</v>
      </c>
      <c r="E53" s="2">
        <v>45842.0</v>
      </c>
      <c r="F53" s="1" t="s">
        <v>21</v>
      </c>
      <c r="G53" s="1" t="s">
        <v>95</v>
      </c>
      <c r="H53" s="1" t="s">
        <v>196</v>
      </c>
      <c r="I53" s="1">
        <v>324.0</v>
      </c>
      <c r="J53" s="1" t="s">
        <v>24</v>
      </c>
      <c r="K53" s="1">
        <v>324.0</v>
      </c>
      <c r="L53" s="1">
        <v>324.0</v>
      </c>
      <c r="M53" s="1" t="s">
        <v>24</v>
      </c>
      <c r="N53" s="1" t="s">
        <v>24</v>
      </c>
      <c r="O53" s="1" t="s">
        <v>204</v>
      </c>
      <c r="P53" s="3" t="str">
        <f>HYPERLINK("https://icf.clappia.com/app/SOM165486/submission/OHW81870029/ICF247370-SOM165486-1gocpifm2b4880000000/SIG-20250704_11223m5ai.jpeg", "SIG-20250704_11223m5ai.jpeg")</f>
        <v>SIG-20250704_11223m5ai.jpeg</v>
      </c>
      <c r="Q53" s="3" t="str">
        <f t="shared" ref="Q53:Q56" si="3">HYPERLINK("https://www.google.com/maps/place/7.989773%2C-11.7435306", "7.989773,-11.7435306")</f>
        <v>7.989773,-11.7435306</v>
      </c>
    </row>
    <row r="54" ht="15.75" customHeight="1">
      <c r="A54" s="1" t="s">
        <v>205</v>
      </c>
      <c r="B54" s="1" t="s">
        <v>18</v>
      </c>
      <c r="C54" s="1" t="s">
        <v>206</v>
      </c>
      <c r="D54" s="1" t="s">
        <v>207</v>
      </c>
      <c r="E54" s="2">
        <v>45841.0</v>
      </c>
      <c r="F54" s="1" t="s">
        <v>21</v>
      </c>
      <c r="G54" s="1" t="s">
        <v>95</v>
      </c>
      <c r="H54" s="1" t="s">
        <v>196</v>
      </c>
      <c r="I54" s="1">
        <v>354.0</v>
      </c>
      <c r="J54" s="1" t="s">
        <v>24</v>
      </c>
      <c r="K54" s="1">
        <v>354.0</v>
      </c>
      <c r="L54" s="1">
        <v>354.0</v>
      </c>
      <c r="M54" s="1" t="s">
        <v>24</v>
      </c>
      <c r="N54" s="1" t="s">
        <v>24</v>
      </c>
      <c r="O54" s="1" t="s">
        <v>204</v>
      </c>
      <c r="P54" s="3" t="str">
        <f>HYPERLINK("https://icf.clappia.com/app/SOM165486/submission/VUG21674733/ICF247370-SOM165486-i8105mlflljm0000000/SIG-20250703_1158h993f.jpeg", "SIG-20250703_1158h993f.jpeg")</f>
        <v>SIG-20250703_1158h993f.jpeg</v>
      </c>
      <c r="Q54" s="3" t="str">
        <f t="shared" si="3"/>
        <v>7.989773,-11.7435306</v>
      </c>
    </row>
    <row r="55" ht="15.75" customHeight="1">
      <c r="A55" s="1" t="s">
        <v>208</v>
      </c>
      <c r="B55" s="1" t="s">
        <v>18</v>
      </c>
      <c r="C55" s="1" t="s">
        <v>209</v>
      </c>
      <c r="D55" s="1" t="s">
        <v>207</v>
      </c>
      <c r="E55" s="2">
        <v>45840.0</v>
      </c>
      <c r="F55" s="1" t="s">
        <v>21</v>
      </c>
      <c r="G55" s="1" t="s">
        <v>95</v>
      </c>
      <c r="H55" s="1" t="s">
        <v>196</v>
      </c>
      <c r="I55" s="1">
        <v>614.0</v>
      </c>
      <c r="J55" s="1" t="s">
        <v>24</v>
      </c>
      <c r="K55" s="1">
        <v>614.0</v>
      </c>
      <c r="L55" s="1">
        <v>228.0</v>
      </c>
      <c r="M55" s="1">
        <v>386.0</v>
      </c>
      <c r="N55" s="1">
        <v>386.0</v>
      </c>
      <c r="O55" s="1" t="s">
        <v>204</v>
      </c>
      <c r="P55" s="3" t="str">
        <f>HYPERLINK("https://icf.clappia.com/app/SOM165486/submission/GNH43279015/ICF247370-SOM165486-7d90496j0d0k000000/SIG-20250702_14411aa0fm.jpeg", "SIG-20250702_14411aa0fm.jpeg")</f>
        <v>SIG-20250702_14411aa0fm.jpeg</v>
      </c>
      <c r="Q55" s="3" t="str">
        <f t="shared" si="3"/>
        <v>7.989773,-11.7435306</v>
      </c>
    </row>
    <row r="56" ht="15.75" customHeight="1">
      <c r="A56" s="1" t="s">
        <v>210</v>
      </c>
      <c r="B56" s="1" t="s">
        <v>18</v>
      </c>
      <c r="C56" s="1" t="s">
        <v>211</v>
      </c>
      <c r="D56" s="1" t="s">
        <v>212</v>
      </c>
      <c r="E56" s="2">
        <v>45838.0</v>
      </c>
      <c r="F56" s="1" t="s">
        <v>21</v>
      </c>
      <c r="G56" s="1" t="s">
        <v>95</v>
      </c>
      <c r="H56" s="1" t="s">
        <v>196</v>
      </c>
      <c r="I56" s="1">
        <v>85.0</v>
      </c>
      <c r="J56" s="1" t="s">
        <v>24</v>
      </c>
      <c r="K56" s="1">
        <v>85.0</v>
      </c>
      <c r="L56" s="1">
        <v>85.0</v>
      </c>
      <c r="M56" s="1" t="s">
        <v>24</v>
      </c>
      <c r="N56" s="1" t="s">
        <v>24</v>
      </c>
      <c r="O56" s="1" t="s">
        <v>204</v>
      </c>
      <c r="P56" s="3" t="str">
        <f>HYPERLINK("https://icf.clappia.com/app/SOM165486/submission/VLZ72208957/ICF247370-SOM165486-1k0hgm9p48h8i0000000/SIG-20250630_0929n5jg7.jpeg", "SIG-20250630_0929n5jg7.jpeg")</f>
        <v>SIG-20250630_0929n5jg7.jpeg</v>
      </c>
      <c r="Q56" s="3" t="str">
        <f t="shared" si="3"/>
        <v>7.989773,-11.7435306</v>
      </c>
    </row>
    <row r="57" ht="15.75" customHeight="1">
      <c r="A57" s="1" t="s">
        <v>213</v>
      </c>
      <c r="B57" s="1" t="s">
        <v>18</v>
      </c>
      <c r="C57" s="1" t="s">
        <v>214</v>
      </c>
      <c r="D57" s="1" t="s">
        <v>215</v>
      </c>
      <c r="E57" s="2">
        <v>45841.0</v>
      </c>
      <c r="F57" s="1" t="s">
        <v>21</v>
      </c>
      <c r="G57" s="1" t="s">
        <v>95</v>
      </c>
      <c r="H57" s="1" t="s">
        <v>216</v>
      </c>
      <c r="I57" s="1">
        <v>159.0</v>
      </c>
      <c r="J57" s="1" t="s">
        <v>24</v>
      </c>
      <c r="K57" s="1">
        <v>159.0</v>
      </c>
      <c r="L57" s="1">
        <v>159.0</v>
      </c>
      <c r="M57" s="1" t="s">
        <v>24</v>
      </c>
      <c r="N57" s="1" t="s">
        <v>24</v>
      </c>
      <c r="O57" s="1" t="s">
        <v>217</v>
      </c>
      <c r="P57" s="3" t="str">
        <f>HYPERLINK("https://icf.clappia.com/app/SOM165486/submission/YNY21435400/ICF247370-SOM165486-1336giem1hi7a0000000/SIG-20250703_1703dbhm4.jpeg", "SIG-20250703_1703dbhm4.jpeg")</f>
        <v>SIG-20250703_1703dbhm4.jpeg</v>
      </c>
      <c r="Q57" s="3" t="str">
        <f>HYPERLINK("https://www.google.com/maps/place/7.9564958%2C-11.7593273", "7.9564958,-11.7593273")</f>
        <v>7.9564958,-11.7593273</v>
      </c>
    </row>
    <row r="58" ht="15.75" customHeight="1">
      <c r="A58" s="1" t="s">
        <v>218</v>
      </c>
      <c r="B58" s="1" t="s">
        <v>18</v>
      </c>
      <c r="C58" s="1" t="s">
        <v>219</v>
      </c>
      <c r="D58" s="1" t="s">
        <v>220</v>
      </c>
      <c r="E58" s="2">
        <v>45840.0</v>
      </c>
      <c r="F58" s="1" t="s">
        <v>21</v>
      </c>
      <c r="G58" s="1" t="s">
        <v>95</v>
      </c>
      <c r="H58" s="1" t="s">
        <v>216</v>
      </c>
      <c r="I58" s="1">
        <v>9.0</v>
      </c>
      <c r="J58" s="1" t="s">
        <v>24</v>
      </c>
      <c r="K58" s="1">
        <v>9.0</v>
      </c>
      <c r="L58" s="1">
        <v>9.0</v>
      </c>
      <c r="M58" s="1" t="s">
        <v>24</v>
      </c>
      <c r="N58" s="1" t="s">
        <v>24</v>
      </c>
      <c r="O58" s="1" t="s">
        <v>221</v>
      </c>
      <c r="P58" s="3" t="str">
        <f>HYPERLINK("https://icf.clappia.com/app/SOM165486/submission/XME81038996/ICF247370-SOM165486-3b19593l995c00000000/SIG-20250702_1258cklfj.jpeg", "SIG-20250702_1258cklfj.jpeg")</f>
        <v>SIG-20250702_1258cklfj.jpeg</v>
      </c>
      <c r="Q58" s="3" t="str">
        <f t="shared" ref="Q58:Q59" si="4">HYPERLINK("https://www.google.com/maps/place/7.956506%2C-11.7589713", "7.956506,-11.7589713")</f>
        <v>7.956506,-11.7589713</v>
      </c>
    </row>
    <row r="59" ht="15.75" customHeight="1">
      <c r="A59" s="1" t="s">
        <v>222</v>
      </c>
      <c r="B59" s="1" t="s">
        <v>18</v>
      </c>
      <c r="C59" s="1" t="s">
        <v>223</v>
      </c>
      <c r="D59" s="1" t="s">
        <v>220</v>
      </c>
      <c r="E59" s="2">
        <v>45840.0</v>
      </c>
      <c r="F59" s="1" t="s">
        <v>21</v>
      </c>
      <c r="G59" s="1" t="s">
        <v>95</v>
      </c>
      <c r="H59" s="1" t="s">
        <v>216</v>
      </c>
      <c r="I59" s="1">
        <v>9.0</v>
      </c>
      <c r="J59" s="1" t="s">
        <v>24</v>
      </c>
      <c r="K59" s="1">
        <v>9.0</v>
      </c>
      <c r="L59" s="1">
        <v>9.0</v>
      </c>
      <c r="M59" s="1" t="s">
        <v>24</v>
      </c>
      <c r="N59" s="1" t="s">
        <v>24</v>
      </c>
      <c r="O59" s="1" t="s">
        <v>217</v>
      </c>
      <c r="P59" s="3" t="str">
        <f>HYPERLINK("https://icf.clappia.com/app/SOM165486/submission/GEN53356261/ICF247370-SOM165486-1k25825mphp3m0000000/SIG-20250702_1256colfm.jpeg", "SIG-20250702_1256colfm.jpeg")</f>
        <v>SIG-20250702_1256colfm.jpeg</v>
      </c>
      <c r="Q59" s="3" t="str">
        <f t="shared" si="4"/>
        <v>7.956506,-11.7589713</v>
      </c>
    </row>
    <row r="60" ht="15.75" customHeight="1">
      <c r="A60" s="1" t="s">
        <v>224</v>
      </c>
      <c r="B60" s="1" t="s">
        <v>18</v>
      </c>
      <c r="C60" s="1" t="s">
        <v>225</v>
      </c>
      <c r="D60" s="1" t="s">
        <v>220</v>
      </c>
      <c r="E60" s="2">
        <v>45840.0</v>
      </c>
      <c r="F60" s="1" t="s">
        <v>21</v>
      </c>
      <c r="G60" s="1" t="s">
        <v>95</v>
      </c>
      <c r="H60" s="1" t="s">
        <v>216</v>
      </c>
      <c r="I60" s="1">
        <v>42.0</v>
      </c>
      <c r="J60" s="1" t="s">
        <v>24</v>
      </c>
      <c r="K60" s="1">
        <v>42.0</v>
      </c>
      <c r="L60" s="1">
        <v>42.0</v>
      </c>
      <c r="M60" s="1" t="s">
        <v>24</v>
      </c>
      <c r="N60" s="1" t="s">
        <v>24</v>
      </c>
      <c r="O60" s="1" t="s">
        <v>226</v>
      </c>
      <c r="P60" s="3" t="str">
        <f>HYPERLINK("https://icf.clappia.com/app/SOM165486/submission/FCM77939702/ICF247370-SOM165486-1nloa4aj0c50i0000000/SIG-20250702_124360mfk.jpeg", "SIG-20250702_124360mfk.jpeg")</f>
        <v>SIG-20250702_124360mfk.jpeg</v>
      </c>
      <c r="Q60" s="3" t="str">
        <f>HYPERLINK("https://www.google.com/maps/place/7.9558191%2C-11.7584547", "7.9558191,-11.7584547")</f>
        <v>7.9558191,-11.7584547</v>
      </c>
    </row>
    <row r="61" ht="15.75" customHeight="1">
      <c r="A61" s="1" t="s">
        <v>227</v>
      </c>
      <c r="B61" s="1" t="s">
        <v>18</v>
      </c>
      <c r="C61" s="1" t="s">
        <v>228</v>
      </c>
      <c r="D61" s="1" t="s">
        <v>229</v>
      </c>
      <c r="E61" s="2">
        <v>45842.0</v>
      </c>
      <c r="F61" s="1" t="s">
        <v>21</v>
      </c>
      <c r="G61" s="1" t="s">
        <v>95</v>
      </c>
      <c r="H61" s="1" t="s">
        <v>196</v>
      </c>
      <c r="I61" s="1">
        <v>351.0</v>
      </c>
      <c r="J61" s="1" t="s">
        <v>24</v>
      </c>
      <c r="K61" s="1">
        <v>351.0</v>
      </c>
      <c r="L61" s="1">
        <v>351.0</v>
      </c>
      <c r="M61" s="1" t="s">
        <v>24</v>
      </c>
      <c r="N61" s="1" t="s">
        <v>24</v>
      </c>
      <c r="O61" s="1" t="s">
        <v>197</v>
      </c>
      <c r="P61" s="3" t="str">
        <f>HYPERLINK("https://icf.clappia.com/app/SOM165486/submission/XUJ52885011/ICF247370-SOM165486-4o50gcja9ho000000000/SIG-20250704_11215eh3b.jpeg", "SIG-20250704_11215eh3b.jpeg")</f>
        <v>SIG-20250704_11215eh3b.jpeg</v>
      </c>
      <c r="Q61" s="3" t="str">
        <f>HYPERLINK("https://www.google.com/maps/place/7.9897727%2C-11.7435304", "7.9897727,-11.7435304")</f>
        <v>7.9897727,-11.7435304</v>
      </c>
    </row>
    <row r="62" ht="15.75" customHeight="1">
      <c r="A62" s="1" t="s">
        <v>230</v>
      </c>
      <c r="B62" s="1" t="s">
        <v>18</v>
      </c>
      <c r="C62" s="1" t="s">
        <v>231</v>
      </c>
      <c r="D62" s="1" t="s">
        <v>232</v>
      </c>
      <c r="E62" s="2">
        <v>45841.0</v>
      </c>
      <c r="F62" s="1" t="s">
        <v>21</v>
      </c>
      <c r="G62" s="1" t="s">
        <v>95</v>
      </c>
      <c r="H62" s="1" t="s">
        <v>196</v>
      </c>
      <c r="I62" s="1">
        <v>245.0</v>
      </c>
      <c r="J62" s="1" t="s">
        <v>24</v>
      </c>
      <c r="K62" s="1">
        <v>245.0</v>
      </c>
      <c r="L62" s="1">
        <v>245.0</v>
      </c>
      <c r="M62" s="1" t="s">
        <v>24</v>
      </c>
      <c r="N62" s="1" t="s">
        <v>24</v>
      </c>
      <c r="O62" s="1" t="s">
        <v>197</v>
      </c>
      <c r="P62" s="3" t="str">
        <f>HYPERLINK("https://icf.clappia.com/app/SOM165486/submission/RKG39626855/ICF247370-SOM165486-6a88hhnd3lck00000000/SIG-20250703_12087dgcl.jpeg", "SIG-20250703_12087dgcl.jpeg")</f>
        <v>SIG-20250703_12087dgcl.jpeg</v>
      </c>
      <c r="Q62" s="3" t="str">
        <f>HYPERLINK("https://www.google.com/maps/place/7.9897733%2C-11.7435305", "7.9897733,-11.7435305")</f>
        <v>7.9897733,-11.7435305</v>
      </c>
    </row>
    <row r="63" ht="15.75" customHeight="1">
      <c r="A63" s="1" t="s">
        <v>233</v>
      </c>
      <c r="B63" s="1" t="s">
        <v>18</v>
      </c>
      <c r="C63" s="1" t="s">
        <v>234</v>
      </c>
      <c r="D63" s="1" t="s">
        <v>232</v>
      </c>
      <c r="E63" s="2">
        <v>45840.0</v>
      </c>
      <c r="F63" s="1" t="s">
        <v>21</v>
      </c>
      <c r="G63" s="1" t="s">
        <v>95</v>
      </c>
      <c r="H63" s="1" t="s">
        <v>196</v>
      </c>
      <c r="I63" s="1">
        <v>185.0</v>
      </c>
      <c r="J63" s="1" t="s">
        <v>24</v>
      </c>
      <c r="K63" s="1">
        <v>185.0</v>
      </c>
      <c r="L63" s="1">
        <v>185.0</v>
      </c>
      <c r="M63" s="1" t="s">
        <v>24</v>
      </c>
      <c r="N63" s="1" t="s">
        <v>24</v>
      </c>
      <c r="O63" s="1" t="s">
        <v>235</v>
      </c>
      <c r="P63" s="3" t="str">
        <f>HYPERLINK("https://icf.clappia.com/app/SOM165486/submission/VUL56196749/ICF247370-SOM165486-j3oha5161aja0000000/SIG-20250702_1443omlig.jpeg", "SIG-20250702_1443omlig.jpeg")</f>
        <v>SIG-20250702_1443omlig.jpeg</v>
      </c>
      <c r="Q63" s="3" t="str">
        <f>HYPERLINK("https://www.google.com/maps/place/7.9897719%2C-11.7435311", "7.9897719,-11.7435311")</f>
        <v>7.9897719,-11.7435311</v>
      </c>
    </row>
    <row r="64" ht="15.75" customHeight="1">
      <c r="A64" s="1" t="s">
        <v>236</v>
      </c>
      <c r="B64" s="1" t="s">
        <v>18</v>
      </c>
      <c r="C64" s="1" t="s">
        <v>237</v>
      </c>
      <c r="D64" s="1" t="s">
        <v>238</v>
      </c>
      <c r="E64" s="2">
        <v>45839.0</v>
      </c>
      <c r="F64" s="1" t="s">
        <v>21</v>
      </c>
      <c r="G64" s="1" t="s">
        <v>95</v>
      </c>
      <c r="H64" s="1" t="s">
        <v>196</v>
      </c>
      <c r="I64" s="1">
        <v>214.0</v>
      </c>
      <c r="J64" s="1" t="s">
        <v>24</v>
      </c>
      <c r="K64" s="1">
        <v>214.0</v>
      </c>
      <c r="L64" s="1">
        <v>214.0</v>
      </c>
      <c r="M64" s="1" t="s">
        <v>24</v>
      </c>
      <c r="N64" s="1" t="s">
        <v>24</v>
      </c>
      <c r="O64" s="1" t="s">
        <v>235</v>
      </c>
      <c r="P64" s="3" t="str">
        <f>HYPERLINK("https://icf.clappia.com/app/SOM165486/submission/GWW44047685/ICF247370-SOM165486-kb9b6a633ol60000000/SIG-20250701_13208n7in.jpeg", "SIG-20250701_13208n7in.jpeg")</f>
        <v>SIG-20250701_13208n7in.jpeg</v>
      </c>
    </row>
    <row r="65" ht="15.75" customHeight="1">
      <c r="A65" s="1" t="s">
        <v>239</v>
      </c>
      <c r="B65" s="1" t="s">
        <v>18</v>
      </c>
      <c r="C65" s="1" t="s">
        <v>240</v>
      </c>
      <c r="D65" s="1" t="s">
        <v>238</v>
      </c>
      <c r="E65" s="2">
        <v>45838.0</v>
      </c>
      <c r="F65" s="1" t="s">
        <v>21</v>
      </c>
      <c r="G65" s="1" t="s">
        <v>95</v>
      </c>
      <c r="H65" s="1" t="s">
        <v>196</v>
      </c>
      <c r="I65" s="1">
        <v>85.0</v>
      </c>
      <c r="J65" s="1" t="s">
        <v>24</v>
      </c>
      <c r="K65" s="1">
        <v>85.0</v>
      </c>
      <c r="L65" s="1">
        <v>85.0</v>
      </c>
      <c r="M65" s="1" t="s">
        <v>24</v>
      </c>
      <c r="N65" s="1" t="s">
        <v>24</v>
      </c>
      <c r="O65" s="1" t="s">
        <v>204</v>
      </c>
      <c r="P65" s="3" t="str">
        <f>HYPERLINK("https://icf.clappia.com/app/SOM165486/submission/ETY39073355/ICF247370-SOM165486-48gaf04adooa00000000/SIG-20250630_0904oela5.jpeg", "SIG-20250630_0904oela5.jpeg")</f>
        <v>SIG-20250630_0904oela5.jpeg</v>
      </c>
      <c r="Q65" s="3" t="str">
        <f>HYPERLINK("https://www.google.com/maps/place/7.9897714%2C-11.7435382", "7.9897714,-11.7435382")</f>
        <v>7.9897714,-11.7435382</v>
      </c>
    </row>
    <row r="66" ht="15.75" customHeight="1">
      <c r="A66" s="1" t="s">
        <v>241</v>
      </c>
      <c r="B66" s="1" t="s">
        <v>18</v>
      </c>
      <c r="C66" s="1" t="s">
        <v>242</v>
      </c>
      <c r="D66" s="1" t="s">
        <v>243</v>
      </c>
      <c r="E66" s="2">
        <v>45842.0</v>
      </c>
      <c r="F66" s="1" t="s">
        <v>68</v>
      </c>
      <c r="G66" s="1" t="s">
        <v>83</v>
      </c>
      <c r="H66" s="1" t="s">
        <v>84</v>
      </c>
      <c r="I66" s="1">
        <v>500.0</v>
      </c>
      <c r="J66" s="1" t="s">
        <v>24</v>
      </c>
      <c r="K66" s="1">
        <v>500.0</v>
      </c>
      <c r="L66" s="1">
        <v>500.0</v>
      </c>
      <c r="M66" s="1" t="s">
        <v>24</v>
      </c>
      <c r="N66" s="1" t="s">
        <v>24</v>
      </c>
      <c r="O66" s="1" t="s">
        <v>244</v>
      </c>
      <c r="P66" s="3" t="str">
        <f>HYPERLINK("https://icf.clappia.com/app/SOM165486/submission/UBA61322364/ICF247370-SOM165486-2hk3o9fdij6a00000000/SIG-20250704_1625182df9.jpeg", "SIG-20250704_1625182df9.jpeg")</f>
        <v>SIG-20250704_1625182df9.jpeg</v>
      </c>
      <c r="Q66" s="3" t="str">
        <f>HYPERLINK("https://www.google.com/maps/place/8.8797967%2C-12.0425933", "8.8797967,-12.0425933")</f>
        <v>8.8797967,-12.0425933</v>
      </c>
    </row>
    <row r="67" ht="15.75" customHeight="1">
      <c r="A67" s="1" t="s">
        <v>245</v>
      </c>
      <c r="B67" s="1" t="s">
        <v>18</v>
      </c>
      <c r="C67" s="1" t="s">
        <v>246</v>
      </c>
      <c r="D67" s="1" t="s">
        <v>247</v>
      </c>
      <c r="E67" s="2">
        <v>45842.0</v>
      </c>
      <c r="F67" s="1" t="s">
        <v>68</v>
      </c>
      <c r="G67" s="1" t="s">
        <v>248</v>
      </c>
      <c r="H67" s="1" t="s">
        <v>249</v>
      </c>
      <c r="I67" s="1">
        <v>274.0</v>
      </c>
      <c r="J67" s="1" t="s">
        <v>24</v>
      </c>
      <c r="K67" s="1">
        <v>274.0</v>
      </c>
      <c r="L67" s="1">
        <v>274.0</v>
      </c>
      <c r="M67" s="1" t="s">
        <v>24</v>
      </c>
      <c r="N67" s="1" t="s">
        <v>24</v>
      </c>
      <c r="O67" s="1" t="s">
        <v>250</v>
      </c>
      <c r="P67" s="3" t="str">
        <f>HYPERLINK("https://icf.clappia.com/app/SOM165486/submission/PGK55672079/ICF247370-SOM165486-3o4a1b2ohmko00000000/SIG-20250704_1948dej7h.jpeg", "SIG-20250704_1948dej7h.jpeg")</f>
        <v>SIG-20250704_1948dej7h.jpeg</v>
      </c>
      <c r="Q67" s="3" t="str">
        <f>HYPERLINK("https://www.google.com/maps/place/9.22343%2C-12.1416067", "9.22343,-12.1416067")</f>
        <v>9.22343,-12.1416067</v>
      </c>
    </row>
    <row r="68" ht="15.75" customHeight="1">
      <c r="A68" s="1" t="s">
        <v>251</v>
      </c>
      <c r="B68" s="1" t="s">
        <v>18</v>
      </c>
      <c r="C68" s="1" t="s">
        <v>252</v>
      </c>
      <c r="D68" s="1" t="s">
        <v>247</v>
      </c>
      <c r="E68" s="2">
        <v>45841.0</v>
      </c>
      <c r="F68" s="1" t="s">
        <v>68</v>
      </c>
      <c r="G68" s="1" t="s">
        <v>248</v>
      </c>
      <c r="H68" s="1" t="s">
        <v>249</v>
      </c>
      <c r="I68" s="1">
        <v>250.0</v>
      </c>
      <c r="J68" s="1" t="s">
        <v>24</v>
      </c>
      <c r="K68" s="1">
        <v>250.0</v>
      </c>
      <c r="L68" s="1">
        <v>219.0</v>
      </c>
      <c r="M68" s="1">
        <v>31.0</v>
      </c>
      <c r="N68" s="1">
        <v>31.0</v>
      </c>
      <c r="O68" s="1" t="s">
        <v>253</v>
      </c>
      <c r="P68" s="3" t="str">
        <f>HYPERLINK("https://icf.clappia.com/app/SOM165486/submission/ZUM22465237/ICF247370-SOM165486-1mhk2ig64e9p20000000/SIG-20250704_1944oi06h.jpeg", "SIG-20250704_1944oi06h.jpeg")</f>
        <v>SIG-20250704_1944oi06h.jpeg</v>
      </c>
      <c r="Q68" s="3" t="str">
        <f>HYPERLINK("https://www.google.com/maps/place/9.2228967%2C-12.1392833", "9.2228967,-12.1392833")</f>
        <v>9.2228967,-12.1392833</v>
      </c>
    </row>
    <row r="69" ht="15.75" customHeight="1">
      <c r="A69" s="1" t="s">
        <v>254</v>
      </c>
      <c r="B69" s="1" t="s">
        <v>18</v>
      </c>
      <c r="C69" s="1" t="s">
        <v>255</v>
      </c>
      <c r="D69" s="1" t="s">
        <v>247</v>
      </c>
      <c r="E69" s="2">
        <v>45840.0</v>
      </c>
      <c r="F69" s="1" t="s">
        <v>68</v>
      </c>
      <c r="G69" s="1" t="s">
        <v>248</v>
      </c>
      <c r="H69" s="1" t="s">
        <v>249</v>
      </c>
      <c r="I69" s="1">
        <v>247.0</v>
      </c>
      <c r="J69" s="1" t="s">
        <v>24</v>
      </c>
      <c r="K69" s="1">
        <v>247.0</v>
      </c>
      <c r="L69" s="1">
        <v>230.0</v>
      </c>
      <c r="M69" s="1">
        <v>17.0</v>
      </c>
      <c r="N69" s="1">
        <v>17.0</v>
      </c>
      <c r="O69" s="1" t="s">
        <v>256</v>
      </c>
      <c r="P69" s="3" t="str">
        <f>HYPERLINK("https://icf.clappia.com/app/SOM165486/submission/GUP78406815/ICF247370-SOM165486-26g9c056ccko0000000/SIG-20250704_1929146nnh.jpeg", "SIG-20250704_1929146nnh.jpeg")</f>
        <v>SIG-20250704_1929146nnh.jpeg</v>
      </c>
      <c r="Q69" s="3" t="str">
        <f>HYPERLINK("https://www.google.com/maps/place/9.2244867%2C-12.1370633", "9.2244867,-12.1370633")</f>
        <v>9.2244867,-12.1370633</v>
      </c>
    </row>
    <row r="70" ht="15.75" customHeight="1">
      <c r="A70" s="1" t="s">
        <v>257</v>
      </c>
      <c r="B70" s="1" t="s">
        <v>18</v>
      </c>
      <c r="C70" s="1" t="s">
        <v>258</v>
      </c>
      <c r="D70" s="1" t="s">
        <v>247</v>
      </c>
      <c r="E70" s="2">
        <v>45839.0</v>
      </c>
      <c r="F70" s="1" t="s">
        <v>68</v>
      </c>
      <c r="G70" s="1" t="s">
        <v>248</v>
      </c>
      <c r="H70" s="1" t="s">
        <v>249</v>
      </c>
      <c r="I70" s="1">
        <v>320.0</v>
      </c>
      <c r="J70" s="1" t="s">
        <v>24</v>
      </c>
      <c r="K70" s="1">
        <v>320.0</v>
      </c>
      <c r="L70" s="1">
        <v>273.0</v>
      </c>
      <c r="M70" s="1">
        <v>47.0</v>
      </c>
      <c r="N70" s="1">
        <v>47.0</v>
      </c>
      <c r="O70" s="1" t="s">
        <v>256</v>
      </c>
      <c r="P70" s="3" t="str">
        <f>HYPERLINK("https://icf.clappia.com/app/SOM165486/submission/AXY33592970/ICF247370-SOM165486-3kf6mghd3ab00000000/SIG-20250704_1927c3jne.jpeg", "SIG-20250704_1927c3jne.jpeg")</f>
        <v>SIG-20250704_1927c3jne.jpeg</v>
      </c>
      <c r="Q70" s="3" t="str">
        <f>HYPERLINK("https://www.google.com/maps/place/9.222415%2C-12.1399733", "9.222415,-12.1399733")</f>
        <v>9.222415,-12.1399733</v>
      </c>
    </row>
    <row r="71" ht="15.75" customHeight="1">
      <c r="A71" s="1" t="s">
        <v>259</v>
      </c>
      <c r="B71" s="1" t="s">
        <v>18</v>
      </c>
      <c r="C71" s="1" t="s">
        <v>260</v>
      </c>
      <c r="D71" s="1" t="s">
        <v>247</v>
      </c>
      <c r="E71" s="2">
        <v>45838.0</v>
      </c>
      <c r="F71" s="1" t="s">
        <v>68</v>
      </c>
      <c r="G71" s="1" t="s">
        <v>248</v>
      </c>
      <c r="H71" s="1" t="s">
        <v>249</v>
      </c>
      <c r="I71" s="1">
        <v>150.0</v>
      </c>
      <c r="J71" s="1" t="s">
        <v>24</v>
      </c>
      <c r="K71" s="1">
        <v>150.0</v>
      </c>
      <c r="L71" s="1">
        <v>130.0</v>
      </c>
      <c r="M71" s="1">
        <v>20.0</v>
      </c>
      <c r="N71" s="1">
        <v>20.0</v>
      </c>
      <c r="O71" s="1" t="s">
        <v>256</v>
      </c>
      <c r="P71" s="3" t="str">
        <f>HYPERLINK("https://icf.clappia.com/app/SOM165486/submission/VFW51703216/ICF247370-SOM165486-2p2md11j8jic00000000/SIG-20250704_192592h55.jpeg", "SIG-20250704_192592h55.jpeg")</f>
        <v>SIG-20250704_192592h55.jpeg</v>
      </c>
      <c r="Q71" s="3" t="str">
        <f>HYPERLINK("https://www.google.com/maps/place/9.2141892%2C-12.19097", "9.2141892,-12.19097")</f>
        <v>9.2141892,-12.19097</v>
      </c>
    </row>
    <row r="72" ht="15.75" customHeight="1">
      <c r="A72" s="1" t="s">
        <v>261</v>
      </c>
      <c r="B72" s="1" t="s">
        <v>18</v>
      </c>
      <c r="C72" s="1" t="s">
        <v>262</v>
      </c>
      <c r="D72" s="1" t="s">
        <v>263</v>
      </c>
      <c r="E72" s="2">
        <v>45840.0</v>
      </c>
      <c r="F72" s="1" t="s">
        <v>68</v>
      </c>
      <c r="G72" s="1" t="s">
        <v>248</v>
      </c>
      <c r="H72" s="1" t="s">
        <v>264</v>
      </c>
      <c r="I72" s="1">
        <v>200.0</v>
      </c>
      <c r="J72" s="1" t="s">
        <v>24</v>
      </c>
      <c r="K72" s="1">
        <v>200.0</v>
      </c>
      <c r="L72" s="1">
        <v>200.0</v>
      </c>
      <c r="M72" s="1" t="s">
        <v>24</v>
      </c>
      <c r="N72" s="1" t="s">
        <v>24</v>
      </c>
      <c r="O72" s="1" t="s">
        <v>265</v>
      </c>
      <c r="P72" s="3" t="str">
        <f>HYPERLINK("https://icf.clappia.com/app/SOM165486/submission/JPW71474036/ICF247370-SOM165486-528laak1g4g400000000/SIG-20250702_1832hencb.jpeg", "SIG-20250702_1832hencb.jpeg")</f>
        <v>SIG-20250702_1832hencb.jpeg</v>
      </c>
      <c r="Q72" s="3" t="str">
        <f>HYPERLINK("https://www.google.com/maps/place/9.367415%2C-11.97401", "9.367415,-11.97401")</f>
        <v>9.367415,-11.97401</v>
      </c>
    </row>
    <row r="73" ht="15.75" customHeight="1">
      <c r="A73" s="1" t="s">
        <v>266</v>
      </c>
      <c r="B73" s="1" t="s">
        <v>18</v>
      </c>
      <c r="C73" s="1" t="s">
        <v>267</v>
      </c>
      <c r="D73" s="1" t="s">
        <v>268</v>
      </c>
      <c r="E73" s="2">
        <v>45840.0</v>
      </c>
      <c r="F73" s="1" t="s">
        <v>21</v>
      </c>
      <c r="G73" s="1" t="s">
        <v>269</v>
      </c>
      <c r="H73" s="1" t="s">
        <v>270</v>
      </c>
      <c r="I73" s="1">
        <v>300.0</v>
      </c>
      <c r="J73" s="1" t="s">
        <v>24</v>
      </c>
      <c r="K73" s="1">
        <v>300.0</v>
      </c>
      <c r="L73" s="1">
        <v>286.0</v>
      </c>
      <c r="M73" s="1">
        <v>14.0</v>
      </c>
      <c r="N73" s="1">
        <v>9.0</v>
      </c>
      <c r="O73" s="1" t="s">
        <v>271</v>
      </c>
      <c r="P73" s="3" t="str">
        <f>HYPERLINK("https://icf.clappia.com/app/SOM165486/submission/HUS61978011/ICF247370-SOM165486-39mm59h1o9ci00000000/SIG-20250702_1200e83kn.jpeg", "SIG-20250702_1200e83kn.jpeg")</f>
        <v>SIG-20250702_1200e83kn.jpeg</v>
      </c>
      <c r="Q73" s="3" t="str">
        <f>HYPERLINK("https://www.google.com/maps/place/7.7364483%2C-11.6427333", "7.7364483,-11.6427333")</f>
        <v>7.7364483,-11.6427333</v>
      </c>
    </row>
    <row r="74" ht="15.75" customHeight="1">
      <c r="A74" s="1" t="s">
        <v>272</v>
      </c>
      <c r="B74" s="1" t="s">
        <v>18</v>
      </c>
      <c r="C74" s="1" t="s">
        <v>273</v>
      </c>
      <c r="D74" s="1" t="s">
        <v>274</v>
      </c>
      <c r="E74" s="2">
        <v>45838.0</v>
      </c>
      <c r="F74" s="1" t="s">
        <v>21</v>
      </c>
      <c r="G74" s="1" t="s">
        <v>275</v>
      </c>
      <c r="H74" s="1" t="s">
        <v>276</v>
      </c>
      <c r="I74" s="1">
        <v>226.0</v>
      </c>
      <c r="J74" s="1" t="s">
        <v>24</v>
      </c>
      <c r="K74" s="1">
        <v>226.0</v>
      </c>
      <c r="L74" s="1">
        <v>130.0</v>
      </c>
      <c r="M74" s="1">
        <v>96.0</v>
      </c>
      <c r="N74" s="1">
        <v>96.0</v>
      </c>
      <c r="O74" s="1" t="s">
        <v>277</v>
      </c>
      <c r="P74" s="3" t="str">
        <f>HYPERLINK("https://icf.clappia.com/app/SOM165486/submission/QYR41435606/ICF247370-SOM165486-44bdd170la6200000000/SIG-20250702_13031248bd.jpeg", "SIG-20250702_13031248bd.jpeg")</f>
        <v>SIG-20250702_13031248bd.jpeg</v>
      </c>
      <c r="Q74" s="3" t="str">
        <f>HYPERLINK("https://www.google.com/maps/place/7.71889%2C-11.8488917", "7.71889,-11.8488917")</f>
        <v>7.71889,-11.8488917</v>
      </c>
    </row>
    <row r="75" ht="15.75" customHeight="1">
      <c r="A75" s="1" t="s">
        <v>278</v>
      </c>
      <c r="B75" s="1" t="s">
        <v>18</v>
      </c>
      <c r="C75" s="1" t="s">
        <v>279</v>
      </c>
      <c r="D75" s="1" t="s">
        <v>280</v>
      </c>
      <c r="E75" s="2">
        <v>45838.0</v>
      </c>
      <c r="F75" s="1" t="s">
        <v>21</v>
      </c>
      <c r="G75" s="1" t="s">
        <v>275</v>
      </c>
      <c r="H75" s="1" t="s">
        <v>276</v>
      </c>
      <c r="I75" s="1">
        <v>226.0</v>
      </c>
      <c r="J75" s="1" t="s">
        <v>24</v>
      </c>
      <c r="K75" s="1">
        <v>226.0</v>
      </c>
      <c r="L75" s="1">
        <v>130.0</v>
      </c>
      <c r="M75" s="1">
        <v>96.0</v>
      </c>
      <c r="N75" s="1">
        <v>96.0</v>
      </c>
      <c r="O75" s="1" t="s">
        <v>281</v>
      </c>
      <c r="P75" s="3" t="str">
        <f>HYPERLINK("https://icf.clappia.com/app/SOM165486/submission/TBY91920073/ICF247370-SOM165486-1m4if5eicp5m80000000/SIG-20250630_1612ik552.jpeg", "SIG-20250630_1612ik552.jpeg")</f>
        <v>SIG-20250630_1612ik552.jpeg</v>
      </c>
      <c r="Q75" s="3" t="str">
        <f>HYPERLINK("https://www.google.com/maps/place/7.7188483%2C-11.8489867", "7.7188483,-11.8489867")</f>
        <v>7.7188483,-11.8489867</v>
      </c>
    </row>
    <row r="76" ht="15.75" customHeight="1">
      <c r="A76" s="1" t="s">
        <v>282</v>
      </c>
      <c r="B76" s="1" t="s">
        <v>283</v>
      </c>
      <c r="C76" s="1" t="s">
        <v>284</v>
      </c>
      <c r="D76" s="1" t="s">
        <v>285</v>
      </c>
      <c r="E76" s="2">
        <v>45842.0</v>
      </c>
      <c r="F76" s="1" t="s">
        <v>68</v>
      </c>
      <c r="G76" s="1" t="s">
        <v>286</v>
      </c>
      <c r="H76" s="1" t="s">
        <v>287</v>
      </c>
      <c r="I76" s="1">
        <v>11.0</v>
      </c>
      <c r="J76" s="1" t="s">
        <v>24</v>
      </c>
      <c r="K76" s="1">
        <v>11.0</v>
      </c>
      <c r="L76" s="1">
        <v>11.0</v>
      </c>
      <c r="M76" s="1" t="s">
        <v>24</v>
      </c>
      <c r="N76" s="1" t="s">
        <v>24</v>
      </c>
      <c r="O76" s="1" t="s">
        <v>288</v>
      </c>
      <c r="P76" s="3" t="str">
        <f>HYPERLINK("https://icf.clappia.com/app/SOM165486/submission/JIA77820976/ICF247370-SOM165486-h6502fn473fm0000000/SIG-20250704_1424f4602.jpeg", "SIG-20250704_1424f4602.jpeg")</f>
        <v>SIG-20250704_1424f4602.jpeg</v>
      </c>
    </row>
    <row r="77" ht="15.75" customHeight="1">
      <c r="A77" s="1" t="s">
        <v>289</v>
      </c>
      <c r="B77" s="1" t="s">
        <v>283</v>
      </c>
      <c r="C77" s="1" t="s">
        <v>290</v>
      </c>
      <c r="D77" s="1" t="s">
        <v>285</v>
      </c>
      <c r="E77" s="2">
        <v>45841.0</v>
      </c>
      <c r="F77" s="1" t="s">
        <v>68</v>
      </c>
      <c r="G77" s="1" t="s">
        <v>286</v>
      </c>
      <c r="H77" s="1" t="s">
        <v>287</v>
      </c>
      <c r="I77" s="1">
        <v>50.0</v>
      </c>
      <c r="J77" s="1" t="s">
        <v>24</v>
      </c>
      <c r="K77" s="1">
        <v>50.0</v>
      </c>
      <c r="L77" s="1">
        <v>29.0</v>
      </c>
      <c r="M77" s="1">
        <v>21.0</v>
      </c>
      <c r="N77" s="1">
        <v>21.0</v>
      </c>
      <c r="O77" s="1" t="s">
        <v>288</v>
      </c>
      <c r="P77" s="3" t="str">
        <f>HYPERLINK("https://icf.clappia.com/app/SOM165486/submission/YPO51034417/ICF247370-SOM165486-4ml13kj6djia00000000/SIG-20250703_145516014o.jpeg", "SIG-20250703_145516014o.jpeg")</f>
        <v>SIG-20250703_145516014o.jpeg</v>
      </c>
    </row>
    <row r="78" ht="15.75" customHeight="1">
      <c r="A78" s="1" t="s">
        <v>291</v>
      </c>
      <c r="B78" s="1" t="s">
        <v>18</v>
      </c>
      <c r="C78" s="1" t="s">
        <v>292</v>
      </c>
      <c r="D78" s="1" t="s">
        <v>293</v>
      </c>
      <c r="E78" s="2">
        <v>45840.0</v>
      </c>
      <c r="F78" s="1" t="s">
        <v>21</v>
      </c>
      <c r="G78" s="1" t="s">
        <v>275</v>
      </c>
      <c r="H78" s="1" t="s">
        <v>294</v>
      </c>
      <c r="I78" s="1">
        <v>696.0</v>
      </c>
      <c r="J78" s="1" t="s">
        <v>24</v>
      </c>
      <c r="K78" s="1">
        <v>696.0</v>
      </c>
      <c r="L78" s="1">
        <v>409.0</v>
      </c>
      <c r="M78" s="1">
        <v>287.0</v>
      </c>
      <c r="N78" s="1" t="s">
        <v>24</v>
      </c>
      <c r="O78" s="1" t="s">
        <v>295</v>
      </c>
      <c r="P78" s="3" t="str">
        <f>HYPERLINK("https://icf.clappia.com/app/SOM165486/submission/EOO10397693/ICF247370-SOM165486-m0a2i0i6e0ic0000000/SIG-20250702_1027ngjca.jpeg", "SIG-20250702_1027ngjca.jpeg")</f>
        <v>SIG-20250702_1027ngjca.jpeg</v>
      </c>
      <c r="Q78" s="3" t="str">
        <f>HYPERLINK("https://www.google.com/maps/place/7.6562583%2C-11.872335", "7.6562583,-11.872335")</f>
        <v>7.6562583,-11.872335</v>
      </c>
    </row>
    <row r="79" ht="15.75" customHeight="1">
      <c r="A79" s="1" t="s">
        <v>296</v>
      </c>
      <c r="B79" s="1" t="s">
        <v>18</v>
      </c>
      <c r="C79" s="1" t="s">
        <v>297</v>
      </c>
      <c r="D79" s="1" t="s">
        <v>293</v>
      </c>
      <c r="E79" s="2">
        <v>45839.0</v>
      </c>
      <c r="F79" s="1" t="s">
        <v>21</v>
      </c>
      <c r="G79" s="1" t="s">
        <v>275</v>
      </c>
      <c r="H79" s="1" t="s">
        <v>294</v>
      </c>
      <c r="I79" s="1">
        <v>167.0</v>
      </c>
      <c r="J79" s="1" t="s">
        <v>24</v>
      </c>
      <c r="K79" s="1">
        <v>167.0</v>
      </c>
      <c r="L79" s="1">
        <v>167.0</v>
      </c>
      <c r="M79" s="1" t="s">
        <v>24</v>
      </c>
      <c r="N79" s="1" t="s">
        <v>24</v>
      </c>
      <c r="O79" s="1" t="s">
        <v>298</v>
      </c>
      <c r="P79" s="3" t="str">
        <f>HYPERLINK("https://icf.clappia.com/app/SOM165486/submission/VPR97236047/ICF247370-SOM165486-4iagkg0c7iao00000000/SIG-20250701_13367m9ke.jpeg", "SIG-20250701_13367m9ke.jpeg")</f>
        <v>SIG-20250701_13367m9ke.jpeg</v>
      </c>
      <c r="Q79" s="3" t="str">
        <f>HYPERLINK("https://www.google.com/maps/place/7.6643529%2C-11.8629112", "7.6643529,-11.8629112")</f>
        <v>7.6643529,-11.8629112</v>
      </c>
    </row>
    <row r="80" ht="15.75" customHeight="1">
      <c r="A80" s="1" t="s">
        <v>299</v>
      </c>
      <c r="B80" s="1" t="s">
        <v>283</v>
      </c>
      <c r="C80" s="1" t="s">
        <v>300</v>
      </c>
      <c r="D80" s="1" t="s">
        <v>293</v>
      </c>
      <c r="E80" s="2">
        <v>45840.0</v>
      </c>
      <c r="F80" s="1" t="s">
        <v>68</v>
      </c>
      <c r="G80" s="1" t="s">
        <v>286</v>
      </c>
      <c r="H80" s="1" t="s">
        <v>287</v>
      </c>
      <c r="I80" s="1">
        <v>57.0</v>
      </c>
      <c r="J80" s="1" t="s">
        <v>24</v>
      </c>
      <c r="K80" s="1">
        <v>57.0</v>
      </c>
      <c r="L80" s="1">
        <v>56.0</v>
      </c>
      <c r="M80" s="1">
        <v>1.0</v>
      </c>
      <c r="N80" s="1">
        <v>1.0</v>
      </c>
      <c r="O80" s="1" t="s">
        <v>301</v>
      </c>
      <c r="P80" s="3" t="str">
        <f>HYPERLINK("https://icf.clappia.com/app/SOM165486/submission/JWS72506000/ICF247370-SOM165486-27n4bg9ho68fg0000000/SIG-20250702_131210pcc4.jpeg", "SIG-20250702_131210pcc4.jpeg")</f>
        <v>SIG-20250702_131210pcc4.jpeg</v>
      </c>
    </row>
    <row r="81" ht="15.75" customHeight="1">
      <c r="A81" s="1" t="s">
        <v>302</v>
      </c>
      <c r="B81" s="1" t="s">
        <v>283</v>
      </c>
      <c r="C81" s="1" t="s">
        <v>303</v>
      </c>
      <c r="D81" s="1" t="s">
        <v>293</v>
      </c>
      <c r="E81" s="2">
        <v>45839.0</v>
      </c>
      <c r="F81" s="1" t="s">
        <v>68</v>
      </c>
      <c r="G81" s="1" t="s">
        <v>286</v>
      </c>
      <c r="H81" s="1" t="s">
        <v>287</v>
      </c>
      <c r="I81" s="1">
        <v>100.0</v>
      </c>
      <c r="J81" s="1" t="s">
        <v>24</v>
      </c>
      <c r="K81" s="1">
        <v>100.0</v>
      </c>
      <c r="L81" s="1">
        <v>93.0</v>
      </c>
      <c r="M81" s="1">
        <v>7.0</v>
      </c>
      <c r="N81" s="1">
        <v>7.0</v>
      </c>
      <c r="O81" s="1" t="s">
        <v>301</v>
      </c>
      <c r="P81" s="3" t="str">
        <f>HYPERLINK("https://icf.clappia.com/app/SOM165486/submission/UBI37241739/ICF247370-SOM165486-3p7bpk3gk92i00000000/SIG-20250701_105010b1go.jpeg", "SIG-20250701_105010b1go.jpeg")</f>
        <v>SIG-20250701_105010b1go.jpeg</v>
      </c>
    </row>
    <row r="82" ht="15.75" customHeight="1">
      <c r="A82" s="1" t="s">
        <v>304</v>
      </c>
      <c r="B82" s="1" t="s">
        <v>283</v>
      </c>
      <c r="C82" s="1" t="s">
        <v>305</v>
      </c>
      <c r="D82" s="1" t="s">
        <v>293</v>
      </c>
      <c r="E82" s="2">
        <v>45838.0</v>
      </c>
      <c r="F82" s="1" t="s">
        <v>68</v>
      </c>
      <c r="G82" s="1" t="s">
        <v>286</v>
      </c>
      <c r="H82" s="1" t="s">
        <v>287</v>
      </c>
      <c r="I82" s="1">
        <v>57.0</v>
      </c>
      <c r="J82" s="1" t="s">
        <v>24</v>
      </c>
      <c r="K82" s="1">
        <v>57.0</v>
      </c>
      <c r="L82" s="1">
        <v>47.0</v>
      </c>
      <c r="M82" s="1">
        <v>10.0</v>
      </c>
      <c r="N82" s="1">
        <v>10.0</v>
      </c>
      <c r="O82" s="1" t="s">
        <v>301</v>
      </c>
      <c r="P82" s="3" t="str">
        <f>HYPERLINK("https://icf.clappia.com/app/SOM165486/submission/LDB88131966/ICF247370-SOM165486-2015jhmj20lnm0000000/SIG-20250630_1343147n3c.jpeg", "SIG-20250630_1343147n3c.jpeg")</f>
        <v>SIG-20250630_1343147n3c.jpeg</v>
      </c>
    </row>
    <row r="83" ht="15.75" customHeight="1">
      <c r="A83" s="1" t="s">
        <v>306</v>
      </c>
      <c r="B83" s="1" t="s">
        <v>283</v>
      </c>
      <c r="C83" s="1" t="s">
        <v>307</v>
      </c>
      <c r="D83" s="1" t="s">
        <v>308</v>
      </c>
      <c r="E83" s="2">
        <v>45839.0</v>
      </c>
      <c r="F83" s="1" t="s">
        <v>68</v>
      </c>
      <c r="G83" s="1" t="s">
        <v>286</v>
      </c>
      <c r="H83" s="1" t="s">
        <v>309</v>
      </c>
      <c r="I83" s="1">
        <v>150.0</v>
      </c>
      <c r="J83" s="1" t="s">
        <v>24</v>
      </c>
      <c r="K83" s="1">
        <v>150.0</v>
      </c>
      <c r="L83" s="1">
        <v>150.0</v>
      </c>
      <c r="M83" s="1" t="s">
        <v>24</v>
      </c>
      <c r="N83" s="1" t="s">
        <v>24</v>
      </c>
      <c r="O83" s="1" t="s">
        <v>310</v>
      </c>
      <c r="P83" s="3" t="str">
        <f>HYPERLINK("https://icf.clappia.com/app/SOM165486/submission/OSJ65141392/ICF247370-SOM165486-59dldifcfj6200000000/SIG-20250702_1039o849a.jpeg", "SIG-20250702_1039o849a.jpeg")</f>
        <v>SIG-20250702_1039o849a.jpeg</v>
      </c>
      <c r="Q83" s="3" t="str">
        <f>HYPERLINK("https://www.google.com/maps/place/8.995235%2C-12.1121983", "8.995235,-12.1121983")</f>
        <v>8.995235,-12.1121983</v>
      </c>
    </row>
    <row r="84" ht="15.75" customHeight="1">
      <c r="A84" s="1" t="s">
        <v>311</v>
      </c>
      <c r="B84" s="1" t="s">
        <v>18</v>
      </c>
      <c r="C84" s="1" t="s">
        <v>312</v>
      </c>
      <c r="D84" s="1" t="s">
        <v>313</v>
      </c>
      <c r="E84" s="2">
        <v>45839.0</v>
      </c>
      <c r="F84" s="1" t="s">
        <v>21</v>
      </c>
      <c r="G84" s="1" t="s">
        <v>275</v>
      </c>
      <c r="H84" s="1" t="s">
        <v>314</v>
      </c>
      <c r="I84" s="1">
        <v>126.0</v>
      </c>
      <c r="J84" s="1" t="s">
        <v>24</v>
      </c>
      <c r="K84" s="1">
        <v>126.0</v>
      </c>
      <c r="L84" s="1">
        <v>126.0</v>
      </c>
      <c r="M84" s="1" t="s">
        <v>24</v>
      </c>
      <c r="N84" s="1" t="s">
        <v>24</v>
      </c>
      <c r="O84" s="1">
        <v>3.0</v>
      </c>
      <c r="P84" s="3" t="str">
        <f>HYPERLINK("https://icf.clappia.com/app/SOM165486/submission/LHU38502332/ICF247370-SOM165486-4baoe2ad5ooc00000000/SIG-20250702_134819b08k.jpeg", "SIG-20250702_134819b08k.jpeg")</f>
        <v>SIG-20250702_134819b08k.jpeg</v>
      </c>
      <c r="Q84" s="3" t="str">
        <f>HYPERLINK("https://www.google.com/maps/place/7.73865%2C-11.9019117", "7.73865,-11.9019117")</f>
        <v>7.73865,-11.9019117</v>
      </c>
    </row>
    <row r="85" ht="15.75" customHeight="1">
      <c r="A85" s="1" t="s">
        <v>315</v>
      </c>
      <c r="B85" s="1" t="s">
        <v>18</v>
      </c>
      <c r="C85" s="1" t="s">
        <v>316</v>
      </c>
      <c r="D85" s="1" t="s">
        <v>313</v>
      </c>
      <c r="E85" s="2">
        <v>45838.0</v>
      </c>
      <c r="F85" s="1" t="s">
        <v>21</v>
      </c>
      <c r="G85" s="1" t="s">
        <v>275</v>
      </c>
      <c r="H85" s="1" t="s">
        <v>314</v>
      </c>
      <c r="I85" s="1">
        <v>164.0</v>
      </c>
      <c r="J85" s="1" t="s">
        <v>24</v>
      </c>
      <c r="K85" s="1">
        <v>164.0</v>
      </c>
      <c r="L85" s="1">
        <v>164.0</v>
      </c>
      <c r="M85" s="1" t="s">
        <v>24</v>
      </c>
      <c r="N85" s="1" t="s">
        <v>24</v>
      </c>
      <c r="O85" s="1">
        <v>3.0</v>
      </c>
      <c r="P85" s="3" t="str">
        <f>HYPERLINK("https://icf.clappia.com/app/SOM165486/submission/SRM39575780/ICF247370-SOM165486-4el9eb487gdo00000000/SIG-20250702_1323jff0e.jpeg", "SIG-20250702_1323jff0e.jpeg")</f>
        <v>SIG-20250702_1323jff0e.jpeg</v>
      </c>
      <c r="Q85" s="3" t="str">
        <f>HYPERLINK("https://www.google.com/maps/place/7.7385833%2C-11.902175", "7.7385833,-11.902175")</f>
        <v>7.7385833,-11.902175</v>
      </c>
    </row>
    <row r="86" ht="15.75" customHeight="1">
      <c r="A86" s="1" t="s">
        <v>317</v>
      </c>
      <c r="B86" s="1" t="s">
        <v>18</v>
      </c>
      <c r="C86" s="1" t="s">
        <v>318</v>
      </c>
      <c r="D86" s="1" t="s">
        <v>319</v>
      </c>
      <c r="E86" s="2">
        <v>45842.0</v>
      </c>
      <c r="F86" s="1" t="s">
        <v>68</v>
      </c>
      <c r="G86" s="1" t="s">
        <v>286</v>
      </c>
      <c r="H86" s="1" t="s">
        <v>320</v>
      </c>
      <c r="I86" s="1">
        <v>40.0</v>
      </c>
      <c r="J86" s="1" t="s">
        <v>24</v>
      </c>
      <c r="K86" s="1">
        <v>40.0</v>
      </c>
      <c r="L86" s="1" t="s">
        <v>24</v>
      </c>
      <c r="M86" s="1">
        <v>40.0</v>
      </c>
      <c r="N86" s="1" t="s">
        <v>24</v>
      </c>
      <c r="O86" s="1" t="s">
        <v>321</v>
      </c>
      <c r="P86" s="3" t="str">
        <f>HYPERLINK("https://icf.clappia.com/app/SOM165486/submission/DGK93937332/ICF247370-SOM165486-62elnc46f86k00000000/SIG-20250704_1245163god.jpeg", "SIG-20250704_1245163god.jpeg")</f>
        <v>SIG-20250704_1245163god.jpeg</v>
      </c>
      <c r="Q86" s="3" t="str">
        <f>HYPERLINK("https://www.google.com/maps/place/9.0296817%2C-12.157906", "9.0296817,-12.157906")</f>
        <v>9.0296817,-12.157906</v>
      </c>
    </row>
    <row r="87" ht="15.75" customHeight="1">
      <c r="A87" s="1" t="s">
        <v>322</v>
      </c>
      <c r="B87" s="1" t="s">
        <v>283</v>
      </c>
      <c r="C87" s="1" t="s">
        <v>323</v>
      </c>
      <c r="D87" s="1" t="s">
        <v>324</v>
      </c>
      <c r="E87" s="2">
        <v>45841.0</v>
      </c>
      <c r="F87" s="1" t="s">
        <v>68</v>
      </c>
      <c r="G87" s="1" t="s">
        <v>325</v>
      </c>
      <c r="H87" s="1" t="s">
        <v>326</v>
      </c>
      <c r="I87" s="1">
        <v>151.0</v>
      </c>
      <c r="J87" s="1" t="s">
        <v>24</v>
      </c>
      <c r="K87" s="1">
        <v>151.0</v>
      </c>
      <c r="L87" s="1">
        <v>151.0</v>
      </c>
      <c r="M87" s="1" t="s">
        <v>24</v>
      </c>
      <c r="N87" s="1" t="s">
        <v>24</v>
      </c>
      <c r="O87" s="1" t="s">
        <v>327</v>
      </c>
      <c r="P87" s="3" t="str">
        <f>HYPERLINK("https://icf.clappia.com/app/SOM165486/submission/VGI13010991/ICF247370-SOM165486-35k230o32a9i00000000/SIG-20250703_05591aghan.jpeg", "SIG-20250703_05591aghan.jpeg")</f>
        <v>SIG-20250703_05591aghan.jpeg</v>
      </c>
    </row>
    <row r="88" ht="15.75" customHeight="1">
      <c r="A88" s="1" t="s">
        <v>328</v>
      </c>
      <c r="B88" s="1" t="s">
        <v>18</v>
      </c>
      <c r="C88" s="1" t="s">
        <v>329</v>
      </c>
      <c r="D88" s="1" t="s">
        <v>330</v>
      </c>
      <c r="E88" s="2">
        <v>45838.0</v>
      </c>
      <c r="F88" s="1" t="s">
        <v>21</v>
      </c>
      <c r="G88" s="1" t="s">
        <v>331</v>
      </c>
      <c r="H88" s="1" t="s">
        <v>332</v>
      </c>
      <c r="I88" s="1">
        <v>188.0</v>
      </c>
      <c r="J88" s="1" t="s">
        <v>24</v>
      </c>
      <c r="K88" s="1">
        <v>188.0</v>
      </c>
      <c r="L88" s="1">
        <v>150.0</v>
      </c>
      <c r="M88" s="1">
        <v>38.0</v>
      </c>
      <c r="N88" s="1">
        <v>38.0</v>
      </c>
      <c r="O88" s="1" t="s">
        <v>333</v>
      </c>
      <c r="P88" s="3" t="str">
        <f>HYPERLINK("https://icf.clappia.com/app/SOM165486/submission/KEX86333385/ICF247370-SOM165486-1pod8jjke2f360000000/SIG-20250630_10091a2p9p.jpeg", "SIG-20250630_10091a2p9p.jpeg")</f>
        <v>SIG-20250630_10091a2p9p.jpeg</v>
      </c>
      <c r="Q88" s="3" t="str">
        <f>HYPERLINK("https://www.google.com/maps/place/7.6344467%2C-11.67307", "7.6344467,-11.67307")</f>
        <v>7.6344467,-11.67307</v>
      </c>
    </row>
    <row r="89" ht="15.75" customHeight="1">
      <c r="A89" s="1" t="s">
        <v>334</v>
      </c>
      <c r="B89" s="1" t="s">
        <v>18</v>
      </c>
      <c r="C89" s="1" t="s">
        <v>335</v>
      </c>
      <c r="D89" s="1" t="s">
        <v>335</v>
      </c>
      <c r="E89" s="2">
        <v>45842.0</v>
      </c>
      <c r="F89" s="1" t="s">
        <v>21</v>
      </c>
      <c r="G89" s="1" t="s">
        <v>164</v>
      </c>
      <c r="H89" s="1" t="s">
        <v>336</v>
      </c>
      <c r="I89" s="1">
        <v>55.0</v>
      </c>
      <c r="J89" s="1" t="s">
        <v>24</v>
      </c>
      <c r="K89" s="1">
        <v>55.0</v>
      </c>
      <c r="L89" s="1">
        <v>55.0</v>
      </c>
      <c r="M89" s="1" t="s">
        <v>24</v>
      </c>
      <c r="N89" s="1" t="s">
        <v>24</v>
      </c>
      <c r="O89" s="1" t="s">
        <v>337</v>
      </c>
      <c r="P89" s="3" t="str">
        <f>HYPERLINK("https://icf.clappia.com/app/SOM165486/submission/MNS51984356/ICF247370-SOM165486-3cpnjildhaag00000000/SIG-20250705_1318j42c2.jpeg", "SIG-20250705_1318j42c2.jpeg")</f>
        <v>SIG-20250705_1318j42c2.jpeg</v>
      </c>
      <c r="Q89" s="3" t="str">
        <f>HYPERLINK("https://www.google.com/maps/place/7.7919094%2C-12.0473448", "7.7919094,-12.0473448")</f>
        <v>7.7919094,-12.0473448</v>
      </c>
    </row>
    <row r="90" ht="15.75" customHeight="1">
      <c r="A90" s="1" t="s">
        <v>338</v>
      </c>
      <c r="B90" s="1" t="s">
        <v>18</v>
      </c>
      <c r="C90" s="1" t="s">
        <v>339</v>
      </c>
      <c r="D90" s="1" t="s">
        <v>339</v>
      </c>
      <c r="E90" s="2">
        <v>45842.0</v>
      </c>
      <c r="F90" s="1" t="s">
        <v>68</v>
      </c>
      <c r="G90" s="1" t="s">
        <v>340</v>
      </c>
      <c r="H90" s="1" t="s">
        <v>341</v>
      </c>
      <c r="I90" s="1">
        <v>185.0</v>
      </c>
      <c r="J90" s="1" t="s">
        <v>24</v>
      </c>
      <c r="K90" s="1">
        <v>185.0</v>
      </c>
      <c r="L90" s="1">
        <v>185.0</v>
      </c>
      <c r="M90" s="1" t="s">
        <v>24</v>
      </c>
      <c r="N90" s="1" t="s">
        <v>24</v>
      </c>
      <c r="O90" s="1" t="s">
        <v>342</v>
      </c>
      <c r="P90" s="3" t="str">
        <f>HYPERLINK("https://icf.clappia.com/app/SOM165486/submission/OXZ02938093/ICF247370-SOM165486-53af3eb0e04600000000/SIG-20250704_1537inebd.jpeg", "SIG-20250704_1537inebd.jpeg")</f>
        <v>SIG-20250704_1537inebd.jpeg</v>
      </c>
      <c r="Q90" s="3" t="str">
        <f>HYPERLINK("https://www.google.com/maps/place/9.3080433%2C-11.861315", "9.3080433,-11.861315")</f>
        <v>9.3080433,-11.861315</v>
      </c>
    </row>
    <row r="91" ht="15.75" customHeight="1">
      <c r="A91" s="1" t="s">
        <v>343</v>
      </c>
      <c r="B91" s="1" t="s">
        <v>18</v>
      </c>
      <c r="C91" s="1" t="s">
        <v>344</v>
      </c>
      <c r="D91" s="1" t="s">
        <v>344</v>
      </c>
      <c r="E91" s="2">
        <v>45842.0</v>
      </c>
      <c r="F91" s="1" t="s">
        <v>21</v>
      </c>
      <c r="G91" s="1" t="s">
        <v>77</v>
      </c>
      <c r="H91" s="1" t="s">
        <v>345</v>
      </c>
      <c r="I91" s="1">
        <v>308.0</v>
      </c>
      <c r="J91" s="1" t="s">
        <v>24</v>
      </c>
      <c r="K91" s="1">
        <v>308.0</v>
      </c>
      <c r="L91" s="1">
        <v>290.0</v>
      </c>
      <c r="M91" s="1">
        <v>18.0</v>
      </c>
      <c r="N91" s="1">
        <v>18.0</v>
      </c>
      <c r="O91" s="1" t="s">
        <v>346</v>
      </c>
      <c r="P91" s="3" t="str">
        <f>HYPERLINK("https://icf.clappia.com/app/SOM165486/submission/RXC55263809/ICF247370-SOM165486-56a59g55cjp20000000/SIG-20250705_1230ch5g0.jpeg", "SIG-20250705_1230ch5g0.jpeg")</f>
        <v>SIG-20250705_1230ch5g0.jpeg</v>
      </c>
    </row>
    <row r="92" ht="15.75" customHeight="1">
      <c r="A92" s="1" t="s">
        <v>347</v>
      </c>
      <c r="B92" s="1" t="s">
        <v>18</v>
      </c>
      <c r="C92" s="1" t="s">
        <v>348</v>
      </c>
      <c r="D92" s="1" t="s">
        <v>348</v>
      </c>
      <c r="E92" s="2">
        <v>45841.0</v>
      </c>
      <c r="F92" s="1" t="s">
        <v>21</v>
      </c>
      <c r="G92" s="1" t="s">
        <v>77</v>
      </c>
      <c r="H92" s="1" t="s">
        <v>345</v>
      </c>
      <c r="I92" s="1">
        <v>144.0</v>
      </c>
      <c r="J92" s="1" t="s">
        <v>24</v>
      </c>
      <c r="K92" s="1">
        <v>144.0</v>
      </c>
      <c r="L92" s="1">
        <v>144.0</v>
      </c>
      <c r="M92" s="1" t="s">
        <v>24</v>
      </c>
      <c r="N92" s="1" t="s">
        <v>24</v>
      </c>
      <c r="O92" s="1" t="s">
        <v>349</v>
      </c>
      <c r="P92" s="3" t="str">
        <f>HYPERLINK("https://icf.clappia.com/app/SOM165486/submission/URE30931711/ICF247370-SOM165486-66d6i26bfoni00000000/SIG-20250705_1228do0k0.jpeg", "SIG-20250705_1228do0k0.jpeg")</f>
        <v>SIG-20250705_1228do0k0.jpeg</v>
      </c>
    </row>
    <row r="93" ht="15.75" customHeight="1">
      <c r="A93" s="1" t="s">
        <v>350</v>
      </c>
      <c r="B93" s="1" t="s">
        <v>18</v>
      </c>
      <c r="C93" s="1" t="s">
        <v>351</v>
      </c>
      <c r="D93" s="1" t="s">
        <v>351</v>
      </c>
      <c r="E93" s="2">
        <v>45840.0</v>
      </c>
      <c r="F93" s="1" t="s">
        <v>21</v>
      </c>
      <c r="G93" s="1" t="s">
        <v>77</v>
      </c>
      <c r="H93" s="1" t="s">
        <v>345</v>
      </c>
      <c r="I93" s="1">
        <v>150.0</v>
      </c>
      <c r="J93" s="1" t="s">
        <v>24</v>
      </c>
      <c r="K93" s="1">
        <v>150.0</v>
      </c>
      <c r="L93" s="1">
        <v>150.0</v>
      </c>
      <c r="M93" s="1" t="s">
        <v>24</v>
      </c>
      <c r="N93" s="1" t="s">
        <v>24</v>
      </c>
      <c r="O93" s="1" t="s">
        <v>352</v>
      </c>
      <c r="P93" s="3" t="str">
        <f>HYPERLINK("https://icf.clappia.com/app/SOM165486/submission/UHB41032386/ICF247370-SOM165486-127f565nh9k560000000/SIG-20250705_1225b286p.jpeg", "SIG-20250705_1225b286p.jpeg")</f>
        <v>SIG-20250705_1225b286p.jpeg</v>
      </c>
    </row>
    <row r="94" ht="15.75" customHeight="1">
      <c r="A94" s="1" t="s">
        <v>353</v>
      </c>
      <c r="B94" s="1" t="s">
        <v>18</v>
      </c>
      <c r="C94" s="1" t="s">
        <v>354</v>
      </c>
      <c r="D94" s="1" t="s">
        <v>354</v>
      </c>
      <c r="E94" s="2">
        <v>45840.0</v>
      </c>
      <c r="F94" s="1" t="s">
        <v>21</v>
      </c>
      <c r="G94" s="1" t="s">
        <v>77</v>
      </c>
      <c r="H94" s="1" t="s">
        <v>345</v>
      </c>
      <c r="I94" s="1">
        <v>308.0</v>
      </c>
      <c r="J94" s="1" t="s">
        <v>24</v>
      </c>
      <c r="K94" s="1">
        <v>308.0</v>
      </c>
      <c r="L94" s="1">
        <v>164.0</v>
      </c>
      <c r="M94" s="1">
        <v>144.0</v>
      </c>
      <c r="N94" s="1">
        <v>144.0</v>
      </c>
      <c r="O94" s="1" t="s">
        <v>355</v>
      </c>
      <c r="P94" s="3" t="str">
        <f>HYPERLINK("https://icf.clappia.com/app/SOM165486/submission/ZDI15926573/ICF247370-SOM165486-53c6mjddh0a000000000/SIG-20250705_12212f1dj.jpeg", "SIG-20250705_12212f1dj.jpeg")</f>
        <v>SIG-20250705_12212f1dj.jpeg</v>
      </c>
    </row>
    <row r="95" ht="15.75" customHeight="1">
      <c r="A95" s="1" t="s">
        <v>356</v>
      </c>
      <c r="B95" s="1" t="s">
        <v>18</v>
      </c>
      <c r="C95" s="1" t="s">
        <v>357</v>
      </c>
      <c r="D95" s="1" t="s">
        <v>357</v>
      </c>
      <c r="E95" s="2">
        <v>45839.0</v>
      </c>
      <c r="F95" s="1" t="s">
        <v>21</v>
      </c>
      <c r="G95" s="1" t="s">
        <v>77</v>
      </c>
      <c r="H95" s="1" t="s">
        <v>345</v>
      </c>
      <c r="I95" s="1">
        <v>110.0</v>
      </c>
      <c r="J95" s="1" t="s">
        <v>24</v>
      </c>
      <c r="K95" s="1">
        <v>110.0</v>
      </c>
      <c r="L95" s="1">
        <v>110.0</v>
      </c>
      <c r="M95" s="1" t="s">
        <v>24</v>
      </c>
      <c r="N95" s="1" t="s">
        <v>24</v>
      </c>
      <c r="O95" s="1" t="s">
        <v>358</v>
      </c>
      <c r="P95" s="3" t="str">
        <f>HYPERLINK("https://icf.clappia.com/app/SOM165486/submission/NGN04029811/ICF247370-SOM165486-5kbcd3512im80000000/SIG-20250705_1218hccj.jpeg", "SIG-20250705_1218hccj.jpeg")</f>
        <v>SIG-20250705_1218hccj.jpeg</v>
      </c>
    </row>
    <row r="96" ht="15.75" customHeight="1">
      <c r="A96" s="1" t="s">
        <v>359</v>
      </c>
      <c r="B96" s="1" t="s">
        <v>18</v>
      </c>
      <c r="C96" s="1" t="s">
        <v>360</v>
      </c>
      <c r="D96" s="1" t="s">
        <v>360</v>
      </c>
      <c r="E96" s="2">
        <v>45809.0</v>
      </c>
      <c r="F96" s="1" t="s">
        <v>21</v>
      </c>
      <c r="G96" s="1" t="s">
        <v>77</v>
      </c>
      <c r="H96" s="1" t="s">
        <v>345</v>
      </c>
      <c r="I96" s="1">
        <v>265.0</v>
      </c>
      <c r="J96" s="1" t="s">
        <v>24</v>
      </c>
      <c r="K96" s="1">
        <v>265.0</v>
      </c>
      <c r="L96" s="1">
        <v>265.0</v>
      </c>
      <c r="M96" s="1" t="s">
        <v>24</v>
      </c>
      <c r="N96" s="1" t="s">
        <v>24</v>
      </c>
      <c r="O96" s="1" t="s">
        <v>346</v>
      </c>
      <c r="P96" s="3" t="str">
        <f>HYPERLINK("https://icf.clappia.com/app/SOM165486/submission/YBR07449469/ICF247370-SOM165486-1m0he725oe5ao0000000/SIG-20250705_1215phd7j.jpeg", "SIG-20250705_1215phd7j.jpeg")</f>
        <v>SIG-20250705_1215phd7j.jpeg</v>
      </c>
    </row>
    <row r="97" ht="15.75" customHeight="1">
      <c r="A97" s="1" t="s">
        <v>361</v>
      </c>
      <c r="B97" s="1" t="s">
        <v>18</v>
      </c>
      <c r="C97" s="1" t="s">
        <v>362</v>
      </c>
      <c r="D97" s="1" t="s">
        <v>362</v>
      </c>
      <c r="E97" s="2">
        <v>45838.0</v>
      </c>
      <c r="F97" s="1" t="s">
        <v>21</v>
      </c>
      <c r="G97" s="1" t="s">
        <v>77</v>
      </c>
      <c r="H97" s="1" t="s">
        <v>345</v>
      </c>
      <c r="I97" s="1">
        <v>442.0</v>
      </c>
      <c r="J97" s="1" t="s">
        <v>24</v>
      </c>
      <c r="K97" s="1">
        <v>442.0</v>
      </c>
      <c r="L97" s="1">
        <v>177.0</v>
      </c>
      <c r="M97" s="1">
        <v>265.0</v>
      </c>
      <c r="N97" s="1">
        <v>165.0</v>
      </c>
      <c r="O97" s="1" t="s">
        <v>355</v>
      </c>
      <c r="P97" s="3" t="str">
        <f>HYPERLINK("https://icf.clappia.com/app/SOM165486/submission/EKD90954878/ICF247370-SOM165486-5palgp1i484000000000/SIG-20250705_121116i4da.jpeg", "SIG-20250705_121116i4da.jpeg")</f>
        <v>SIG-20250705_121116i4da.jpeg</v>
      </c>
    </row>
    <row r="98" ht="15.75" customHeight="1">
      <c r="A98" s="1" t="s">
        <v>363</v>
      </c>
      <c r="B98" s="1" t="s">
        <v>18</v>
      </c>
      <c r="C98" s="1" t="s">
        <v>364</v>
      </c>
      <c r="D98" s="1" t="s">
        <v>364</v>
      </c>
      <c r="E98" s="2">
        <v>45833.0</v>
      </c>
      <c r="F98" s="1" t="s">
        <v>21</v>
      </c>
      <c r="G98" s="1" t="s">
        <v>77</v>
      </c>
      <c r="H98" s="1" t="s">
        <v>345</v>
      </c>
      <c r="I98" s="1">
        <v>189.0</v>
      </c>
      <c r="J98" s="1" t="s">
        <v>24</v>
      </c>
      <c r="K98" s="1">
        <v>189.0</v>
      </c>
      <c r="L98" s="1">
        <v>145.0</v>
      </c>
      <c r="M98" s="1">
        <v>44.0</v>
      </c>
      <c r="N98" s="1">
        <v>44.0</v>
      </c>
      <c r="O98" s="1" t="s">
        <v>365</v>
      </c>
      <c r="P98" s="3" t="str">
        <f>HYPERLINK("https://icf.clappia.com/app/SOM165486/submission/QME40937336/ICF247370-SOM165486-lna66gpgn3p20000000/SIG-20250705_12047a88p.jpeg", "SIG-20250705_12047a88p.jpeg")</f>
        <v>SIG-20250705_12047a88p.jpeg</v>
      </c>
    </row>
    <row r="99" ht="15.75" customHeight="1">
      <c r="A99" s="1" t="s">
        <v>366</v>
      </c>
      <c r="B99" s="1" t="s">
        <v>18</v>
      </c>
      <c r="C99" s="1" t="s">
        <v>367</v>
      </c>
      <c r="D99" s="1" t="s">
        <v>368</v>
      </c>
      <c r="E99" s="2">
        <v>45843.0</v>
      </c>
      <c r="F99" s="1" t="s">
        <v>21</v>
      </c>
      <c r="G99" s="1" t="s">
        <v>95</v>
      </c>
      <c r="H99" s="1" t="s">
        <v>369</v>
      </c>
      <c r="I99" s="1">
        <v>50.0</v>
      </c>
      <c r="J99" s="1" t="s">
        <v>24</v>
      </c>
      <c r="K99" s="1">
        <v>50.0</v>
      </c>
      <c r="L99" s="1">
        <v>50.0</v>
      </c>
      <c r="M99" s="1" t="s">
        <v>24</v>
      </c>
      <c r="N99" s="1" t="s">
        <v>24</v>
      </c>
      <c r="O99" s="1" t="s">
        <v>370</v>
      </c>
      <c r="P99" s="3" t="str">
        <f>HYPERLINK("https://icf.clappia.com/app/SOM165486/submission/TFF22490616/ICF247370-SOM165486-2138l0ep5566k0000000/SIG-20250705_09322k9gc.jpeg", "SIG-20250705_09322k9gc.jpeg")</f>
        <v>SIG-20250705_09322k9gc.jpeg</v>
      </c>
      <c r="Q99" s="3" t="str">
        <f>HYPERLINK("https://www.google.com/maps/place/7.9313083%2C-11.7177783", "7.9313083,-11.7177783")</f>
        <v>7.9313083,-11.7177783</v>
      </c>
    </row>
    <row r="100" ht="15.75" customHeight="1">
      <c r="A100" s="1" t="s">
        <v>371</v>
      </c>
      <c r="B100" s="1" t="s">
        <v>18</v>
      </c>
      <c r="C100" s="1" t="s">
        <v>372</v>
      </c>
      <c r="D100" s="1" t="s">
        <v>372</v>
      </c>
      <c r="E100" s="2">
        <v>45842.0</v>
      </c>
      <c r="F100" s="1" t="s">
        <v>21</v>
      </c>
      <c r="G100" s="1" t="s">
        <v>95</v>
      </c>
      <c r="H100" s="1" t="s">
        <v>369</v>
      </c>
      <c r="I100" s="1">
        <v>100.0</v>
      </c>
      <c r="J100" s="1" t="s">
        <v>24</v>
      </c>
      <c r="K100" s="1">
        <v>100.0</v>
      </c>
      <c r="L100" s="1">
        <v>100.0</v>
      </c>
      <c r="M100" s="1" t="s">
        <v>24</v>
      </c>
      <c r="N100" s="1" t="s">
        <v>24</v>
      </c>
      <c r="O100" s="1" t="s">
        <v>370</v>
      </c>
      <c r="P100" s="3" t="str">
        <f>HYPERLINK("https://icf.clappia.com/app/SOM165486/submission/KZB21206648/ICF247370-SOM165486-3epjd07bifmk00000000/SIG-20250705_09211e787.jpeg", "SIG-20250705_09211e787.jpeg")</f>
        <v>SIG-20250705_09211e787.jpeg</v>
      </c>
      <c r="Q100" s="3" t="str">
        <f>HYPERLINK("https://www.google.com/maps/place/7.9238164%2C-11.7208856", "7.9238164,-11.7208856")</f>
        <v>7.9238164,-11.7208856</v>
      </c>
    </row>
    <row r="101" ht="15.75" customHeight="1">
      <c r="A101" s="1" t="s">
        <v>373</v>
      </c>
      <c r="B101" s="1" t="s">
        <v>18</v>
      </c>
      <c r="C101" s="1" t="s">
        <v>374</v>
      </c>
      <c r="D101" s="1" t="s">
        <v>375</v>
      </c>
      <c r="E101" s="2">
        <v>45838.0</v>
      </c>
      <c r="F101" s="1" t="s">
        <v>68</v>
      </c>
      <c r="G101" s="1" t="s">
        <v>69</v>
      </c>
      <c r="H101" s="1" t="s">
        <v>70</v>
      </c>
      <c r="I101" s="1">
        <v>200.0</v>
      </c>
      <c r="J101" s="1" t="s">
        <v>24</v>
      </c>
      <c r="K101" s="1">
        <v>200.0</v>
      </c>
      <c r="L101" s="1">
        <v>143.0</v>
      </c>
      <c r="M101" s="1">
        <v>57.0</v>
      </c>
      <c r="N101" s="1">
        <v>57.0</v>
      </c>
      <c r="O101" s="1" t="s">
        <v>71</v>
      </c>
      <c r="P101" s="3" t="str">
        <f>HYPERLINK("https://icf.clappia.com/app/SOM165486/submission/KLD09118650/ICF247370-SOM165486-5e7c4pj6174400000000/SIG-20250630_11021dc3d.jpeg", "SIG-20250630_11021dc3d.jpeg")</f>
        <v>SIG-20250630_11021dc3d.jpeg</v>
      </c>
      <c r="Q101" s="3" t="str">
        <f>HYPERLINK("https://www.google.com/maps/place/8.887875%2C-12.0680417", "8.887875,-12.0680417")</f>
        <v>8.887875,-12.0680417</v>
      </c>
    </row>
    <row r="102" ht="15.75" customHeight="1">
      <c r="A102" s="1" t="s">
        <v>376</v>
      </c>
      <c r="B102" s="1" t="s">
        <v>18</v>
      </c>
      <c r="C102" s="1" t="s">
        <v>377</v>
      </c>
      <c r="D102" s="1" t="s">
        <v>377</v>
      </c>
      <c r="E102" s="2">
        <v>45842.0</v>
      </c>
      <c r="F102" s="1" t="s">
        <v>21</v>
      </c>
      <c r="G102" s="1" t="s">
        <v>22</v>
      </c>
      <c r="H102" s="1" t="s">
        <v>378</v>
      </c>
      <c r="I102" s="1">
        <v>234.0</v>
      </c>
      <c r="J102" s="1" t="s">
        <v>24</v>
      </c>
      <c r="K102" s="1">
        <v>234.0</v>
      </c>
      <c r="L102" s="1">
        <v>170.0</v>
      </c>
      <c r="M102" s="1">
        <v>64.0</v>
      </c>
      <c r="N102" s="1">
        <v>64.0</v>
      </c>
      <c r="O102" s="1" t="s">
        <v>379</v>
      </c>
      <c r="P102" s="3" t="str">
        <f>HYPERLINK("https://icf.clappia.com/app/SOM165486/submission/YPL35792630/ICF247370-SOM165486-6511o44da60g00000000/SIG-20250704_220516i10o.jpeg", "SIG-20250704_220516i10o.jpeg")</f>
        <v>SIG-20250704_220516i10o.jpeg</v>
      </c>
      <c r="Q102" s="3" t="str">
        <f t="shared" ref="Q102:Q103" si="5">HYPERLINK("https://www.google.com/maps/place/8.1008736%2C-11.4163496", "8.1008736,-11.4163496")</f>
        <v>8.1008736,-11.4163496</v>
      </c>
    </row>
    <row r="103" ht="15.75" customHeight="1">
      <c r="A103" s="1" t="s">
        <v>380</v>
      </c>
      <c r="B103" s="1" t="s">
        <v>18</v>
      </c>
      <c r="C103" s="1" t="s">
        <v>381</v>
      </c>
      <c r="D103" s="1" t="s">
        <v>381</v>
      </c>
      <c r="E103" s="2">
        <v>45842.0</v>
      </c>
      <c r="F103" s="1" t="s">
        <v>21</v>
      </c>
      <c r="G103" s="1" t="s">
        <v>22</v>
      </c>
      <c r="H103" s="1" t="s">
        <v>378</v>
      </c>
      <c r="I103" s="1">
        <v>120.0</v>
      </c>
      <c r="J103" s="1" t="s">
        <v>24</v>
      </c>
      <c r="K103" s="1">
        <v>120.0</v>
      </c>
      <c r="L103" s="1">
        <v>107.0</v>
      </c>
      <c r="M103" s="1">
        <v>13.0</v>
      </c>
      <c r="N103" s="1">
        <v>13.0</v>
      </c>
      <c r="O103" s="1" t="s">
        <v>382</v>
      </c>
      <c r="P103" s="3" t="str">
        <f>HYPERLINK("https://icf.clappia.com/app/SOM165486/submission/LSO98909442/ICF247370-SOM165486-31g6kn2kgg8200000000/SIG-20250704_2143oj9a9.jpeg", "SIG-20250704_2143oj9a9.jpeg")</f>
        <v>SIG-20250704_2143oj9a9.jpeg</v>
      </c>
      <c r="Q103" s="3" t="str">
        <f t="shared" si="5"/>
        <v>8.1008736,-11.4163496</v>
      </c>
    </row>
    <row r="104" ht="15.75" customHeight="1">
      <c r="A104" s="1" t="s">
        <v>383</v>
      </c>
      <c r="B104" s="1" t="s">
        <v>283</v>
      </c>
      <c r="C104" s="1" t="s">
        <v>384</v>
      </c>
      <c r="D104" s="1" t="s">
        <v>384</v>
      </c>
      <c r="E104" s="2">
        <v>45842.0</v>
      </c>
      <c r="F104" s="1" t="s">
        <v>68</v>
      </c>
      <c r="G104" s="1" t="s">
        <v>385</v>
      </c>
      <c r="H104" s="1" t="s">
        <v>386</v>
      </c>
      <c r="I104" s="1">
        <v>234.0</v>
      </c>
      <c r="J104" s="1" t="s">
        <v>24</v>
      </c>
      <c r="K104" s="1">
        <v>234.0</v>
      </c>
      <c r="L104" s="1">
        <v>234.0</v>
      </c>
      <c r="M104" s="1" t="s">
        <v>24</v>
      </c>
      <c r="N104" s="1" t="s">
        <v>24</v>
      </c>
      <c r="O104" s="1" t="s">
        <v>387</v>
      </c>
      <c r="P104" s="3" t="str">
        <f>HYPERLINK("https://icf.clappia.com/app/SOM165486/submission/MGV88796078/ICF247370-SOM165486-65p1jb3eg16m00000000/SIG-20250704_2035m7e9o.jpeg", "SIG-20250704_2035m7e9o.jpeg")</f>
        <v>SIG-20250704_2035m7e9o.jpeg</v>
      </c>
      <c r="Q104" s="3" t="str">
        <f>HYPERLINK("https://www.google.com/maps/place/9.0216646%2C-12.3347061", "9.0216646,-12.3347061")</f>
        <v>9.0216646,-12.3347061</v>
      </c>
    </row>
    <row r="105" ht="15.75" customHeight="1">
      <c r="A105" s="1" t="s">
        <v>388</v>
      </c>
      <c r="B105" s="1" t="s">
        <v>18</v>
      </c>
      <c r="C105" s="1" t="s">
        <v>389</v>
      </c>
      <c r="D105" s="1" t="s">
        <v>390</v>
      </c>
      <c r="E105" s="2">
        <v>45839.0</v>
      </c>
      <c r="F105" s="1" t="s">
        <v>21</v>
      </c>
      <c r="G105" s="1" t="s">
        <v>95</v>
      </c>
      <c r="H105" s="1" t="s">
        <v>391</v>
      </c>
      <c r="I105" s="1">
        <v>300.0</v>
      </c>
      <c r="J105" s="1" t="s">
        <v>24</v>
      </c>
      <c r="K105" s="1">
        <v>300.0</v>
      </c>
      <c r="L105" s="1">
        <v>257.0</v>
      </c>
      <c r="M105" s="1">
        <v>43.0</v>
      </c>
      <c r="N105" s="1">
        <v>43.0</v>
      </c>
      <c r="O105" s="1" t="s">
        <v>392</v>
      </c>
      <c r="P105" s="3" t="str">
        <f>HYPERLINK("https://icf.clappia.com/app/SOM165486/submission/EGD93965164/ICF247370-SOM165486-5e3i33l0kcg000000000/SIG-20250704_20101mm75.jpeg", "SIG-20250704_20101mm75.jpeg")</f>
        <v>SIG-20250704_20101mm75.jpeg</v>
      </c>
    </row>
    <row r="106" ht="15.75" customHeight="1">
      <c r="A106" s="1" t="s">
        <v>393</v>
      </c>
      <c r="B106" s="1" t="s">
        <v>18</v>
      </c>
      <c r="C106" s="1" t="s">
        <v>394</v>
      </c>
      <c r="D106" s="1" t="s">
        <v>394</v>
      </c>
      <c r="E106" s="2">
        <v>45868.0</v>
      </c>
      <c r="F106" s="1" t="s">
        <v>21</v>
      </c>
      <c r="G106" s="1" t="s">
        <v>95</v>
      </c>
      <c r="H106" s="1" t="s">
        <v>391</v>
      </c>
      <c r="I106" s="1">
        <v>100.0</v>
      </c>
      <c r="J106" s="1" t="s">
        <v>24</v>
      </c>
      <c r="K106" s="1">
        <v>100.0</v>
      </c>
      <c r="L106" s="1">
        <v>94.0</v>
      </c>
      <c r="M106" s="1">
        <v>6.0</v>
      </c>
      <c r="N106" s="1">
        <v>6.0</v>
      </c>
      <c r="O106" s="1" t="s">
        <v>392</v>
      </c>
      <c r="P106" s="3" t="str">
        <f>HYPERLINK("https://icf.clappia.com/app/SOM165486/submission/FPJ87225389/ICF247370-SOM165486-25kna0odkh2hm0000000/SIG-20250704_20081a445e.jpeg", "SIG-20250704_20081a445e.jpeg")</f>
        <v>SIG-20250704_20081a445e.jpeg</v>
      </c>
    </row>
    <row r="107" ht="15.75" customHeight="1">
      <c r="A107" s="1" t="s">
        <v>395</v>
      </c>
      <c r="B107" s="1" t="s">
        <v>18</v>
      </c>
      <c r="C107" s="1" t="s">
        <v>396</v>
      </c>
      <c r="D107" s="1" t="s">
        <v>396</v>
      </c>
      <c r="E107" s="2">
        <v>45839.0</v>
      </c>
      <c r="F107" s="1" t="s">
        <v>21</v>
      </c>
      <c r="G107" s="1" t="s">
        <v>95</v>
      </c>
      <c r="H107" s="1" t="s">
        <v>391</v>
      </c>
      <c r="I107" s="1">
        <v>100.0</v>
      </c>
      <c r="J107" s="1" t="s">
        <v>24</v>
      </c>
      <c r="K107" s="1">
        <v>100.0</v>
      </c>
      <c r="L107" s="1">
        <v>39.0</v>
      </c>
      <c r="M107" s="1">
        <v>61.0</v>
      </c>
      <c r="N107" s="1">
        <v>61.0</v>
      </c>
      <c r="O107" s="1" t="s">
        <v>392</v>
      </c>
      <c r="P107" s="3" t="str">
        <f>HYPERLINK("https://icf.clappia.com/app/SOM165486/submission/UPA38698135/ICF247370-SOM165486-59n1mj9kkdem00000000/SIG-20250704_2006g2o7j.jpeg", "SIG-20250704_2006g2o7j.jpeg")</f>
        <v>SIG-20250704_2006g2o7j.jpeg</v>
      </c>
    </row>
    <row r="108" ht="15.75" customHeight="1">
      <c r="A108" s="1" t="s">
        <v>397</v>
      </c>
      <c r="B108" s="1" t="s">
        <v>18</v>
      </c>
      <c r="C108" s="1" t="s">
        <v>398</v>
      </c>
      <c r="D108" s="1" t="s">
        <v>399</v>
      </c>
      <c r="E108" s="2">
        <v>45839.0</v>
      </c>
      <c r="F108" s="1" t="s">
        <v>21</v>
      </c>
      <c r="G108" s="1" t="s">
        <v>95</v>
      </c>
      <c r="H108" s="1" t="s">
        <v>391</v>
      </c>
      <c r="I108" s="1">
        <v>100.0</v>
      </c>
      <c r="J108" s="1" t="s">
        <v>24</v>
      </c>
      <c r="K108" s="1">
        <v>100.0</v>
      </c>
      <c r="L108" s="1">
        <v>74.0</v>
      </c>
      <c r="M108" s="1">
        <v>26.0</v>
      </c>
      <c r="N108" s="1">
        <v>26.0</v>
      </c>
      <c r="O108" s="1" t="s">
        <v>392</v>
      </c>
      <c r="P108" s="3" t="str">
        <f>HYPERLINK("https://icf.clappia.com/app/SOM165486/submission/IBO42320438/ICF247370-SOM165486-3g6coj3j5cli00000000/SIG-20250704_2004g0dcd.jpeg", "SIG-20250704_2004g0dcd.jpeg")</f>
        <v>SIG-20250704_2004g0dcd.jpeg</v>
      </c>
    </row>
    <row r="109" ht="15.75" customHeight="1">
      <c r="A109" s="1" t="s">
        <v>400</v>
      </c>
      <c r="B109" s="1" t="s">
        <v>18</v>
      </c>
      <c r="C109" s="1" t="s">
        <v>401</v>
      </c>
      <c r="D109" s="1" t="s">
        <v>402</v>
      </c>
      <c r="E109" s="2">
        <v>45842.0</v>
      </c>
      <c r="F109" s="1" t="s">
        <v>21</v>
      </c>
      <c r="G109" s="1" t="s">
        <v>95</v>
      </c>
      <c r="H109" s="1" t="s">
        <v>391</v>
      </c>
      <c r="I109" s="1">
        <v>180.0</v>
      </c>
      <c r="J109" s="1" t="s">
        <v>24</v>
      </c>
      <c r="K109" s="1">
        <v>180.0</v>
      </c>
      <c r="L109" s="1">
        <v>150.0</v>
      </c>
      <c r="M109" s="1">
        <v>30.0</v>
      </c>
      <c r="N109" s="1">
        <v>30.0</v>
      </c>
      <c r="O109" s="1" t="s">
        <v>392</v>
      </c>
      <c r="P109" s="3" t="str">
        <f>HYPERLINK("https://icf.clappia.com/app/SOM165486/submission/POO18893439/ICF247370-SOM165486-6868k2e9lmog00000000/SIG-20250704_2002152mcg.jpeg", "SIG-20250704_2002152mcg.jpeg")</f>
        <v>SIG-20250704_2002152mcg.jpeg</v>
      </c>
    </row>
    <row r="110" ht="15.75" customHeight="1">
      <c r="A110" s="1" t="s">
        <v>403</v>
      </c>
      <c r="B110" s="1" t="s">
        <v>18</v>
      </c>
      <c r="C110" s="1" t="s">
        <v>404</v>
      </c>
      <c r="D110" s="1" t="s">
        <v>404</v>
      </c>
      <c r="E110" s="2">
        <v>45841.0</v>
      </c>
      <c r="F110" s="1" t="s">
        <v>21</v>
      </c>
      <c r="G110" s="1" t="s">
        <v>95</v>
      </c>
      <c r="H110" s="1" t="s">
        <v>391</v>
      </c>
      <c r="I110" s="1">
        <v>30.0</v>
      </c>
      <c r="J110" s="1" t="s">
        <v>24</v>
      </c>
      <c r="K110" s="1">
        <v>30.0</v>
      </c>
      <c r="L110" s="1">
        <v>23.0</v>
      </c>
      <c r="M110" s="1">
        <v>7.0</v>
      </c>
      <c r="N110" s="1">
        <v>7.0</v>
      </c>
      <c r="O110" s="1" t="s">
        <v>392</v>
      </c>
      <c r="P110" s="3" t="str">
        <f>HYPERLINK("https://icf.clappia.com/app/SOM165486/submission/VTN38453739/ICF247370-SOM165486-4aefj5jhbf9e00000000/SIG-20250704_20018oa9o.jpeg", "SIG-20250704_20018oa9o.jpeg")</f>
        <v>SIG-20250704_20018oa9o.jpeg</v>
      </c>
    </row>
    <row r="111" ht="15.75" customHeight="1">
      <c r="A111" s="1" t="s">
        <v>405</v>
      </c>
      <c r="B111" s="1" t="s">
        <v>18</v>
      </c>
      <c r="C111" s="1" t="s">
        <v>406</v>
      </c>
      <c r="D111" s="1" t="s">
        <v>407</v>
      </c>
      <c r="E111" s="2">
        <v>45842.0</v>
      </c>
      <c r="F111" s="1" t="s">
        <v>21</v>
      </c>
      <c r="G111" s="1" t="s">
        <v>95</v>
      </c>
      <c r="H111" s="1" t="s">
        <v>391</v>
      </c>
      <c r="I111" s="1">
        <v>300.0</v>
      </c>
      <c r="J111" s="1" t="s">
        <v>24</v>
      </c>
      <c r="K111" s="1">
        <v>300.0</v>
      </c>
      <c r="L111" s="1">
        <v>281.0</v>
      </c>
      <c r="M111" s="1">
        <v>19.0</v>
      </c>
      <c r="N111" s="1">
        <v>19.0</v>
      </c>
      <c r="O111" s="1" t="s">
        <v>392</v>
      </c>
      <c r="P111" s="3" t="str">
        <f>HYPERLINK("https://icf.clappia.com/app/SOM165486/submission/LPM25557563/ICF247370-SOM165486-26ek40bm7imbg0000000/SIG-20250704_1959f4j4i.jpeg", "SIG-20250704_1959f4j4i.jpeg")</f>
        <v>SIG-20250704_1959f4j4i.jpeg</v>
      </c>
    </row>
    <row r="112" ht="15.75" customHeight="1">
      <c r="A112" s="1" t="s">
        <v>408</v>
      </c>
      <c r="B112" s="1" t="s">
        <v>18</v>
      </c>
      <c r="C112" s="1" t="s">
        <v>406</v>
      </c>
      <c r="D112" s="1" t="s">
        <v>407</v>
      </c>
      <c r="E112" s="2">
        <v>45842.0</v>
      </c>
      <c r="F112" s="1" t="s">
        <v>21</v>
      </c>
      <c r="G112" s="1" t="s">
        <v>95</v>
      </c>
      <c r="H112" s="1" t="s">
        <v>391</v>
      </c>
      <c r="I112" s="1">
        <v>300.0</v>
      </c>
      <c r="J112" s="1" t="s">
        <v>24</v>
      </c>
      <c r="K112" s="1">
        <v>300.0</v>
      </c>
      <c r="L112" s="1">
        <v>281.0</v>
      </c>
      <c r="M112" s="1">
        <v>19.0</v>
      </c>
      <c r="N112" s="1">
        <v>19.0</v>
      </c>
      <c r="O112" s="1" t="s">
        <v>392</v>
      </c>
      <c r="P112" s="3" t="str">
        <f>HYPERLINK("https://icf.clappia.com/app/SOM165486/submission/CLW03456306/ICF247370-SOM165486-26ek40bm7imbg0000000/SIG-20250704_1959f4j4i.jpeg", "SIG-20250704_1959f4j4i.jpeg")</f>
        <v>SIG-20250704_1959f4j4i.jpeg</v>
      </c>
    </row>
    <row r="113" ht="15.75" customHeight="1">
      <c r="A113" s="1" t="s">
        <v>409</v>
      </c>
      <c r="B113" s="1" t="s">
        <v>18</v>
      </c>
      <c r="C113" s="1" t="s">
        <v>410</v>
      </c>
      <c r="D113" s="1" t="s">
        <v>411</v>
      </c>
      <c r="E113" s="2">
        <v>45840.0</v>
      </c>
      <c r="F113" s="1" t="s">
        <v>21</v>
      </c>
      <c r="G113" s="1" t="s">
        <v>95</v>
      </c>
      <c r="H113" s="1" t="s">
        <v>391</v>
      </c>
      <c r="I113" s="1">
        <v>100.0</v>
      </c>
      <c r="J113" s="1" t="s">
        <v>24</v>
      </c>
      <c r="K113" s="1">
        <v>100.0</v>
      </c>
      <c r="L113" s="1">
        <v>56.0</v>
      </c>
      <c r="M113" s="1">
        <v>44.0</v>
      </c>
      <c r="N113" s="1">
        <v>44.0</v>
      </c>
      <c r="O113" s="1" t="s">
        <v>392</v>
      </c>
      <c r="P113" s="3" t="str">
        <f>HYPERLINK("https://icf.clappia.com/app/SOM165486/submission/OJO88466116/ICF247370-SOM165486-534hl6belmmc00000000/SIG-20250704_1957192ijd.jpeg", "SIG-20250704_1957192ijd.jpeg")</f>
        <v>SIG-20250704_1957192ijd.jpeg</v>
      </c>
    </row>
    <row r="114" ht="15.75" customHeight="1">
      <c r="A114" s="1" t="s">
        <v>412</v>
      </c>
      <c r="B114" s="1" t="s">
        <v>18</v>
      </c>
      <c r="C114" s="1" t="s">
        <v>413</v>
      </c>
      <c r="D114" s="1" t="s">
        <v>413</v>
      </c>
      <c r="E114" s="2">
        <v>45839.0</v>
      </c>
      <c r="F114" s="1" t="s">
        <v>21</v>
      </c>
      <c r="G114" s="1" t="s">
        <v>164</v>
      </c>
      <c r="H114" s="1" t="s">
        <v>414</v>
      </c>
      <c r="I114" s="1">
        <v>50.0</v>
      </c>
      <c r="J114" s="1" t="s">
        <v>24</v>
      </c>
      <c r="K114" s="1">
        <v>50.0</v>
      </c>
      <c r="L114" s="1">
        <v>50.0</v>
      </c>
      <c r="M114" s="1" t="s">
        <v>24</v>
      </c>
      <c r="N114" s="1" t="s">
        <v>24</v>
      </c>
      <c r="O114" s="1" t="s">
        <v>415</v>
      </c>
      <c r="P114" s="3" t="str">
        <f>HYPERLINK("https://icf.clappia.com/app/SOM165486/submission/TAO02817206/ICF247370-SOM165486-47pjd8fb8c7a00000000/SIG-20250704_18342blal.jpeg", "SIG-20250704_18342blal.jpeg")</f>
        <v>SIG-20250704_18342blal.jpeg</v>
      </c>
      <c r="Q114" s="3" t="str">
        <f>HYPERLINK("https://www.google.com/maps/place/7.739155%2C-11.9739233", "7.739155,-11.9739233")</f>
        <v>7.739155,-11.9739233</v>
      </c>
    </row>
    <row r="115" ht="15.75" customHeight="1">
      <c r="A115" s="1" t="s">
        <v>416</v>
      </c>
      <c r="B115" s="1" t="s">
        <v>18</v>
      </c>
      <c r="C115" s="1" t="s">
        <v>106</v>
      </c>
      <c r="D115" s="1" t="s">
        <v>106</v>
      </c>
      <c r="E115" s="2">
        <v>45842.0</v>
      </c>
      <c r="F115" s="1" t="s">
        <v>21</v>
      </c>
      <c r="G115" s="1" t="s">
        <v>95</v>
      </c>
      <c r="H115" s="1" t="s">
        <v>417</v>
      </c>
      <c r="I115" s="1">
        <v>234.0</v>
      </c>
      <c r="J115" s="1">
        <v>50.0</v>
      </c>
      <c r="K115" s="1">
        <v>284.0</v>
      </c>
      <c r="L115" s="1">
        <v>284.0</v>
      </c>
      <c r="M115" s="1" t="s">
        <v>24</v>
      </c>
      <c r="N115" s="1" t="s">
        <v>24</v>
      </c>
      <c r="O115" s="1" t="s">
        <v>418</v>
      </c>
      <c r="P115" s="3" t="str">
        <f>HYPERLINK("https://icf.clappia.com/app/SOM165486/submission/KXW31514738/ICF247370-SOM165486-2d5kah2gl7g400000000/SIG-20250704_1828jcaji.jpeg", "SIG-20250704_1828jcaji.jpeg")</f>
        <v>SIG-20250704_1828jcaji.jpeg</v>
      </c>
      <c r="Q115" s="3" t="str">
        <f>HYPERLINK("https://www.google.com/maps/place/7.9641038%2C-11.7230841", "7.9641038,-11.7230841")</f>
        <v>7.9641038,-11.7230841</v>
      </c>
    </row>
    <row r="116" ht="15.75" customHeight="1">
      <c r="A116" s="1" t="s">
        <v>419</v>
      </c>
      <c r="B116" s="1" t="s">
        <v>18</v>
      </c>
      <c r="C116" s="1" t="s">
        <v>99</v>
      </c>
      <c r="D116" s="1" t="s">
        <v>99</v>
      </c>
      <c r="E116" s="2">
        <v>45868.0</v>
      </c>
      <c r="F116" s="1" t="s">
        <v>21</v>
      </c>
      <c r="G116" s="1" t="s">
        <v>164</v>
      </c>
      <c r="H116" s="1" t="s">
        <v>414</v>
      </c>
      <c r="I116" s="1">
        <v>166.0</v>
      </c>
      <c r="J116" s="1" t="s">
        <v>24</v>
      </c>
      <c r="K116" s="1">
        <v>166.0</v>
      </c>
      <c r="L116" s="1">
        <v>116.0</v>
      </c>
      <c r="M116" s="1">
        <v>50.0</v>
      </c>
      <c r="N116" s="1">
        <v>50.0</v>
      </c>
      <c r="O116" s="1" t="s">
        <v>415</v>
      </c>
      <c r="P116" s="3" t="str">
        <f>HYPERLINK("https://icf.clappia.com/app/SOM165486/submission/FBW86458214/ICF247370-SOM165486-404p0f8b9hb600000000/SIG-20250704_182511c414.jpeg", "SIG-20250704_182511c414.jpeg")</f>
        <v>SIG-20250704_182511c414.jpeg</v>
      </c>
    </row>
    <row r="117" ht="15.75" customHeight="1">
      <c r="A117" s="1" t="s">
        <v>420</v>
      </c>
      <c r="B117" s="1" t="s">
        <v>18</v>
      </c>
      <c r="C117" s="1" t="s">
        <v>102</v>
      </c>
      <c r="D117" s="1" t="s">
        <v>102</v>
      </c>
      <c r="E117" s="2">
        <v>45840.0</v>
      </c>
      <c r="F117" s="1" t="s">
        <v>21</v>
      </c>
      <c r="G117" s="1" t="s">
        <v>421</v>
      </c>
      <c r="H117" s="1" t="s">
        <v>422</v>
      </c>
      <c r="I117" s="1">
        <v>132.0</v>
      </c>
      <c r="J117" s="1" t="s">
        <v>24</v>
      </c>
      <c r="K117" s="1">
        <v>132.0</v>
      </c>
      <c r="L117" s="1">
        <v>39.0</v>
      </c>
      <c r="M117" s="1">
        <v>93.0</v>
      </c>
      <c r="N117" s="1">
        <v>93.0</v>
      </c>
      <c r="O117" s="1" t="s">
        <v>423</v>
      </c>
      <c r="P117" s="3" t="str">
        <f>HYPERLINK("https://icf.clappia.com/app/SOM165486/submission/VRS10663383/ICF247370-SOM165486-12ibmccb3p8ni0000000/SIG-20250704_1824da66c.jpeg", "SIG-20250704_1824da66c.jpeg")</f>
        <v>SIG-20250704_1824da66c.jpeg</v>
      </c>
      <c r="Q117" s="3" t="str">
        <f t="shared" ref="Q117:Q118" si="6">HYPERLINK("https://www.google.com/maps/place/8.1062675%2C-11.5573115", "8.1062675,-11.5573115")</f>
        <v>8.1062675,-11.5573115</v>
      </c>
    </row>
    <row r="118" ht="15.75" customHeight="1">
      <c r="A118" s="1" t="s">
        <v>424</v>
      </c>
      <c r="B118" s="1" t="s">
        <v>18</v>
      </c>
      <c r="C118" s="1" t="s">
        <v>162</v>
      </c>
      <c r="D118" s="1" t="s">
        <v>162</v>
      </c>
      <c r="E118" s="2">
        <v>45839.0</v>
      </c>
      <c r="F118" s="1" t="s">
        <v>21</v>
      </c>
      <c r="G118" s="1" t="s">
        <v>421</v>
      </c>
      <c r="H118" s="1" t="s">
        <v>422</v>
      </c>
      <c r="I118" s="1">
        <v>173.0</v>
      </c>
      <c r="J118" s="1" t="s">
        <v>24</v>
      </c>
      <c r="K118" s="1">
        <v>173.0</v>
      </c>
      <c r="L118" s="1">
        <v>41.0</v>
      </c>
      <c r="M118" s="1">
        <v>132.0</v>
      </c>
      <c r="N118" s="1">
        <v>132.0</v>
      </c>
      <c r="O118" s="1" t="s">
        <v>423</v>
      </c>
      <c r="P118" s="3" t="str">
        <f>HYPERLINK("https://icf.clappia.com/app/SOM165486/submission/QEP37275914/ICF247370-SOM165486-49ki1f775hh600000000/SIG-20250704_17356lddn.jpeg", "SIG-20250704_17356lddn.jpeg")</f>
        <v>SIG-20250704_17356lddn.jpeg</v>
      </c>
      <c r="Q118" s="3" t="str">
        <f t="shared" si="6"/>
        <v>8.1062675,-11.5573115</v>
      </c>
    </row>
    <row r="119" ht="15.75" customHeight="1">
      <c r="A119" s="1" t="s">
        <v>425</v>
      </c>
      <c r="B119" s="1" t="s">
        <v>18</v>
      </c>
      <c r="C119" s="1" t="s">
        <v>426</v>
      </c>
      <c r="D119" s="1" t="s">
        <v>427</v>
      </c>
      <c r="E119" s="2">
        <v>45838.0</v>
      </c>
      <c r="F119" s="1" t="s">
        <v>21</v>
      </c>
      <c r="G119" s="1" t="s">
        <v>164</v>
      </c>
      <c r="H119" s="1" t="s">
        <v>165</v>
      </c>
      <c r="I119" s="1">
        <v>152.0</v>
      </c>
      <c r="J119" s="1" t="s">
        <v>24</v>
      </c>
      <c r="K119" s="1">
        <v>152.0</v>
      </c>
      <c r="L119" s="1">
        <v>152.0</v>
      </c>
      <c r="M119" s="1" t="s">
        <v>24</v>
      </c>
      <c r="N119" s="1" t="s">
        <v>24</v>
      </c>
      <c r="O119" s="1" t="s">
        <v>428</v>
      </c>
      <c r="P119" s="3" t="str">
        <f>HYPERLINK("https://icf.clappia.com/app/SOM165486/submission/DKS21852471/ICF247370-SOM165486-4l8f3516404e00000000/SIG-20250630_1314119e29.jpeg", "SIG-20250630_1314119e29.jpeg")</f>
        <v>SIG-20250630_1314119e29.jpeg</v>
      </c>
      <c r="Q119" s="3" t="str">
        <f>HYPERLINK("https://www.google.com/maps/place/7.6821817%2C-11.99367", "7.6821817,-11.99367")</f>
        <v>7.6821817,-11.99367</v>
      </c>
    </row>
    <row r="120" ht="15.75" customHeight="1">
      <c r="A120" s="1" t="s">
        <v>429</v>
      </c>
      <c r="B120" s="1" t="s">
        <v>18</v>
      </c>
      <c r="C120" s="1" t="s">
        <v>430</v>
      </c>
      <c r="D120" s="1" t="s">
        <v>430</v>
      </c>
      <c r="E120" s="2">
        <v>45842.0</v>
      </c>
      <c r="F120" s="1" t="s">
        <v>68</v>
      </c>
      <c r="G120" s="1" t="s">
        <v>83</v>
      </c>
      <c r="H120" s="1" t="s">
        <v>431</v>
      </c>
      <c r="I120" s="1">
        <v>150.0</v>
      </c>
      <c r="J120" s="1" t="s">
        <v>24</v>
      </c>
      <c r="K120" s="1">
        <v>150.0</v>
      </c>
      <c r="L120" s="1">
        <v>150.0</v>
      </c>
      <c r="M120" s="1" t="s">
        <v>24</v>
      </c>
      <c r="N120" s="1" t="s">
        <v>24</v>
      </c>
      <c r="O120" s="1" t="s">
        <v>432</v>
      </c>
      <c r="P120" s="3" t="str">
        <f>HYPERLINK("https://icf.clappia.com/app/SOM165486/submission/DNS23925558/ICF247370-SOM165486-3n34amdmjfia00000000/SIG-20250704_1727173oh.jpeg", "SIG-20250704_1727173oh.jpeg")</f>
        <v>SIG-20250704_1727173oh.jpeg</v>
      </c>
      <c r="Q120" s="3" t="str">
        <f>HYPERLINK("https://www.google.com/maps/place/8.70417%2C-12.0778067", "8.70417,-12.0778067")</f>
        <v>8.70417,-12.0778067</v>
      </c>
    </row>
    <row r="121" ht="15.75" customHeight="1">
      <c r="A121" s="1" t="s">
        <v>433</v>
      </c>
      <c r="B121" s="1" t="s">
        <v>18</v>
      </c>
      <c r="C121" s="1" t="s">
        <v>434</v>
      </c>
      <c r="D121" s="1" t="s">
        <v>435</v>
      </c>
      <c r="E121" s="2">
        <v>45842.0</v>
      </c>
      <c r="F121" s="1" t="s">
        <v>68</v>
      </c>
      <c r="G121" s="1" t="s">
        <v>83</v>
      </c>
      <c r="H121" s="1" t="s">
        <v>431</v>
      </c>
      <c r="I121" s="1">
        <v>150.0</v>
      </c>
      <c r="J121" s="1" t="s">
        <v>24</v>
      </c>
      <c r="K121" s="1">
        <v>150.0</v>
      </c>
      <c r="L121" s="1">
        <v>150.0</v>
      </c>
      <c r="M121" s="1" t="s">
        <v>24</v>
      </c>
      <c r="N121" s="1" t="s">
        <v>24</v>
      </c>
      <c r="O121" s="1" t="s">
        <v>436</v>
      </c>
      <c r="P121" s="3" t="str">
        <f>HYPERLINK("https://icf.clappia.com/app/SOM165486/submission/CLM02188142/ICF247370-SOM165486-5c253gn5591600000000/SIG-20250704_163347b1m.jpeg", "SIG-20250704_163347b1m.jpeg")</f>
        <v>SIG-20250704_163347b1m.jpeg</v>
      </c>
      <c r="Q121" s="3" t="str">
        <f>HYPERLINK("https://www.google.com/maps/place/8.6788967%2C-12.1025833", "8.6788967,-12.1025833")</f>
        <v>8.6788967,-12.1025833</v>
      </c>
    </row>
    <row r="122" ht="15.75" customHeight="1">
      <c r="A122" s="1" t="s">
        <v>437</v>
      </c>
      <c r="B122" s="1" t="s">
        <v>18</v>
      </c>
      <c r="C122" s="1" t="s">
        <v>438</v>
      </c>
      <c r="D122" s="1" t="s">
        <v>438</v>
      </c>
      <c r="E122" s="2">
        <v>45841.0</v>
      </c>
      <c r="F122" s="1" t="s">
        <v>21</v>
      </c>
      <c r="G122" s="1" t="s">
        <v>164</v>
      </c>
      <c r="H122" s="1" t="s">
        <v>439</v>
      </c>
      <c r="I122" s="1">
        <v>50.0</v>
      </c>
      <c r="J122" s="1" t="s">
        <v>24</v>
      </c>
      <c r="K122" s="1">
        <v>50.0</v>
      </c>
      <c r="L122" s="1">
        <v>50.0</v>
      </c>
      <c r="M122" s="1" t="s">
        <v>24</v>
      </c>
      <c r="N122" s="1" t="s">
        <v>24</v>
      </c>
      <c r="O122" s="1" t="s">
        <v>440</v>
      </c>
      <c r="P122" s="3" t="str">
        <f>HYPERLINK("https://icf.clappia.com/app/SOM165486/submission/FVU52100146/ICF247370-SOM165486-6baeeglf350o00000000/SIG-20250704_1624jem0g.jpeg", "SIG-20250704_1624jem0g.jpeg")</f>
        <v>SIG-20250704_1624jem0g.jpeg</v>
      </c>
      <c r="Q122" s="3" t="str">
        <f>HYPERLINK("https://www.google.com/maps/place/7.72329%2C-12.0377017", "7.72329,-12.0377017")</f>
        <v>7.72329,-12.0377017</v>
      </c>
    </row>
    <row r="123" ht="15.75" customHeight="1">
      <c r="A123" s="1" t="s">
        <v>441</v>
      </c>
      <c r="B123" s="1" t="s">
        <v>18</v>
      </c>
      <c r="C123" s="1" t="s">
        <v>442</v>
      </c>
      <c r="D123" s="1" t="s">
        <v>442</v>
      </c>
      <c r="E123" s="2">
        <v>45839.0</v>
      </c>
      <c r="F123" s="1" t="s">
        <v>21</v>
      </c>
      <c r="G123" s="1" t="s">
        <v>164</v>
      </c>
      <c r="H123" s="1" t="s">
        <v>439</v>
      </c>
      <c r="I123" s="1">
        <v>50.0</v>
      </c>
      <c r="J123" s="1" t="s">
        <v>24</v>
      </c>
      <c r="K123" s="1">
        <v>50.0</v>
      </c>
      <c r="L123" s="1">
        <v>50.0</v>
      </c>
      <c r="M123" s="1" t="s">
        <v>24</v>
      </c>
      <c r="N123" s="1" t="s">
        <v>24</v>
      </c>
      <c r="O123" s="1" t="s">
        <v>443</v>
      </c>
      <c r="P123" s="3" t="str">
        <f>HYPERLINK("https://icf.clappia.com/app/SOM165486/submission/ULP64711479/ICF247370-SOM165486-40m2gnogbgj800000000/SIG-20250704_1623gldg5.jpeg", "SIG-20250704_1623gldg5.jpeg")</f>
        <v>SIG-20250704_1623gldg5.jpeg</v>
      </c>
      <c r="Q123" s="3" t="str">
        <f>HYPERLINK("https://www.google.com/maps/place/7.723267%2C-12.0377351", "7.723267,-12.0377351")</f>
        <v>7.723267,-12.0377351</v>
      </c>
    </row>
    <row r="124" ht="15.75" customHeight="1">
      <c r="A124" s="1" t="s">
        <v>444</v>
      </c>
      <c r="B124" s="1" t="s">
        <v>18</v>
      </c>
      <c r="C124" s="1" t="s">
        <v>445</v>
      </c>
      <c r="D124" s="1" t="s">
        <v>445</v>
      </c>
      <c r="E124" s="2">
        <v>45868.0</v>
      </c>
      <c r="F124" s="1" t="s">
        <v>21</v>
      </c>
      <c r="G124" s="1" t="s">
        <v>164</v>
      </c>
      <c r="H124" s="1" t="s">
        <v>439</v>
      </c>
      <c r="I124" s="1">
        <v>155.0</v>
      </c>
      <c r="J124" s="1" t="s">
        <v>24</v>
      </c>
      <c r="K124" s="1">
        <v>155.0</v>
      </c>
      <c r="L124" s="1">
        <v>155.0</v>
      </c>
      <c r="M124" s="1" t="s">
        <v>24</v>
      </c>
      <c r="N124" s="1" t="s">
        <v>24</v>
      </c>
      <c r="O124" s="1" t="s">
        <v>440</v>
      </c>
      <c r="P124" s="3" t="str">
        <f>HYPERLINK("https://icf.clappia.com/app/SOM165486/submission/ZEX71815863/ICF247370-SOM165486-1j4l72bnmghao0000000/SIG-20250704_1621cn8m3.jpeg", "SIG-20250704_1621cn8m3.jpeg")</f>
        <v>SIG-20250704_1621cn8m3.jpeg</v>
      </c>
      <c r="Q124" s="3" t="str">
        <f>HYPERLINK("https://www.google.com/maps/place/7.7232226%2C-12.0375595", "7.7232226,-12.0375595")</f>
        <v>7.7232226,-12.0375595</v>
      </c>
    </row>
    <row r="125" ht="15.75" customHeight="1">
      <c r="A125" s="1" t="s">
        <v>446</v>
      </c>
      <c r="B125" s="1" t="s">
        <v>18</v>
      </c>
      <c r="C125" s="1" t="s">
        <v>447</v>
      </c>
      <c r="D125" s="1" t="s">
        <v>447</v>
      </c>
      <c r="E125" s="2">
        <v>45842.0</v>
      </c>
      <c r="F125" s="1" t="s">
        <v>68</v>
      </c>
      <c r="G125" s="1" t="s">
        <v>340</v>
      </c>
      <c r="H125" s="1" t="s">
        <v>448</v>
      </c>
      <c r="I125" s="1">
        <v>125.0</v>
      </c>
      <c r="J125" s="1" t="s">
        <v>24</v>
      </c>
      <c r="K125" s="1">
        <v>125.0</v>
      </c>
      <c r="L125" s="1">
        <v>125.0</v>
      </c>
      <c r="M125" s="1" t="s">
        <v>24</v>
      </c>
      <c r="N125" s="1" t="s">
        <v>24</v>
      </c>
      <c r="O125" s="1" t="s">
        <v>449</v>
      </c>
      <c r="P125" s="3" t="str">
        <f>HYPERLINK("https://icf.clappia.com/app/SOM165486/submission/FLM22687376/ICF247370-SOM165486-1gmh5lclhjd040000000/SIG-20250704_1618hjl4e.jpeg", "SIG-20250704_1618hjl4e.jpeg")</f>
        <v>SIG-20250704_1618hjl4e.jpeg</v>
      </c>
      <c r="Q125" s="3" t="str">
        <f>HYPERLINK("https://www.google.com/maps/place/9.1568758%2C-11.9613957", "9.1568758,-11.9613957")</f>
        <v>9.1568758,-11.9613957</v>
      </c>
    </row>
    <row r="126" ht="15.75" customHeight="1">
      <c r="A126" s="1" t="s">
        <v>450</v>
      </c>
      <c r="B126" s="1" t="s">
        <v>18</v>
      </c>
      <c r="C126" s="1" t="s">
        <v>451</v>
      </c>
      <c r="D126" s="1" t="s">
        <v>451</v>
      </c>
      <c r="E126" s="2">
        <v>45842.0</v>
      </c>
      <c r="F126" s="1" t="s">
        <v>21</v>
      </c>
      <c r="G126" s="1" t="s">
        <v>164</v>
      </c>
      <c r="H126" s="1" t="s">
        <v>191</v>
      </c>
      <c r="I126" s="1">
        <v>115.0</v>
      </c>
      <c r="J126" s="1" t="s">
        <v>24</v>
      </c>
      <c r="K126" s="1">
        <v>115.0</v>
      </c>
      <c r="L126" s="1">
        <v>104.0</v>
      </c>
      <c r="M126" s="1">
        <v>11.0</v>
      </c>
      <c r="N126" s="1">
        <v>11.0</v>
      </c>
      <c r="O126" s="1" t="s">
        <v>192</v>
      </c>
      <c r="P126" s="3" t="str">
        <f>HYPERLINK("https://icf.clappia.com/app/SOM165486/submission/MSE50945089/ICF247370-SOM165486-2mcf011k88f20000000/SIG-20250704_1604efkh6.jpeg", "SIG-20250704_1604efkh6.jpeg")</f>
        <v>SIG-20250704_1604efkh6.jpeg</v>
      </c>
      <c r="Q126" s="3" t="str">
        <f>HYPERLINK("https://www.google.com/maps/place/7.7692552%2C-12.082561", "7.7692552,-12.082561")</f>
        <v>7.7692552,-12.082561</v>
      </c>
    </row>
    <row r="127" ht="15.75" customHeight="1">
      <c r="A127" s="1" t="s">
        <v>452</v>
      </c>
      <c r="B127" s="1" t="s">
        <v>18</v>
      </c>
      <c r="C127" s="1" t="s">
        <v>453</v>
      </c>
      <c r="D127" s="1" t="s">
        <v>453</v>
      </c>
      <c r="E127" s="2">
        <v>45841.0</v>
      </c>
      <c r="F127" s="1" t="s">
        <v>68</v>
      </c>
      <c r="G127" s="1" t="s">
        <v>340</v>
      </c>
      <c r="H127" s="1" t="s">
        <v>448</v>
      </c>
      <c r="I127" s="1">
        <v>100.0</v>
      </c>
      <c r="J127" s="1">
        <v>158.0</v>
      </c>
      <c r="K127" s="1">
        <v>258.0</v>
      </c>
      <c r="L127" s="1">
        <v>258.0</v>
      </c>
      <c r="M127" s="1" t="s">
        <v>24</v>
      </c>
      <c r="N127" s="1" t="s">
        <v>24</v>
      </c>
      <c r="O127" s="1" t="s">
        <v>449</v>
      </c>
      <c r="P127" s="3" t="str">
        <f>HYPERLINK("https://icf.clappia.com/app/SOM165486/submission/XJP25408346/ICF247370-SOM165486-m3mebalbf5gk0000000/SIG-20250704_1552mklnk.jpeg", "SIG-20250704_1552mklnk.jpeg")</f>
        <v>SIG-20250704_1552mklnk.jpeg</v>
      </c>
      <c r="Q127" s="3" t="str">
        <f>HYPERLINK("https://www.google.com/maps/place/9.1569288%2C-11.9614076", "9.1569288,-11.9614076")</f>
        <v>9.1569288,-11.9614076</v>
      </c>
    </row>
    <row r="128" ht="15.75" customHeight="1">
      <c r="A128" s="1" t="s">
        <v>454</v>
      </c>
      <c r="B128" s="1" t="s">
        <v>18</v>
      </c>
      <c r="C128" s="1" t="s">
        <v>455</v>
      </c>
      <c r="D128" s="1" t="s">
        <v>456</v>
      </c>
      <c r="E128" s="2">
        <v>45841.0</v>
      </c>
      <c r="F128" s="1" t="s">
        <v>68</v>
      </c>
      <c r="G128" s="1" t="s">
        <v>83</v>
      </c>
      <c r="H128" s="1" t="s">
        <v>431</v>
      </c>
      <c r="I128" s="1">
        <v>200.0</v>
      </c>
      <c r="J128" s="1">
        <v>150.0</v>
      </c>
      <c r="K128" s="1">
        <v>350.0</v>
      </c>
      <c r="L128" s="1">
        <v>350.0</v>
      </c>
      <c r="M128" s="1" t="s">
        <v>24</v>
      </c>
      <c r="N128" s="1" t="s">
        <v>24</v>
      </c>
      <c r="O128" s="1" t="s">
        <v>432</v>
      </c>
      <c r="P128" s="3" t="str">
        <f>HYPERLINK("https://icf.clappia.com/app/SOM165486/submission/MAT24098619/ICF247370-SOM165486-1n38593n09ie40000000/SIG-20250704_153512113m.jpeg", "SIG-20250704_153512113m.jpeg")</f>
        <v>SIG-20250704_153512113m.jpeg</v>
      </c>
      <c r="Q128" s="3" t="str">
        <f>HYPERLINK("https://www.google.com/maps/place/8.7101071%2C-12.0978115", "8.7101071,-12.0978115")</f>
        <v>8.7101071,-12.0978115</v>
      </c>
    </row>
    <row r="129" ht="15.75" customHeight="1">
      <c r="A129" s="1" t="s">
        <v>457</v>
      </c>
      <c r="B129" s="1" t="s">
        <v>18</v>
      </c>
      <c r="C129" s="1" t="s">
        <v>458</v>
      </c>
      <c r="D129" s="1" t="s">
        <v>458</v>
      </c>
      <c r="E129" s="2">
        <v>45839.0</v>
      </c>
      <c r="F129" s="1" t="s">
        <v>68</v>
      </c>
      <c r="G129" s="1" t="s">
        <v>248</v>
      </c>
      <c r="H129" s="1" t="s">
        <v>249</v>
      </c>
      <c r="I129" s="1">
        <v>219.0</v>
      </c>
      <c r="J129" s="1" t="s">
        <v>24</v>
      </c>
      <c r="K129" s="1">
        <v>219.0</v>
      </c>
      <c r="L129" s="1">
        <v>216.0</v>
      </c>
      <c r="M129" s="1">
        <v>3.0</v>
      </c>
      <c r="N129" s="1" t="s">
        <v>24</v>
      </c>
      <c r="O129" s="1" t="s">
        <v>459</v>
      </c>
      <c r="P129" s="3" t="str">
        <f>HYPERLINK("https://icf.clappia.com/app/SOM165486/submission/WHM54185415/ICF247370-SOM165486-3a6769m5egmi00000000/SIG-20250704_1546j0ahl.jpeg", "SIG-20250704_1546j0ahl.jpeg")</f>
        <v>SIG-20250704_1546j0ahl.jpeg</v>
      </c>
      <c r="Q129" s="3" t="str">
        <f>HYPERLINK("https://www.google.com/maps/place/9.28375%2C-12.09525", "9.28375,-12.09525")</f>
        <v>9.28375,-12.09525</v>
      </c>
    </row>
    <row r="130" ht="15.75" customHeight="1">
      <c r="A130" s="1" t="s">
        <v>460</v>
      </c>
      <c r="B130" s="1" t="s">
        <v>18</v>
      </c>
      <c r="C130" s="1" t="s">
        <v>461</v>
      </c>
      <c r="D130" s="1" t="s">
        <v>461</v>
      </c>
      <c r="E130" s="2">
        <v>45842.0</v>
      </c>
      <c r="F130" s="1" t="s">
        <v>21</v>
      </c>
      <c r="G130" s="1" t="s">
        <v>129</v>
      </c>
      <c r="H130" s="1" t="s">
        <v>462</v>
      </c>
      <c r="I130" s="1">
        <v>69.0</v>
      </c>
      <c r="J130" s="1" t="s">
        <v>24</v>
      </c>
      <c r="K130" s="1">
        <v>69.0</v>
      </c>
      <c r="L130" s="1">
        <v>53.0</v>
      </c>
      <c r="M130" s="1">
        <v>16.0</v>
      </c>
      <c r="N130" s="1">
        <v>16.0</v>
      </c>
      <c r="O130" s="1" t="s">
        <v>463</v>
      </c>
      <c r="P130" s="3" t="str">
        <f>HYPERLINK("https://icf.clappia.com/app/SOM165486/submission/LKV38620488/ICF247370-SOM165486-18714hj1oc8fa0000000/SIG-20250704_1534cf19.jpeg", "SIG-20250704_1534cf19.jpeg")</f>
        <v>SIG-20250704_1534cf19.jpeg</v>
      </c>
      <c r="Q130" s="3" t="str">
        <f>HYPERLINK("https://www.google.com/maps/place/7.5727333%2C-11.9371248", "7.5727333,-11.9371248")</f>
        <v>7.5727333,-11.9371248</v>
      </c>
    </row>
    <row r="131" ht="15.75" customHeight="1">
      <c r="A131" s="1" t="s">
        <v>464</v>
      </c>
      <c r="B131" s="1" t="s">
        <v>18</v>
      </c>
      <c r="C131" s="1" t="s">
        <v>465</v>
      </c>
      <c r="D131" s="1" t="s">
        <v>465</v>
      </c>
      <c r="E131" s="2">
        <v>45842.0</v>
      </c>
      <c r="F131" s="1" t="s">
        <v>21</v>
      </c>
      <c r="G131" s="1" t="s">
        <v>77</v>
      </c>
      <c r="H131" s="1" t="s">
        <v>466</v>
      </c>
      <c r="I131" s="1">
        <v>300.0</v>
      </c>
      <c r="J131" s="1">
        <v>295.0</v>
      </c>
      <c r="K131" s="1">
        <v>595.0</v>
      </c>
      <c r="L131" s="1">
        <v>295.0</v>
      </c>
      <c r="M131" s="1">
        <v>300.0</v>
      </c>
      <c r="N131" s="1" t="s">
        <v>24</v>
      </c>
      <c r="O131" s="1" t="s">
        <v>467</v>
      </c>
      <c r="P131" s="3" t="str">
        <f>HYPERLINK("https://icf.clappia.com/app/SOM165486/submission/IZG16775864/ICF247370-SOM165486-33enalceiihg00000000/SIG-20250704_152513dad4.jpeg", "SIG-20250704_152513dad4.jpeg")</f>
        <v>SIG-20250704_152513dad4.jpeg</v>
      </c>
      <c r="Q131" s="3" t="str">
        <f>HYPERLINK("https://www.google.com/maps/place/7.9651019%2C-11.7390368", "7.9651019,-11.7390368")</f>
        <v>7.9651019,-11.7390368</v>
      </c>
    </row>
    <row r="132" ht="15.75" customHeight="1">
      <c r="A132" s="1" t="s">
        <v>468</v>
      </c>
      <c r="B132" s="1" t="s">
        <v>18</v>
      </c>
      <c r="C132" s="1" t="s">
        <v>469</v>
      </c>
      <c r="D132" s="1" t="s">
        <v>469</v>
      </c>
      <c r="E132" s="2">
        <v>45841.0</v>
      </c>
      <c r="F132" s="1" t="s">
        <v>21</v>
      </c>
      <c r="G132" s="1" t="s">
        <v>77</v>
      </c>
      <c r="H132" s="1" t="s">
        <v>466</v>
      </c>
      <c r="I132" s="1">
        <v>295.0</v>
      </c>
      <c r="J132" s="1" t="s">
        <v>24</v>
      </c>
      <c r="K132" s="1">
        <v>295.0</v>
      </c>
      <c r="L132" s="1">
        <v>295.0</v>
      </c>
      <c r="M132" s="1" t="s">
        <v>24</v>
      </c>
      <c r="N132" s="1" t="s">
        <v>24</v>
      </c>
      <c r="O132" s="1" t="s">
        <v>467</v>
      </c>
      <c r="P132" s="3" t="str">
        <f>HYPERLINK("https://icf.clappia.com/app/SOM165486/submission/MCC65137425/ICF247370-SOM165486-4k7jpg805fn400000000/SIG-20250704_1522g0873.jpeg", "SIG-20250704_1522g0873.jpeg")</f>
        <v>SIG-20250704_1522g0873.jpeg</v>
      </c>
      <c r="Q132" s="3" t="str">
        <f>HYPERLINK("https://www.google.com/maps/place/7.9643683%2C-11.7464467", "7.9643683,-11.7464467")</f>
        <v>7.9643683,-11.7464467</v>
      </c>
    </row>
    <row r="133" ht="15.75" customHeight="1">
      <c r="A133" s="1" t="s">
        <v>470</v>
      </c>
      <c r="B133" s="1" t="s">
        <v>18</v>
      </c>
      <c r="C133" s="1" t="s">
        <v>471</v>
      </c>
      <c r="D133" s="1" t="s">
        <v>471</v>
      </c>
      <c r="E133" s="2">
        <v>45840.0</v>
      </c>
      <c r="F133" s="1" t="s">
        <v>21</v>
      </c>
      <c r="G133" s="1" t="s">
        <v>77</v>
      </c>
      <c r="H133" s="1" t="s">
        <v>466</v>
      </c>
      <c r="I133" s="1">
        <v>226.0</v>
      </c>
      <c r="J133" s="1" t="s">
        <v>24</v>
      </c>
      <c r="K133" s="1">
        <v>226.0</v>
      </c>
      <c r="L133" s="1">
        <v>226.0</v>
      </c>
      <c r="M133" s="1" t="s">
        <v>24</v>
      </c>
      <c r="N133" s="1" t="s">
        <v>24</v>
      </c>
      <c r="O133" s="1" t="s">
        <v>467</v>
      </c>
      <c r="P133" s="3" t="str">
        <f>HYPERLINK("https://icf.clappia.com/app/SOM165486/submission/DYL40320458/ICF247370-SOM165486-1ihan3e827o400000000/SIG-20250704_1515fli27.jpeg", "SIG-20250704_1515fli27.jpeg")</f>
        <v>SIG-20250704_1515fli27.jpeg</v>
      </c>
      <c r="Q133" s="3" t="str">
        <f>HYPERLINK("https://www.google.com/maps/place/7.9657133%2C-11.7438917", "7.9657133,-11.7438917")</f>
        <v>7.9657133,-11.7438917</v>
      </c>
    </row>
    <row r="134" ht="15.75" customHeight="1">
      <c r="A134" s="1" t="s">
        <v>472</v>
      </c>
      <c r="B134" s="1" t="s">
        <v>18</v>
      </c>
      <c r="C134" s="1" t="s">
        <v>473</v>
      </c>
      <c r="D134" s="1" t="s">
        <v>473</v>
      </c>
      <c r="E134" s="2">
        <v>45842.0</v>
      </c>
      <c r="F134" s="1" t="s">
        <v>21</v>
      </c>
      <c r="G134" s="1" t="s">
        <v>77</v>
      </c>
      <c r="H134" s="1" t="s">
        <v>466</v>
      </c>
      <c r="I134" s="1">
        <v>103.0</v>
      </c>
      <c r="J134" s="1">
        <v>316.0</v>
      </c>
      <c r="K134" s="1">
        <v>419.0</v>
      </c>
      <c r="L134" s="1">
        <v>419.0</v>
      </c>
      <c r="M134" s="1" t="s">
        <v>24</v>
      </c>
      <c r="N134" s="1" t="s">
        <v>24</v>
      </c>
      <c r="O134" s="1" t="s">
        <v>474</v>
      </c>
      <c r="P134" s="3" t="str">
        <f>HYPERLINK("https://icf.clappia.com/app/SOM165486/submission/VXW19244948/ICF247370-SOM165486-lnmleh6jgmn20000000/SIG-20250704_151112e2al.jpeg", "SIG-20250704_151112e2al.jpeg")</f>
        <v>SIG-20250704_151112e2al.jpeg</v>
      </c>
      <c r="Q134" s="3" t="str">
        <f>HYPERLINK("https://www.google.com/maps/place/7.9657321%2C-11.7397368", "7.9657321,-11.7397368")</f>
        <v>7.9657321,-11.7397368</v>
      </c>
    </row>
    <row r="135" ht="15.75" customHeight="1">
      <c r="A135" s="1" t="s">
        <v>475</v>
      </c>
      <c r="B135" s="1" t="s">
        <v>18</v>
      </c>
      <c r="C135" s="1" t="s">
        <v>473</v>
      </c>
      <c r="D135" s="1" t="s">
        <v>473</v>
      </c>
      <c r="E135" s="2">
        <v>45842.0</v>
      </c>
      <c r="F135" s="1" t="s">
        <v>68</v>
      </c>
      <c r="G135" s="1" t="s">
        <v>340</v>
      </c>
      <c r="H135" s="1" t="s">
        <v>476</v>
      </c>
      <c r="I135" s="1">
        <v>200.0</v>
      </c>
      <c r="J135" s="1" t="s">
        <v>24</v>
      </c>
      <c r="K135" s="1">
        <v>200.0</v>
      </c>
      <c r="L135" s="1">
        <v>192.0</v>
      </c>
      <c r="M135" s="1">
        <v>8.0</v>
      </c>
      <c r="N135" s="1" t="s">
        <v>24</v>
      </c>
      <c r="O135" s="1" t="s">
        <v>477</v>
      </c>
      <c r="P135" s="3" t="str">
        <f>HYPERLINK("https://icf.clappia.com/app/SOM165486/submission/MDS67588584/ICF247370-SOM165486-30i6ihh3dk3200000000/SIG-20250704_1510kdcea.jpeg", "SIG-20250704_1510kdcea.jpeg")</f>
        <v>SIG-20250704_1510kdcea.jpeg</v>
      </c>
      <c r="Q135" s="3" t="str">
        <f>HYPERLINK("https://www.google.com/maps/place/9.0671437%2C-11.9543331", "9.0671437,-11.9543331")</f>
        <v>9.0671437,-11.9543331</v>
      </c>
    </row>
    <row r="136" ht="15.75" customHeight="1">
      <c r="A136" s="1" t="s">
        <v>478</v>
      </c>
      <c r="B136" s="1" t="s">
        <v>18</v>
      </c>
      <c r="C136" s="1" t="s">
        <v>479</v>
      </c>
      <c r="D136" s="1" t="s">
        <v>479</v>
      </c>
      <c r="E136" s="2">
        <v>45841.0</v>
      </c>
      <c r="F136" s="1" t="s">
        <v>21</v>
      </c>
      <c r="G136" s="1" t="s">
        <v>77</v>
      </c>
      <c r="H136" s="1" t="s">
        <v>466</v>
      </c>
      <c r="I136" s="1">
        <v>97.0</v>
      </c>
      <c r="J136" s="1" t="s">
        <v>24</v>
      </c>
      <c r="K136" s="1">
        <v>97.0</v>
      </c>
      <c r="L136" s="1">
        <v>97.0</v>
      </c>
      <c r="M136" s="1" t="s">
        <v>24</v>
      </c>
      <c r="N136" s="1" t="s">
        <v>24</v>
      </c>
      <c r="O136" s="1" t="s">
        <v>474</v>
      </c>
      <c r="P136" s="3" t="str">
        <f>HYPERLINK("https://icf.clappia.com/app/SOM165486/submission/FCP63084214/ICF247370-SOM165486-2ofn1klbi4k200000000/SIG-20250704_1506mkeee.jpeg", "SIG-20250704_1506mkeee.jpeg")</f>
        <v>SIG-20250704_1506mkeee.jpeg</v>
      </c>
      <c r="Q136" s="3" t="str">
        <f>HYPERLINK("https://www.google.com/maps/place/7.9651019%2C-11.7390368", "7.9651019,-11.7390368")</f>
        <v>7.9651019,-11.7390368</v>
      </c>
    </row>
    <row r="137" ht="15.75" customHeight="1">
      <c r="A137" s="1" t="s">
        <v>480</v>
      </c>
      <c r="B137" s="1" t="s">
        <v>18</v>
      </c>
      <c r="C137" s="1" t="s">
        <v>481</v>
      </c>
      <c r="D137" s="1" t="s">
        <v>481</v>
      </c>
      <c r="E137" s="2">
        <v>45839.0</v>
      </c>
      <c r="F137" s="1" t="s">
        <v>21</v>
      </c>
      <c r="G137" s="1" t="s">
        <v>77</v>
      </c>
      <c r="H137" s="1" t="s">
        <v>466</v>
      </c>
      <c r="I137" s="1">
        <v>291.0</v>
      </c>
      <c r="J137" s="1" t="s">
        <v>24</v>
      </c>
      <c r="K137" s="1">
        <v>291.0</v>
      </c>
      <c r="L137" s="1">
        <v>291.0</v>
      </c>
      <c r="M137" s="1" t="s">
        <v>24</v>
      </c>
      <c r="N137" s="1" t="s">
        <v>24</v>
      </c>
      <c r="O137" s="1" t="s">
        <v>467</v>
      </c>
      <c r="P137" s="3" t="str">
        <f>HYPERLINK("https://icf.clappia.com/app/SOM165486/submission/VXI02025021/ICF247370-SOM165486-3jh29m5i6ogg00000000/SIG-20250704_15061c7le.jpeg", "SIG-20250704_15061c7le.jpeg")</f>
        <v>SIG-20250704_15061c7le.jpeg</v>
      </c>
      <c r="Q137" s="3" t="str">
        <f>HYPERLINK("https://www.google.com/maps/place/7.9647674%2C-11.7390368", "7.9647674,-11.7390368")</f>
        <v>7.9647674,-11.7390368</v>
      </c>
    </row>
    <row r="138" ht="15.75" customHeight="1">
      <c r="A138" s="1" t="s">
        <v>482</v>
      </c>
      <c r="B138" s="1" t="s">
        <v>18</v>
      </c>
      <c r="C138" s="1" t="s">
        <v>483</v>
      </c>
      <c r="D138" s="1" t="s">
        <v>484</v>
      </c>
      <c r="E138" s="2">
        <v>45838.0</v>
      </c>
      <c r="F138" s="1" t="s">
        <v>21</v>
      </c>
      <c r="G138" s="1" t="s">
        <v>77</v>
      </c>
      <c r="H138" s="1" t="s">
        <v>466</v>
      </c>
      <c r="I138" s="1">
        <v>140.0</v>
      </c>
      <c r="J138" s="1" t="s">
        <v>24</v>
      </c>
      <c r="K138" s="1">
        <v>140.0</v>
      </c>
      <c r="L138" s="1">
        <v>22.0</v>
      </c>
      <c r="M138" s="1">
        <v>118.0</v>
      </c>
      <c r="N138" s="1">
        <v>118.0</v>
      </c>
      <c r="O138" s="1" t="s">
        <v>467</v>
      </c>
      <c r="P138" s="3" t="str">
        <f>HYPERLINK("https://icf.clappia.com/app/SOM165486/submission/PLC04695843/ICF247370-SOM165486-584m7bmgbcga00000000/SIG-20250704_1504nbm01.jpeg", "SIG-20250704_1504nbm01.jpeg")</f>
        <v>SIG-20250704_1504nbm01.jpeg</v>
      </c>
      <c r="Q138" s="3" t="str">
        <f>HYPERLINK("https://www.google.com/maps/place/7.96536%2C-11.7428133", "7.96536,-11.7428133")</f>
        <v>7.96536,-11.7428133</v>
      </c>
    </row>
    <row r="139" ht="15.75" customHeight="1">
      <c r="A139" s="1" t="s">
        <v>485</v>
      </c>
      <c r="B139" s="1" t="s">
        <v>18</v>
      </c>
      <c r="C139" s="1" t="s">
        <v>483</v>
      </c>
      <c r="D139" s="1" t="s">
        <v>483</v>
      </c>
      <c r="E139" s="2">
        <v>45838.0</v>
      </c>
      <c r="F139" s="1" t="s">
        <v>21</v>
      </c>
      <c r="G139" s="1" t="s">
        <v>95</v>
      </c>
      <c r="H139" s="1" t="s">
        <v>486</v>
      </c>
      <c r="I139" s="1">
        <v>406.0</v>
      </c>
      <c r="J139" s="1" t="s">
        <v>24</v>
      </c>
      <c r="K139" s="1">
        <v>406.0</v>
      </c>
      <c r="L139" s="1">
        <v>162.0</v>
      </c>
      <c r="M139" s="1">
        <v>244.0</v>
      </c>
      <c r="N139" s="1">
        <v>244.0</v>
      </c>
      <c r="O139" s="1" t="s">
        <v>487</v>
      </c>
      <c r="P139" s="3" t="str">
        <f>HYPERLINK("https://icf.clappia.com/app/SOM165486/submission/FES37042680/ICF247370-SOM165486-192pooh8o1ako0000000/SIG-20250704_150349jc3.jpeg", "SIG-20250704_150349jc3.jpeg")</f>
        <v>SIG-20250704_150349jc3.jpeg</v>
      </c>
      <c r="Q139" s="3" t="str">
        <f>HYPERLINK("https://www.google.com/maps/place/7.9516917%2C-11.7524033", "7.9516917,-11.7524033")</f>
        <v>7.9516917,-11.7524033</v>
      </c>
    </row>
    <row r="140" ht="15.75" customHeight="1">
      <c r="A140" s="1" t="s">
        <v>488</v>
      </c>
      <c r="B140" s="1" t="s">
        <v>18</v>
      </c>
      <c r="C140" s="1" t="s">
        <v>489</v>
      </c>
      <c r="D140" s="1" t="s">
        <v>489</v>
      </c>
      <c r="E140" s="2">
        <v>45840.0</v>
      </c>
      <c r="F140" s="1" t="s">
        <v>21</v>
      </c>
      <c r="G140" s="1" t="s">
        <v>77</v>
      </c>
      <c r="H140" s="1" t="s">
        <v>466</v>
      </c>
      <c r="I140" s="1">
        <v>220.0</v>
      </c>
      <c r="J140" s="1" t="s">
        <v>24</v>
      </c>
      <c r="K140" s="1">
        <v>220.0</v>
      </c>
      <c r="L140" s="1">
        <v>220.0</v>
      </c>
      <c r="M140" s="1" t="s">
        <v>24</v>
      </c>
      <c r="N140" s="1" t="s">
        <v>24</v>
      </c>
      <c r="O140" s="1" t="s">
        <v>490</v>
      </c>
      <c r="P140" s="3" t="str">
        <f>HYPERLINK("https://icf.clappia.com/app/SOM165486/submission/QUH09596259/ICF247370-SOM165486-528ggj8kghpm00000000/SIG-20250704_15013fb0o.jpeg", "SIG-20250704_15013fb0o.jpeg")</f>
        <v>SIG-20250704_15013fb0o.jpeg</v>
      </c>
      <c r="Q140" s="3" t="str">
        <f>HYPERLINK("https://www.google.com/maps/place/7.9652917%2C-11.7423883", "7.9652917,-11.7423883")</f>
        <v>7.9652917,-11.7423883</v>
      </c>
    </row>
    <row r="141" ht="15.75" customHeight="1">
      <c r="A141" s="1" t="s">
        <v>491</v>
      </c>
      <c r="B141" s="1" t="s">
        <v>18</v>
      </c>
      <c r="C141" s="1" t="s">
        <v>492</v>
      </c>
      <c r="D141" s="1" t="s">
        <v>492</v>
      </c>
      <c r="E141" s="2">
        <v>45839.0</v>
      </c>
      <c r="F141" s="1" t="s">
        <v>21</v>
      </c>
      <c r="G141" s="1" t="s">
        <v>77</v>
      </c>
      <c r="H141" s="1" t="s">
        <v>466</v>
      </c>
      <c r="I141" s="1">
        <v>140.0</v>
      </c>
      <c r="J141" s="1" t="s">
        <v>24</v>
      </c>
      <c r="K141" s="1">
        <v>140.0</v>
      </c>
      <c r="L141" s="1">
        <v>140.0</v>
      </c>
      <c r="M141" s="1" t="s">
        <v>24</v>
      </c>
      <c r="N141" s="1" t="s">
        <v>24</v>
      </c>
      <c r="O141" s="1" t="s">
        <v>493</v>
      </c>
      <c r="P141" s="3" t="str">
        <f>HYPERLINK("https://icf.clappia.com/app/SOM165486/submission/NFK57001781/ICF247370-SOM165486-3h3ikafnaopa00000000/SIG-20250704_1459lbn41.jpeg", "SIG-20250704_1459lbn41.jpeg")</f>
        <v>SIG-20250704_1459lbn41.jpeg</v>
      </c>
      <c r="Q141" s="3" t="str">
        <f>HYPERLINK("https://www.google.com/maps/place/7.9651019%2C-11.7390368", "7.9651019,-11.7390368")</f>
        <v>7.9651019,-11.7390368</v>
      </c>
    </row>
    <row r="142" ht="15.75" customHeight="1">
      <c r="A142" s="1" t="s">
        <v>494</v>
      </c>
      <c r="B142" s="1" t="s">
        <v>18</v>
      </c>
      <c r="C142" s="1" t="s">
        <v>495</v>
      </c>
      <c r="D142" s="1" t="s">
        <v>496</v>
      </c>
      <c r="E142" s="2">
        <v>45841.0</v>
      </c>
      <c r="F142" s="1" t="s">
        <v>21</v>
      </c>
      <c r="G142" s="1" t="s">
        <v>164</v>
      </c>
      <c r="H142" s="1" t="s">
        <v>439</v>
      </c>
      <c r="I142" s="1">
        <v>67.0</v>
      </c>
      <c r="J142" s="1" t="s">
        <v>24</v>
      </c>
      <c r="K142" s="1">
        <v>67.0</v>
      </c>
      <c r="L142" s="1">
        <v>46.0</v>
      </c>
      <c r="M142" s="1">
        <v>21.0</v>
      </c>
      <c r="N142" s="1">
        <v>21.0</v>
      </c>
      <c r="O142" s="1" t="s">
        <v>443</v>
      </c>
      <c r="P142" s="3" t="str">
        <f>HYPERLINK("https://icf.clappia.com/app/SOM165486/submission/LOB44294004/ICF247370-SOM165486-6akf6j1ckoje00000000/SIG-20250703_1304ojcdo.jpeg", "SIG-20250703_1304ojcdo.jpeg")</f>
        <v>SIG-20250703_1304ojcdo.jpeg</v>
      </c>
      <c r="Q142" s="3" t="str">
        <f>HYPERLINK("https://www.google.com/maps/place/7.6982767%2C-12.040505", "7.6982767,-12.040505")</f>
        <v>7.6982767,-12.040505</v>
      </c>
    </row>
    <row r="143" ht="15.75" customHeight="1">
      <c r="A143" s="1" t="s">
        <v>497</v>
      </c>
      <c r="B143" s="1" t="s">
        <v>18</v>
      </c>
      <c r="C143" s="1" t="s">
        <v>498</v>
      </c>
      <c r="D143" s="1" t="s">
        <v>496</v>
      </c>
      <c r="E143" s="2">
        <v>45841.0</v>
      </c>
      <c r="F143" s="1" t="s">
        <v>21</v>
      </c>
      <c r="G143" s="1" t="s">
        <v>164</v>
      </c>
      <c r="H143" s="1" t="s">
        <v>439</v>
      </c>
      <c r="I143" s="1">
        <v>67.0</v>
      </c>
      <c r="J143" s="1" t="s">
        <v>24</v>
      </c>
      <c r="K143" s="1">
        <v>67.0</v>
      </c>
      <c r="L143" s="1">
        <v>46.0</v>
      </c>
      <c r="M143" s="1">
        <v>21.0</v>
      </c>
      <c r="N143" s="1">
        <v>21.0</v>
      </c>
      <c r="O143" s="1" t="s">
        <v>443</v>
      </c>
      <c r="P143" s="3" t="str">
        <f>HYPERLINK("https://icf.clappia.com/app/SOM165486/submission/MZL51887141/ICF247370-SOM165486-88ghcfjb3ko80000000/SIG-20250703_12597hmh3.jpeg", "SIG-20250703_12597hmh3.jpeg")</f>
        <v>SIG-20250703_12597hmh3.jpeg</v>
      </c>
      <c r="Q143" s="3" t="str">
        <f>HYPERLINK("https://www.google.com/maps/place/7.6986017%2C-12.0405817", "7.6986017,-12.0405817")</f>
        <v>7.6986017,-12.0405817</v>
      </c>
    </row>
    <row r="144" ht="15.75" customHeight="1">
      <c r="A144" s="1" t="s">
        <v>499</v>
      </c>
      <c r="B144" s="1" t="s">
        <v>18</v>
      </c>
      <c r="C144" s="1" t="s">
        <v>496</v>
      </c>
      <c r="D144" s="1" t="s">
        <v>496</v>
      </c>
      <c r="E144" s="2">
        <v>45838.0</v>
      </c>
      <c r="F144" s="1" t="s">
        <v>21</v>
      </c>
      <c r="G144" s="1" t="s">
        <v>77</v>
      </c>
      <c r="H144" s="1" t="s">
        <v>466</v>
      </c>
      <c r="I144" s="1">
        <v>216.0</v>
      </c>
      <c r="J144" s="1" t="s">
        <v>24</v>
      </c>
      <c r="K144" s="1">
        <v>216.0</v>
      </c>
      <c r="L144" s="1">
        <v>216.0</v>
      </c>
      <c r="M144" s="1" t="s">
        <v>24</v>
      </c>
      <c r="N144" s="1" t="s">
        <v>24</v>
      </c>
      <c r="O144" s="1" t="s">
        <v>493</v>
      </c>
      <c r="P144" s="3" t="str">
        <f>HYPERLINK("https://icf.clappia.com/app/SOM165486/submission/CRZ58850404/ICF247370-SOM165486-113g462fkacco0000000/SIG-20250704_1457aa0c3.jpeg", "SIG-20250704_1457aa0c3.jpeg")</f>
        <v>SIG-20250704_1457aa0c3.jpeg</v>
      </c>
      <c r="Q144" s="3" t="str">
        <f>HYPERLINK("https://www.google.com/maps/place/7.965722%2C-11.7397385", "7.965722,-11.7397385")</f>
        <v>7.965722,-11.7397385</v>
      </c>
    </row>
    <row r="145" ht="15.75" customHeight="1">
      <c r="A145" s="1" t="s">
        <v>500</v>
      </c>
      <c r="B145" s="1" t="s">
        <v>18</v>
      </c>
      <c r="C145" s="1" t="s">
        <v>501</v>
      </c>
      <c r="D145" s="1" t="s">
        <v>502</v>
      </c>
      <c r="E145" s="2">
        <v>45840.0</v>
      </c>
      <c r="F145" s="1" t="s">
        <v>21</v>
      </c>
      <c r="G145" s="1" t="s">
        <v>164</v>
      </c>
      <c r="H145" s="1" t="s">
        <v>439</v>
      </c>
      <c r="I145" s="1">
        <v>100.0</v>
      </c>
      <c r="J145" s="1" t="s">
        <v>24</v>
      </c>
      <c r="K145" s="1">
        <v>100.0</v>
      </c>
      <c r="L145" s="1">
        <v>90.0</v>
      </c>
      <c r="M145" s="1">
        <v>10.0</v>
      </c>
      <c r="N145" s="1">
        <v>10.0</v>
      </c>
      <c r="O145" s="1" t="s">
        <v>443</v>
      </c>
      <c r="P145" s="3" t="str">
        <f>HYPERLINK("https://icf.clappia.com/app/SOM165486/submission/QCL67484540/ICF247370-SOM165486-3g1o162j791o00000000/SIG-20250702_10481ai2ij.jpeg", "SIG-20250702_10481ai2ij.jpeg")</f>
        <v>SIG-20250702_10481ai2ij.jpeg</v>
      </c>
      <c r="Q145" s="3" t="str">
        <f>HYPERLINK("https://www.google.com/maps/place/7.75277%2C-12.0404533", "7.75277,-12.0404533")</f>
        <v>7.75277,-12.0404533</v>
      </c>
    </row>
    <row r="146" ht="15.75" customHeight="1">
      <c r="A146" s="1" t="s">
        <v>503</v>
      </c>
      <c r="B146" s="1" t="s">
        <v>18</v>
      </c>
      <c r="C146" s="1" t="s">
        <v>504</v>
      </c>
      <c r="D146" s="1" t="s">
        <v>504</v>
      </c>
      <c r="E146" s="2">
        <v>45842.0</v>
      </c>
      <c r="F146" s="1" t="s">
        <v>21</v>
      </c>
      <c r="G146" s="1" t="s">
        <v>77</v>
      </c>
      <c r="H146" s="1" t="s">
        <v>466</v>
      </c>
      <c r="I146" s="1">
        <v>301.0</v>
      </c>
      <c r="J146" s="1" t="s">
        <v>24</v>
      </c>
      <c r="K146" s="1">
        <v>301.0</v>
      </c>
      <c r="L146" s="1">
        <v>301.0</v>
      </c>
      <c r="M146" s="1" t="s">
        <v>24</v>
      </c>
      <c r="N146" s="1" t="s">
        <v>24</v>
      </c>
      <c r="O146" s="1" t="s">
        <v>505</v>
      </c>
      <c r="P146" s="3" t="str">
        <f>HYPERLINK("https://icf.clappia.com/app/SOM165486/submission/QCR96096442/ICF247370-SOM165486-70lao63l77cc0000000/SIG-20250704_1454o685p.jpeg", "SIG-20250704_1454o685p.jpeg")</f>
        <v>SIG-20250704_1454o685p.jpeg</v>
      </c>
      <c r="Q146" s="3" t="str">
        <f>HYPERLINK("https://www.google.com/maps/place/7.9464833%2C-11.7500367", "7.9464833,-11.7500367")</f>
        <v>7.9464833,-11.7500367</v>
      </c>
    </row>
    <row r="147" ht="15.75" customHeight="1">
      <c r="A147" s="1" t="s">
        <v>506</v>
      </c>
      <c r="B147" s="1" t="s">
        <v>18</v>
      </c>
      <c r="C147" s="1" t="s">
        <v>507</v>
      </c>
      <c r="D147" s="1" t="s">
        <v>508</v>
      </c>
      <c r="E147" s="2">
        <v>45839.0</v>
      </c>
      <c r="F147" s="1" t="s">
        <v>21</v>
      </c>
      <c r="G147" s="1" t="s">
        <v>164</v>
      </c>
      <c r="H147" s="1" t="s">
        <v>439</v>
      </c>
      <c r="I147" s="1">
        <v>155.0</v>
      </c>
      <c r="J147" s="1" t="s">
        <v>24</v>
      </c>
      <c r="K147" s="1">
        <v>155.0</v>
      </c>
      <c r="L147" s="1">
        <v>149.0</v>
      </c>
      <c r="M147" s="1">
        <v>6.0</v>
      </c>
      <c r="N147" s="1">
        <v>6.0</v>
      </c>
      <c r="O147" s="1" t="s">
        <v>443</v>
      </c>
      <c r="P147" s="3" t="str">
        <f>HYPERLINK("https://icf.clappia.com/app/SOM165486/submission/EEL25159519/ICF247370-SOM165486-3ic2m992ll2800000000/SIG-20250701_1446m49o4.jpeg", "SIG-20250701_1446m49o4.jpeg")</f>
        <v>SIG-20250701_1446m49o4.jpeg</v>
      </c>
      <c r="Q147" s="3" t="str">
        <f t="shared" ref="Q147:Q148" si="7">HYPERLINK("https://www.google.com/maps/place/7.7208183%2C-12.0353483", "7.7208183,-12.0353483")</f>
        <v>7.7208183,-12.0353483</v>
      </c>
    </row>
    <row r="148" ht="15.75" customHeight="1">
      <c r="A148" s="1" t="s">
        <v>509</v>
      </c>
      <c r="B148" s="1" t="s">
        <v>18</v>
      </c>
      <c r="C148" s="1" t="s">
        <v>510</v>
      </c>
      <c r="D148" s="1" t="s">
        <v>508</v>
      </c>
      <c r="E148" s="2">
        <v>45839.0</v>
      </c>
      <c r="F148" s="1" t="s">
        <v>21</v>
      </c>
      <c r="G148" s="1" t="s">
        <v>164</v>
      </c>
      <c r="H148" s="1" t="s">
        <v>439</v>
      </c>
      <c r="I148" s="1">
        <v>50.0</v>
      </c>
      <c r="J148" s="1" t="s">
        <v>24</v>
      </c>
      <c r="K148" s="1">
        <v>50.0</v>
      </c>
      <c r="L148" s="1">
        <v>49.0</v>
      </c>
      <c r="M148" s="1">
        <v>1.0</v>
      </c>
      <c r="N148" s="1">
        <v>1.0</v>
      </c>
      <c r="O148" s="1" t="s">
        <v>443</v>
      </c>
      <c r="P148" s="3" t="str">
        <f>HYPERLINK("https://icf.clappia.com/app/SOM165486/submission/FAO57612690/ICF247370-SOM165486-43n4b4g0eejo00000000/SIG-20250701_1438eeo25.jpeg", "SIG-20250701_1438eeo25.jpeg")</f>
        <v>SIG-20250701_1438eeo25.jpeg</v>
      </c>
      <c r="Q148" s="3" t="str">
        <f t="shared" si="7"/>
        <v>7.7208183,-12.0353483</v>
      </c>
    </row>
    <row r="149" ht="15.75" customHeight="1">
      <c r="A149" s="1" t="s">
        <v>511</v>
      </c>
      <c r="B149" s="1" t="s">
        <v>18</v>
      </c>
      <c r="C149" s="1" t="s">
        <v>512</v>
      </c>
      <c r="D149" s="1" t="s">
        <v>508</v>
      </c>
      <c r="E149" s="2">
        <v>45839.0</v>
      </c>
      <c r="F149" s="1" t="s">
        <v>21</v>
      </c>
      <c r="G149" s="1" t="s">
        <v>164</v>
      </c>
      <c r="H149" s="1" t="s">
        <v>439</v>
      </c>
      <c r="I149" s="1">
        <v>155.0</v>
      </c>
      <c r="J149" s="1" t="s">
        <v>24</v>
      </c>
      <c r="K149" s="1">
        <v>155.0</v>
      </c>
      <c r="L149" s="1">
        <v>149.0</v>
      </c>
      <c r="M149" s="1">
        <v>6.0</v>
      </c>
      <c r="N149" s="1">
        <v>6.0</v>
      </c>
      <c r="O149" s="1" t="s">
        <v>443</v>
      </c>
      <c r="P149" s="3" t="str">
        <f>HYPERLINK("https://icf.clappia.com/app/SOM165486/submission/CYQ95639027/ICF247370-SOM165486-momo3gd1fnoc0000000/SIG-20250701_1347d2npp.jpeg", "SIG-20250701_1347d2npp.jpeg")</f>
        <v>SIG-20250701_1347d2npp.jpeg</v>
      </c>
      <c r="Q149" s="3" t="str">
        <f>HYPERLINK("https://www.google.com/maps/place/7.7234067%2C-12.03753", "7.7234067,-12.03753")</f>
        <v>7.7234067,-12.03753</v>
      </c>
    </row>
    <row r="150" ht="15.75" customHeight="1">
      <c r="A150" s="1" t="s">
        <v>513</v>
      </c>
      <c r="B150" s="1" t="s">
        <v>18</v>
      </c>
      <c r="C150" s="1" t="s">
        <v>514</v>
      </c>
      <c r="D150" s="1" t="s">
        <v>514</v>
      </c>
      <c r="E150" s="2">
        <v>45842.0</v>
      </c>
      <c r="F150" s="1" t="s">
        <v>68</v>
      </c>
      <c r="G150" s="1" t="s">
        <v>88</v>
      </c>
      <c r="H150" s="1" t="s">
        <v>515</v>
      </c>
      <c r="I150" s="1">
        <v>150.0</v>
      </c>
      <c r="J150" s="1" t="s">
        <v>24</v>
      </c>
      <c r="K150" s="1">
        <v>150.0</v>
      </c>
      <c r="L150" s="1">
        <v>125.0</v>
      </c>
      <c r="M150" s="1">
        <v>25.0</v>
      </c>
      <c r="N150" s="1">
        <v>25.0</v>
      </c>
      <c r="O150" s="1" t="s">
        <v>516</v>
      </c>
      <c r="P150" s="3" t="str">
        <f>HYPERLINK("https://icf.clappia.com/app/SOM165486/submission/HRR44697313/ICF247370-SOM165486-5f61i845ih6200000000/SIG-20250704_144018520g.jpeg", "SIG-20250704_144018520g.jpeg")</f>
        <v>SIG-20250704_144018520g.jpeg</v>
      </c>
      <c r="Q150" s="3" t="str">
        <f>HYPERLINK("https://www.google.com/maps/place/8.890552%2C-12.043803", "8.890552,-12.043803")</f>
        <v>8.890552,-12.043803</v>
      </c>
    </row>
    <row r="151" ht="15.75" customHeight="1">
      <c r="A151" s="1" t="s">
        <v>517</v>
      </c>
      <c r="B151" s="1" t="s">
        <v>18</v>
      </c>
      <c r="C151" s="1" t="s">
        <v>514</v>
      </c>
      <c r="D151" s="1" t="s">
        <v>514</v>
      </c>
      <c r="E151" s="2">
        <v>45841.0</v>
      </c>
      <c r="F151" s="1" t="s">
        <v>21</v>
      </c>
      <c r="G151" s="1" t="s">
        <v>95</v>
      </c>
      <c r="H151" s="1" t="s">
        <v>518</v>
      </c>
      <c r="I151" s="1">
        <v>135.0</v>
      </c>
      <c r="J151" s="1" t="s">
        <v>24</v>
      </c>
      <c r="K151" s="1">
        <v>135.0</v>
      </c>
      <c r="L151" s="1">
        <v>100.0</v>
      </c>
      <c r="M151" s="1">
        <v>35.0</v>
      </c>
      <c r="N151" s="1">
        <v>35.0</v>
      </c>
      <c r="O151" s="1" t="s">
        <v>519</v>
      </c>
      <c r="P151" s="3" t="str">
        <f>HYPERLINK("https://icf.clappia.com/app/SOM165486/submission/VXW04676879/ICF247370-SOM165486-3kah38h2di5c00000000/SIG-20250704_1440nb1ec.jpeg", "SIG-20250704_1440nb1ec.jpeg")</f>
        <v>SIG-20250704_1440nb1ec.jpeg</v>
      </c>
      <c r="Q151" s="3" t="str">
        <f>HYPERLINK("https://www.google.com/maps/place/7.9433683%2C-11.7200883", "7.9433683,-11.7200883")</f>
        <v>7.9433683,-11.7200883</v>
      </c>
    </row>
    <row r="152" ht="15.75" customHeight="1">
      <c r="A152" s="1" t="s">
        <v>520</v>
      </c>
      <c r="B152" s="1" t="s">
        <v>18</v>
      </c>
      <c r="C152" s="1" t="s">
        <v>521</v>
      </c>
      <c r="D152" s="1" t="s">
        <v>521</v>
      </c>
      <c r="E152" s="2">
        <v>45842.0</v>
      </c>
      <c r="F152" s="1" t="s">
        <v>21</v>
      </c>
      <c r="G152" s="1" t="s">
        <v>95</v>
      </c>
      <c r="H152" s="1" t="s">
        <v>518</v>
      </c>
      <c r="I152" s="1">
        <v>50.0</v>
      </c>
      <c r="J152" s="1" t="s">
        <v>24</v>
      </c>
      <c r="K152" s="1">
        <v>50.0</v>
      </c>
      <c r="L152" s="1">
        <v>50.0</v>
      </c>
      <c r="M152" s="1" t="s">
        <v>24</v>
      </c>
      <c r="N152" s="1" t="s">
        <v>24</v>
      </c>
      <c r="O152" s="1" t="s">
        <v>522</v>
      </c>
      <c r="P152" s="3" t="str">
        <f>HYPERLINK("https://icf.clappia.com/app/SOM165486/submission/QWV41077936/ICF247370-SOM165486-6a3jn5p343cg00000000/SIG-20250704_1439o0cag.jpeg", "SIG-20250704_1439o0cag.jpeg")</f>
        <v>SIG-20250704_1439o0cag.jpeg</v>
      </c>
      <c r="Q152" s="3" t="str">
        <f>HYPERLINK("https://www.google.com/maps/place/7.9436342%2C-11.7176929", "7.9436342,-11.7176929")</f>
        <v>7.9436342,-11.7176929</v>
      </c>
    </row>
    <row r="153" ht="15.75" customHeight="1">
      <c r="A153" s="1" t="s">
        <v>523</v>
      </c>
      <c r="B153" s="1" t="s">
        <v>18</v>
      </c>
      <c r="C153" s="1" t="s">
        <v>524</v>
      </c>
      <c r="D153" s="1" t="s">
        <v>524</v>
      </c>
      <c r="E153" s="2">
        <v>45840.0</v>
      </c>
      <c r="F153" s="1" t="s">
        <v>21</v>
      </c>
      <c r="G153" s="1" t="s">
        <v>95</v>
      </c>
      <c r="H153" s="1" t="s">
        <v>518</v>
      </c>
      <c r="I153" s="1">
        <v>186.0</v>
      </c>
      <c r="J153" s="1" t="s">
        <v>24</v>
      </c>
      <c r="K153" s="1">
        <v>186.0</v>
      </c>
      <c r="L153" s="1">
        <v>186.0</v>
      </c>
      <c r="M153" s="1" t="s">
        <v>24</v>
      </c>
      <c r="N153" s="1" t="s">
        <v>24</v>
      </c>
      <c r="O153" s="1" t="s">
        <v>522</v>
      </c>
      <c r="P153" s="3" t="str">
        <f>HYPERLINK("https://icf.clappia.com/app/SOM165486/submission/PRK32076260/ICF247370-SOM165486-1d57662kh8ecg0000000/SIG-20250704_1437aje7c.jpeg", "SIG-20250704_1437aje7c.jpeg")</f>
        <v>SIG-20250704_1437aje7c.jpeg</v>
      </c>
      <c r="Q153" s="3" t="str">
        <f>HYPERLINK("https://www.google.com/maps/place/7.9429627%2C-11.7202255", "7.9429627,-11.7202255")</f>
        <v>7.9429627,-11.7202255</v>
      </c>
    </row>
    <row r="154" ht="15.75" customHeight="1">
      <c r="A154" s="1" t="s">
        <v>525</v>
      </c>
      <c r="B154" s="1" t="s">
        <v>18</v>
      </c>
      <c r="C154" s="1" t="s">
        <v>526</v>
      </c>
      <c r="D154" s="1" t="s">
        <v>526</v>
      </c>
      <c r="E154" s="2">
        <v>45840.0</v>
      </c>
      <c r="F154" s="1" t="s">
        <v>21</v>
      </c>
      <c r="G154" s="1" t="s">
        <v>95</v>
      </c>
      <c r="H154" s="1" t="s">
        <v>518</v>
      </c>
      <c r="I154" s="1">
        <v>245.0</v>
      </c>
      <c r="J154" s="1" t="s">
        <v>24</v>
      </c>
      <c r="K154" s="1">
        <v>245.0</v>
      </c>
      <c r="L154" s="1">
        <v>110.0</v>
      </c>
      <c r="M154" s="1">
        <v>135.0</v>
      </c>
      <c r="N154" s="1">
        <v>135.0</v>
      </c>
      <c r="O154" s="1" t="s">
        <v>527</v>
      </c>
      <c r="P154" s="3" t="str">
        <f>HYPERLINK("https://icf.clappia.com/app/SOM165486/submission/XXQ40210849/ICF247370-SOM165486-4m8d8nhg7n4m00000000/SIG-20250704_1436a9glo.jpeg", "SIG-20250704_1436a9glo.jpeg")</f>
        <v>SIG-20250704_1436a9glo.jpeg</v>
      </c>
      <c r="Q154" s="3" t="str">
        <f>HYPERLINK("https://www.google.com/maps/place/7.9433683%2C-11.7200883", "7.9433683,-11.7200883")</f>
        <v>7.9433683,-11.7200883</v>
      </c>
    </row>
    <row r="155" ht="15.75" customHeight="1">
      <c r="A155" s="1" t="s">
        <v>528</v>
      </c>
      <c r="B155" s="1" t="s">
        <v>18</v>
      </c>
      <c r="C155" s="1" t="s">
        <v>529</v>
      </c>
      <c r="D155" s="1" t="s">
        <v>529</v>
      </c>
      <c r="E155" s="2">
        <v>45839.0</v>
      </c>
      <c r="F155" s="1" t="s">
        <v>21</v>
      </c>
      <c r="G155" s="1" t="s">
        <v>95</v>
      </c>
      <c r="H155" s="1" t="s">
        <v>518</v>
      </c>
      <c r="I155" s="1">
        <v>201.0</v>
      </c>
      <c r="J155" s="1" t="s">
        <v>24</v>
      </c>
      <c r="K155" s="1">
        <v>201.0</v>
      </c>
      <c r="L155" s="1">
        <v>201.0</v>
      </c>
      <c r="M155" s="1" t="s">
        <v>24</v>
      </c>
      <c r="N155" s="1" t="s">
        <v>24</v>
      </c>
      <c r="O155" s="1" t="s">
        <v>522</v>
      </c>
      <c r="P155" s="3" t="str">
        <f>HYPERLINK("https://icf.clappia.com/app/SOM165486/submission/YTT22278542/ICF247370-SOM165486-ec4lbogjkbhi0000000/SIG-20250704_1431168fc8.jpeg", "SIG-20250704_1431168fc8.jpeg")</f>
        <v>SIG-20250704_1431168fc8.jpeg</v>
      </c>
      <c r="Q155" s="3" t="str">
        <f>HYPERLINK("https://www.google.com/maps/place/7.9434094%2C-11.7198954", "7.9434094,-11.7198954")</f>
        <v>7.9434094,-11.7198954</v>
      </c>
    </row>
    <row r="156" ht="15.75" customHeight="1">
      <c r="A156" s="1" t="s">
        <v>530</v>
      </c>
      <c r="B156" s="1" t="s">
        <v>18</v>
      </c>
      <c r="C156" s="1" t="s">
        <v>529</v>
      </c>
      <c r="D156" s="1" t="s">
        <v>529</v>
      </c>
      <c r="E156" s="2">
        <v>45839.0</v>
      </c>
      <c r="F156" s="1" t="s">
        <v>21</v>
      </c>
      <c r="G156" s="1" t="s">
        <v>95</v>
      </c>
      <c r="H156" s="1" t="s">
        <v>518</v>
      </c>
      <c r="I156" s="1">
        <v>116.0</v>
      </c>
      <c r="J156" s="1" t="s">
        <v>24</v>
      </c>
      <c r="K156" s="1">
        <v>116.0</v>
      </c>
      <c r="L156" s="1">
        <v>96.0</v>
      </c>
      <c r="M156" s="1">
        <v>20.0</v>
      </c>
      <c r="N156" s="1">
        <v>20.0</v>
      </c>
      <c r="O156" s="1" t="s">
        <v>531</v>
      </c>
      <c r="P156" s="3" t="str">
        <f>HYPERLINK("https://icf.clappia.com/app/SOM165486/submission/JFB16808369/ICF247370-SOM165486-4i7heci77hoi00000000/SIG-20250704_143119m019.jpeg", "SIG-20250704_143119m019.jpeg")</f>
        <v>SIG-20250704_143119m019.jpeg</v>
      </c>
      <c r="Q156" s="3" t="str">
        <f>HYPERLINK("https://www.google.com/maps/place/7.9385887%2C-11.7187503", "7.9385887,-11.7187503")</f>
        <v>7.9385887,-11.7187503</v>
      </c>
    </row>
    <row r="157" ht="15.75" customHeight="1">
      <c r="A157" s="1" t="s">
        <v>532</v>
      </c>
      <c r="B157" s="1" t="s">
        <v>18</v>
      </c>
      <c r="C157" s="1" t="s">
        <v>533</v>
      </c>
      <c r="D157" s="1" t="s">
        <v>533</v>
      </c>
      <c r="E157" s="2">
        <v>45838.0</v>
      </c>
      <c r="F157" s="1" t="s">
        <v>21</v>
      </c>
      <c r="G157" s="1" t="s">
        <v>95</v>
      </c>
      <c r="H157" s="1" t="s">
        <v>518</v>
      </c>
      <c r="I157" s="1">
        <v>200.0</v>
      </c>
      <c r="J157" s="1" t="s">
        <v>24</v>
      </c>
      <c r="K157" s="1">
        <v>200.0</v>
      </c>
      <c r="L157" s="1">
        <v>200.0</v>
      </c>
      <c r="M157" s="1" t="s">
        <v>24</v>
      </c>
      <c r="N157" s="1" t="s">
        <v>24</v>
      </c>
      <c r="O157" s="1" t="s">
        <v>534</v>
      </c>
      <c r="P157" s="3" t="str">
        <f>HYPERLINK("https://icf.clappia.com/app/SOM165486/submission/LQM67844416/ICF247370-SOM165486-2008h8425j9e80000000/SIG-20250704_1421fc6jk.jpeg", "SIG-20250704_1421fc6jk.jpeg")</f>
        <v>SIG-20250704_1421fc6jk.jpeg</v>
      </c>
      <c r="Q157" s="3" t="str">
        <f>HYPERLINK("https://www.google.com/maps/place/7.9434467%2C-11.7198317", "7.9434467,-11.7198317")</f>
        <v>7.9434467,-11.7198317</v>
      </c>
    </row>
    <row r="158" ht="15.75" customHeight="1">
      <c r="A158" s="1" t="s">
        <v>535</v>
      </c>
      <c r="B158" s="1" t="s">
        <v>18</v>
      </c>
      <c r="C158" s="1" t="s">
        <v>284</v>
      </c>
      <c r="D158" s="1" t="s">
        <v>284</v>
      </c>
      <c r="E158" s="2">
        <v>45838.0</v>
      </c>
      <c r="F158" s="1" t="s">
        <v>21</v>
      </c>
      <c r="G158" s="1" t="s">
        <v>95</v>
      </c>
      <c r="H158" s="1" t="s">
        <v>518</v>
      </c>
      <c r="I158" s="1">
        <v>109.0</v>
      </c>
      <c r="J158" s="1" t="s">
        <v>24</v>
      </c>
      <c r="K158" s="1">
        <v>109.0</v>
      </c>
      <c r="L158" s="1">
        <v>109.0</v>
      </c>
      <c r="M158" s="1" t="s">
        <v>24</v>
      </c>
      <c r="N158" s="1" t="s">
        <v>24</v>
      </c>
      <c r="O158" s="1" t="s">
        <v>536</v>
      </c>
      <c r="P158" s="3" t="str">
        <f>HYPERLINK("https://icf.clappia.com/app/SOM165486/submission/NRQ25516343/ICF247370-SOM165486-582jj4f99feo00000000/SIG-20250704_142312hj5f.jpeg", "SIG-20250704_142312hj5f.jpeg")</f>
        <v>SIG-20250704_142312hj5f.jpeg</v>
      </c>
      <c r="Q158" s="3" t="str">
        <f>HYPERLINK("https://www.google.com/maps/place/7.9425511%2C-11.7205297", "7.9425511,-11.7205297")</f>
        <v>7.9425511,-11.7205297</v>
      </c>
    </row>
    <row r="159" ht="15.75" customHeight="1">
      <c r="A159" s="1" t="s">
        <v>537</v>
      </c>
      <c r="B159" s="1" t="s">
        <v>18</v>
      </c>
      <c r="C159" s="1" t="s">
        <v>538</v>
      </c>
      <c r="D159" s="1" t="s">
        <v>539</v>
      </c>
      <c r="E159" s="2">
        <v>45842.0</v>
      </c>
      <c r="F159" s="1" t="s">
        <v>21</v>
      </c>
      <c r="G159" s="1" t="s">
        <v>269</v>
      </c>
      <c r="H159" s="1" t="s">
        <v>540</v>
      </c>
      <c r="I159" s="1">
        <v>104.0</v>
      </c>
      <c r="J159" s="1" t="s">
        <v>24</v>
      </c>
      <c r="K159" s="1">
        <v>104.0</v>
      </c>
      <c r="L159" s="1">
        <v>98.0</v>
      </c>
      <c r="M159" s="1">
        <v>6.0</v>
      </c>
      <c r="N159" s="1">
        <v>6.0</v>
      </c>
      <c r="O159" s="1" t="s">
        <v>541</v>
      </c>
      <c r="P159" s="3" t="str">
        <f>HYPERLINK("https://icf.clappia.com/app/SOM165486/submission/OFA71093493/ICF247370-SOM165486-3fn7ak8p1nie00000000/SIG-20250704_1247150n0i.jpeg", "SIG-20250704_1247150n0i.jpeg")</f>
        <v>SIG-20250704_1247150n0i.jpeg</v>
      </c>
    </row>
    <row r="160" ht="15.75" customHeight="1">
      <c r="A160" s="1" t="s">
        <v>542</v>
      </c>
      <c r="B160" s="1" t="s">
        <v>18</v>
      </c>
      <c r="C160" s="1" t="s">
        <v>543</v>
      </c>
      <c r="D160" s="1" t="s">
        <v>543</v>
      </c>
      <c r="E160" s="2">
        <v>45842.0</v>
      </c>
      <c r="F160" s="1" t="s">
        <v>68</v>
      </c>
      <c r="G160" s="1" t="s">
        <v>88</v>
      </c>
      <c r="H160" s="1" t="s">
        <v>515</v>
      </c>
      <c r="I160" s="1">
        <v>200.0</v>
      </c>
      <c r="J160" s="1" t="s">
        <v>24</v>
      </c>
      <c r="K160" s="1">
        <v>200.0</v>
      </c>
      <c r="L160" s="1">
        <v>170.0</v>
      </c>
      <c r="M160" s="1">
        <v>30.0</v>
      </c>
      <c r="N160" s="1">
        <v>30.0</v>
      </c>
      <c r="O160" s="1" t="s">
        <v>544</v>
      </c>
      <c r="P160" s="3" t="str">
        <f>HYPERLINK("https://icf.clappia.com/app/SOM165486/submission/VLK28949907/ICF247370-SOM165486-fcadlhlh0bmo0000000/SIG-20250704_14145g51i.jpeg", "SIG-20250704_14145g51i.jpeg")</f>
        <v>SIG-20250704_14145g51i.jpeg</v>
      </c>
      <c r="Q160" s="3" t="str">
        <f>HYPERLINK("https://www.google.com/maps/place/8.9054169%2C-12.0456258", "8.9054169,-12.0456258")</f>
        <v>8.9054169,-12.0456258</v>
      </c>
    </row>
    <row r="161" ht="15.75" customHeight="1">
      <c r="A161" s="1" t="s">
        <v>545</v>
      </c>
      <c r="B161" s="1" t="s">
        <v>18</v>
      </c>
      <c r="C161" s="1" t="s">
        <v>546</v>
      </c>
      <c r="D161" s="1" t="s">
        <v>546</v>
      </c>
      <c r="E161" s="2">
        <v>45842.0</v>
      </c>
      <c r="F161" s="1" t="s">
        <v>21</v>
      </c>
      <c r="G161" s="1" t="s">
        <v>95</v>
      </c>
      <c r="H161" s="1" t="s">
        <v>547</v>
      </c>
      <c r="I161" s="1">
        <v>150.0</v>
      </c>
      <c r="J161" s="1" t="s">
        <v>24</v>
      </c>
      <c r="K161" s="1">
        <v>150.0</v>
      </c>
      <c r="L161" s="1">
        <v>150.0</v>
      </c>
      <c r="M161" s="1" t="s">
        <v>24</v>
      </c>
      <c r="N161" s="1" t="s">
        <v>24</v>
      </c>
      <c r="O161" s="1" t="s">
        <v>548</v>
      </c>
      <c r="P161" s="3" t="str">
        <f>HYPERLINK("https://icf.clappia.com/app/SOM165486/submission/AXU15352044/ICF247370-SOM165486-2642h9bigm65m0000000/SIG-20250704_141418978n.jpeg", "SIG-20250704_141418978n.jpeg")</f>
        <v>SIG-20250704_141418978n.jpeg</v>
      </c>
      <c r="Q161" s="3" t="str">
        <f>HYPERLINK("https://www.google.com/maps/place/7.9577715%2C-11.7418039", "7.9577715,-11.7418039")</f>
        <v>7.9577715,-11.7418039</v>
      </c>
    </row>
    <row r="162" ht="15.75" customHeight="1">
      <c r="A162" s="1" t="s">
        <v>549</v>
      </c>
      <c r="B162" s="1" t="s">
        <v>18</v>
      </c>
      <c r="C162" s="1" t="s">
        <v>550</v>
      </c>
      <c r="D162" s="1" t="s">
        <v>550</v>
      </c>
      <c r="E162" s="2">
        <v>45842.0</v>
      </c>
      <c r="F162" s="1" t="s">
        <v>21</v>
      </c>
      <c r="G162" s="1" t="s">
        <v>95</v>
      </c>
      <c r="H162" s="1" t="s">
        <v>547</v>
      </c>
      <c r="I162" s="1">
        <v>100.0</v>
      </c>
      <c r="J162" s="1" t="s">
        <v>24</v>
      </c>
      <c r="K162" s="1">
        <v>100.0</v>
      </c>
      <c r="L162" s="1">
        <v>100.0</v>
      </c>
      <c r="M162" s="1" t="s">
        <v>24</v>
      </c>
      <c r="N162" s="1" t="s">
        <v>24</v>
      </c>
      <c r="O162" s="1" t="s">
        <v>551</v>
      </c>
      <c r="P162" s="3" t="str">
        <f>HYPERLINK("https://icf.clappia.com/app/SOM165486/submission/HXF73918158/ICF247370-SOM165486-47pdl8ogchf400000000/SIG-20250704_141314ced2.jpeg", "SIG-20250704_141314ced2.jpeg")</f>
        <v>SIG-20250704_141314ced2.jpeg</v>
      </c>
      <c r="Q162" s="3" t="str">
        <f>HYPERLINK("https://www.google.com/maps/place/7.9577425%2C-11.7418754", "7.9577425,-11.7418754")</f>
        <v>7.9577425,-11.7418754</v>
      </c>
    </row>
    <row r="163" ht="15.75" customHeight="1">
      <c r="A163" s="1" t="s">
        <v>552</v>
      </c>
      <c r="B163" s="1" t="s">
        <v>18</v>
      </c>
      <c r="C163" s="1" t="s">
        <v>553</v>
      </c>
      <c r="D163" s="1" t="s">
        <v>553</v>
      </c>
      <c r="E163" s="2">
        <v>45842.0</v>
      </c>
      <c r="F163" s="1" t="s">
        <v>68</v>
      </c>
      <c r="G163" s="1" t="s">
        <v>88</v>
      </c>
      <c r="H163" s="1" t="s">
        <v>515</v>
      </c>
      <c r="I163" s="1">
        <v>150.0</v>
      </c>
      <c r="J163" s="1" t="s">
        <v>24</v>
      </c>
      <c r="K163" s="1">
        <v>150.0</v>
      </c>
      <c r="L163" s="1">
        <v>136.0</v>
      </c>
      <c r="M163" s="1">
        <v>14.0</v>
      </c>
      <c r="N163" s="1">
        <v>14.0</v>
      </c>
      <c r="O163" s="1" t="s">
        <v>554</v>
      </c>
      <c r="P163" s="3" t="str">
        <f>HYPERLINK("https://icf.clappia.com/app/SOM165486/submission/FPE88315636/ICF247370-SOM165486-1120l0bdn5p3m0000000/SIG-20250704_131725m51.jpeg", "SIG-20250704_131725m51.jpeg")</f>
        <v>SIG-20250704_131725m51.jpeg</v>
      </c>
      <c r="Q163" s="3" t="str">
        <f>HYPERLINK("https://www.google.com/maps/place/8.9035317%2C-12.0456583", "8.9035317,-12.0456583")</f>
        <v>8.9035317,-12.0456583</v>
      </c>
    </row>
    <row r="164" ht="15.75" customHeight="1">
      <c r="A164" s="1" t="s">
        <v>555</v>
      </c>
      <c r="B164" s="1" t="s">
        <v>18</v>
      </c>
      <c r="C164" s="1" t="s">
        <v>556</v>
      </c>
      <c r="D164" s="1" t="s">
        <v>556</v>
      </c>
      <c r="E164" s="2">
        <v>45842.0</v>
      </c>
      <c r="F164" s="1" t="s">
        <v>21</v>
      </c>
      <c r="G164" s="1" t="s">
        <v>129</v>
      </c>
      <c r="H164" s="1" t="s">
        <v>557</v>
      </c>
      <c r="I164" s="1">
        <v>51.0</v>
      </c>
      <c r="J164" s="1" t="s">
        <v>24</v>
      </c>
      <c r="K164" s="1">
        <v>51.0</v>
      </c>
      <c r="L164" s="1">
        <v>51.0</v>
      </c>
      <c r="M164" s="1" t="s">
        <v>24</v>
      </c>
      <c r="N164" s="1" t="s">
        <v>24</v>
      </c>
      <c r="O164" s="1" t="s">
        <v>558</v>
      </c>
      <c r="P164" s="3" t="str">
        <f>HYPERLINK("https://icf.clappia.com/app/SOM165486/submission/UYX30540712/ICF247370-SOM165486-3e6ii4785h5i00000000/SIG-20250704_1406137hkm.jpeg", "SIG-20250704_1406137hkm.jpeg")</f>
        <v>SIG-20250704_1406137hkm.jpeg</v>
      </c>
      <c r="Q164" s="3" t="str">
        <f>HYPERLINK("https://www.google.com/maps/place/7.5457473%2C-11.8059746", "7.5457473,-11.8059746")</f>
        <v>7.5457473,-11.8059746</v>
      </c>
    </row>
    <row r="165" ht="15.75" customHeight="1">
      <c r="A165" s="1" t="s">
        <v>559</v>
      </c>
      <c r="B165" s="1" t="s">
        <v>18</v>
      </c>
      <c r="C165" s="1" t="s">
        <v>560</v>
      </c>
      <c r="D165" s="1" t="s">
        <v>560</v>
      </c>
      <c r="E165" s="2">
        <v>45842.0</v>
      </c>
      <c r="F165" s="1" t="s">
        <v>21</v>
      </c>
      <c r="G165" s="1" t="s">
        <v>77</v>
      </c>
      <c r="H165" s="1" t="s">
        <v>561</v>
      </c>
      <c r="I165" s="1">
        <v>200.0</v>
      </c>
      <c r="J165" s="1" t="s">
        <v>24</v>
      </c>
      <c r="K165" s="1">
        <v>200.0</v>
      </c>
      <c r="L165" s="1">
        <v>200.0</v>
      </c>
      <c r="M165" s="1" t="s">
        <v>24</v>
      </c>
      <c r="N165" s="1" t="s">
        <v>24</v>
      </c>
      <c r="O165" s="1" t="s">
        <v>562</v>
      </c>
      <c r="P165" s="3" t="str">
        <f>HYPERLINK("https://icf.clappia.com/app/SOM165486/submission/CBX92119932/ICF247370-SOM165486-4gnli02p2iek00000000/SIG-20250704_135819obhp.jpeg", "SIG-20250704_135819obhp.jpeg")</f>
        <v>SIG-20250704_135819obhp.jpeg</v>
      </c>
      <c r="Q165" s="3" t="str">
        <f>HYPERLINK("https://www.google.com/maps/place/7.9458833%2C-11.737325", "7.9458833,-11.737325")</f>
        <v>7.9458833,-11.737325</v>
      </c>
    </row>
    <row r="166" ht="15.75" customHeight="1">
      <c r="A166" s="1" t="s">
        <v>563</v>
      </c>
      <c r="B166" s="1" t="s">
        <v>18</v>
      </c>
      <c r="C166" s="1" t="s">
        <v>564</v>
      </c>
      <c r="D166" s="1" t="s">
        <v>564</v>
      </c>
      <c r="E166" s="2">
        <v>45842.0</v>
      </c>
      <c r="F166" s="1" t="s">
        <v>68</v>
      </c>
      <c r="G166" s="1" t="s">
        <v>88</v>
      </c>
      <c r="H166" s="1" t="s">
        <v>515</v>
      </c>
      <c r="I166" s="1">
        <v>300.0</v>
      </c>
      <c r="J166" s="1" t="s">
        <v>24</v>
      </c>
      <c r="K166" s="1">
        <v>300.0</v>
      </c>
      <c r="L166" s="1">
        <v>177.0</v>
      </c>
      <c r="M166" s="1">
        <v>123.0</v>
      </c>
      <c r="N166" s="1">
        <v>123.0</v>
      </c>
      <c r="O166" s="1" t="s">
        <v>565</v>
      </c>
      <c r="P166" s="3" t="str">
        <f>HYPERLINK("https://icf.clappia.com/app/SOM165486/submission/VJI77290366/ICF247370-SOM165486-5ngnmakkama400000000/SIG-20250704_1353kjlmc.jpeg", "SIG-20250704_1353kjlmc.jpeg")</f>
        <v>SIG-20250704_1353kjlmc.jpeg</v>
      </c>
      <c r="Q166" s="3" t="str">
        <f>HYPERLINK("https://www.google.com/maps/place/8.9034333%2C-12.0453367", "8.9034333,-12.0453367")</f>
        <v>8.9034333,-12.0453367</v>
      </c>
    </row>
    <row r="167" ht="15.75" customHeight="1">
      <c r="A167" s="1" t="s">
        <v>566</v>
      </c>
      <c r="B167" s="1" t="s">
        <v>18</v>
      </c>
      <c r="C167" s="1" t="s">
        <v>567</v>
      </c>
      <c r="D167" s="1" t="s">
        <v>567</v>
      </c>
      <c r="E167" s="2">
        <v>45842.0</v>
      </c>
      <c r="F167" s="1" t="s">
        <v>21</v>
      </c>
      <c r="G167" s="1" t="s">
        <v>77</v>
      </c>
      <c r="H167" s="1" t="s">
        <v>568</v>
      </c>
      <c r="I167" s="1">
        <v>350.0</v>
      </c>
      <c r="J167" s="1" t="s">
        <v>24</v>
      </c>
      <c r="K167" s="1">
        <v>350.0</v>
      </c>
      <c r="L167" s="1">
        <v>308.0</v>
      </c>
      <c r="M167" s="1">
        <v>42.0</v>
      </c>
      <c r="N167" s="1">
        <v>42.0</v>
      </c>
      <c r="O167" s="1" t="s">
        <v>569</v>
      </c>
      <c r="P167" s="3" t="str">
        <f>HYPERLINK("https://icf.clappia.com/app/SOM165486/submission/MDW45269401/ICF247370-SOM165486-3e83d6omdg6o00000000/SIG-20250704_134710p3ap.jpeg", "SIG-20250704_134710p3ap.jpeg")</f>
        <v>SIG-20250704_134710p3ap.jpeg</v>
      </c>
      <c r="Q167" s="3" t="str">
        <f>HYPERLINK("https://www.google.com/maps/place/7.97248%2C-11.7159367", "7.97248,-11.7159367")</f>
        <v>7.97248,-11.7159367</v>
      </c>
    </row>
    <row r="168" ht="15.75" customHeight="1">
      <c r="A168" s="1" t="s">
        <v>570</v>
      </c>
      <c r="B168" s="1" t="s">
        <v>18</v>
      </c>
      <c r="C168" s="1" t="s">
        <v>567</v>
      </c>
      <c r="D168" s="1" t="s">
        <v>567</v>
      </c>
      <c r="E168" s="2">
        <v>45842.0</v>
      </c>
      <c r="F168" s="1" t="s">
        <v>68</v>
      </c>
      <c r="G168" s="1" t="s">
        <v>69</v>
      </c>
      <c r="H168" s="1" t="s">
        <v>571</v>
      </c>
      <c r="I168" s="1">
        <v>100.0</v>
      </c>
      <c r="J168" s="1" t="s">
        <v>24</v>
      </c>
      <c r="K168" s="1">
        <v>100.0</v>
      </c>
      <c r="L168" s="1">
        <v>71.0</v>
      </c>
      <c r="M168" s="1">
        <v>29.0</v>
      </c>
      <c r="N168" s="1" t="s">
        <v>24</v>
      </c>
      <c r="O168" s="1" t="s">
        <v>572</v>
      </c>
      <c r="P168" s="3" t="str">
        <f>HYPERLINK("https://icf.clappia.com/app/SOM165486/submission/RML97843664/ICF247370-SOM165486-11a3do65jmd7m0000000/SIG-20250704_1347o68gp.jpeg", "SIG-20250704_1347o68gp.jpeg")</f>
        <v>SIG-20250704_1347o68gp.jpeg</v>
      </c>
      <c r="Q168" s="3" t="str">
        <f>HYPERLINK("https://www.google.com/maps/place/8.8472214%2C-12.0940675", "8.8472214,-12.0940675")</f>
        <v>8.8472214,-12.0940675</v>
      </c>
    </row>
    <row r="169" ht="15.75" customHeight="1">
      <c r="A169" s="1" t="s">
        <v>573</v>
      </c>
      <c r="B169" s="1" t="s">
        <v>18</v>
      </c>
      <c r="C169" s="1" t="s">
        <v>49</v>
      </c>
      <c r="D169" s="1" t="s">
        <v>49</v>
      </c>
      <c r="E169" s="2">
        <v>45842.0</v>
      </c>
      <c r="F169" s="1" t="s">
        <v>21</v>
      </c>
      <c r="G169" s="1" t="s">
        <v>129</v>
      </c>
      <c r="H169" s="1" t="s">
        <v>557</v>
      </c>
      <c r="I169" s="1">
        <v>83.0</v>
      </c>
      <c r="J169" s="1" t="s">
        <v>24</v>
      </c>
      <c r="K169" s="1">
        <v>83.0</v>
      </c>
      <c r="L169" s="1">
        <v>70.0</v>
      </c>
      <c r="M169" s="1">
        <v>13.0</v>
      </c>
      <c r="N169" s="1">
        <v>13.0</v>
      </c>
      <c r="O169" s="1" t="s">
        <v>574</v>
      </c>
      <c r="P169" s="3" t="str">
        <f>HYPERLINK("https://icf.clappia.com/app/SOM165486/submission/FWS91031815/ICF247370-SOM165486-3bali5i4lokc00000000/SIG-20250704_100515gm7b.jpeg", "SIG-20250704_100515gm7b.jpeg")</f>
        <v>SIG-20250704_100515gm7b.jpeg</v>
      </c>
      <c r="Q169" s="3" t="str">
        <f>HYPERLINK("https://www.google.com/maps/place/7.5563517%2C-11.870275", "7.5563517,-11.870275")</f>
        <v>7.5563517,-11.870275</v>
      </c>
    </row>
    <row r="170" ht="15.75" customHeight="1">
      <c r="A170" s="1" t="s">
        <v>575</v>
      </c>
      <c r="B170" s="1" t="s">
        <v>18</v>
      </c>
      <c r="C170" s="1" t="s">
        <v>576</v>
      </c>
      <c r="D170" s="1" t="s">
        <v>576</v>
      </c>
      <c r="E170" s="2">
        <v>45842.0</v>
      </c>
      <c r="F170" s="1" t="s">
        <v>68</v>
      </c>
      <c r="G170" s="1" t="s">
        <v>69</v>
      </c>
      <c r="H170" s="1" t="s">
        <v>571</v>
      </c>
      <c r="I170" s="1">
        <v>200.0</v>
      </c>
      <c r="J170" s="1" t="s">
        <v>24</v>
      </c>
      <c r="K170" s="1">
        <v>200.0</v>
      </c>
      <c r="L170" s="1">
        <v>174.0</v>
      </c>
      <c r="M170" s="1">
        <v>26.0</v>
      </c>
      <c r="N170" s="1">
        <v>26.0</v>
      </c>
      <c r="O170" s="1" t="s">
        <v>577</v>
      </c>
      <c r="P170" s="3" t="str">
        <f>HYPERLINK("https://icf.clappia.com/app/SOM165486/submission/VTP30536426/ICF247370-SOM165486-2g76ijbd3ga200000000/SIG-20250704_13317p4f5.jpeg", "SIG-20250704_13317p4f5.jpeg")</f>
        <v>SIG-20250704_13317p4f5.jpeg</v>
      </c>
      <c r="Q170" s="3" t="str">
        <f>HYPERLINK("https://www.google.com/maps/place/8.8789796%2C-12.0770054", "8.8789796,-12.0770054")</f>
        <v>8.8789796,-12.0770054</v>
      </c>
    </row>
    <row r="171" ht="15.75" customHeight="1">
      <c r="A171" s="1" t="s">
        <v>578</v>
      </c>
      <c r="B171" s="1" t="s">
        <v>18</v>
      </c>
      <c r="C171" s="1" t="s">
        <v>579</v>
      </c>
      <c r="D171" s="1" t="s">
        <v>579</v>
      </c>
      <c r="E171" s="2">
        <v>45842.0</v>
      </c>
      <c r="F171" s="1" t="s">
        <v>21</v>
      </c>
      <c r="G171" s="1" t="s">
        <v>58</v>
      </c>
      <c r="H171" s="1" t="s">
        <v>580</v>
      </c>
      <c r="I171" s="1">
        <v>280.0</v>
      </c>
      <c r="J171" s="1" t="s">
        <v>24</v>
      </c>
      <c r="K171" s="1">
        <v>280.0</v>
      </c>
      <c r="L171" s="1">
        <v>280.0</v>
      </c>
      <c r="M171" s="1" t="s">
        <v>24</v>
      </c>
      <c r="N171" s="1" t="s">
        <v>24</v>
      </c>
      <c r="O171" s="1" t="s">
        <v>581</v>
      </c>
      <c r="P171" s="3" t="str">
        <f>HYPERLINK("https://icf.clappia.com/app/SOM165486/submission/UNJ31126591/ICF247370-SOM165486-5a3ip1j5nme800000000/SIG-20250704_133010acjc.jpeg", "SIG-20250704_133010acjc.jpeg")</f>
        <v>SIG-20250704_133010acjc.jpeg</v>
      </c>
      <c r="Q171" s="3" t="str">
        <f>HYPERLINK("https://www.google.com/maps/place/7.7610056%2C-11.7155475", "7.7610056,-11.7155475")</f>
        <v>7.7610056,-11.7155475</v>
      </c>
    </row>
    <row r="172" ht="15.75" customHeight="1">
      <c r="A172" s="1" t="s">
        <v>582</v>
      </c>
      <c r="B172" s="1" t="s">
        <v>283</v>
      </c>
      <c r="C172" s="1" t="s">
        <v>583</v>
      </c>
      <c r="D172" s="1" t="s">
        <v>56</v>
      </c>
      <c r="E172" s="2">
        <v>45842.0</v>
      </c>
      <c r="F172" s="1" t="s">
        <v>68</v>
      </c>
      <c r="G172" s="1" t="s">
        <v>69</v>
      </c>
      <c r="H172" s="1" t="s">
        <v>584</v>
      </c>
      <c r="I172" s="1">
        <v>97.0</v>
      </c>
      <c r="J172" s="1" t="s">
        <v>24</v>
      </c>
      <c r="K172" s="1">
        <v>97.0</v>
      </c>
      <c r="L172" s="1">
        <v>97.0</v>
      </c>
      <c r="M172" s="1" t="s">
        <v>24</v>
      </c>
      <c r="N172" s="1" t="s">
        <v>24</v>
      </c>
      <c r="O172" s="1" t="s">
        <v>585</v>
      </c>
      <c r="P172" s="3" t="str">
        <f>HYPERLINK("https://icf.clappia.com/app/SOM165486/submission/WPV70838366/ICF247370-SOM165486-3jlljohodi5200000000/SIG-20250704_1240hlc16.jpeg", "SIG-20250704_1240hlc16.jpeg")</f>
        <v>SIG-20250704_1240hlc16.jpeg</v>
      </c>
      <c r="Q172" s="3" t="str">
        <f>HYPERLINK("https://www.google.com/maps/place/8.7677%2C-12.1972933", "8.7677,-12.1972933")</f>
        <v>8.7677,-12.1972933</v>
      </c>
    </row>
    <row r="173" ht="15.75" customHeight="1">
      <c r="A173" s="1" t="s">
        <v>586</v>
      </c>
      <c r="B173" s="1" t="s">
        <v>18</v>
      </c>
      <c r="C173" s="1" t="s">
        <v>587</v>
      </c>
      <c r="D173" s="1" t="s">
        <v>587</v>
      </c>
      <c r="E173" s="2">
        <v>45841.0</v>
      </c>
      <c r="F173" s="1" t="s">
        <v>21</v>
      </c>
      <c r="G173" s="1" t="s">
        <v>129</v>
      </c>
      <c r="H173" s="1" t="s">
        <v>588</v>
      </c>
      <c r="I173" s="1">
        <v>125.0</v>
      </c>
      <c r="J173" s="1" t="s">
        <v>24</v>
      </c>
      <c r="K173" s="1">
        <v>125.0</v>
      </c>
      <c r="L173" s="1">
        <v>125.0</v>
      </c>
      <c r="M173" s="1" t="s">
        <v>24</v>
      </c>
      <c r="N173" s="1" t="s">
        <v>24</v>
      </c>
      <c r="O173" s="1" t="s">
        <v>589</v>
      </c>
      <c r="P173" s="3" t="str">
        <f>HYPERLINK("https://icf.clappia.com/app/SOM165486/submission/LJN17888316/ICF247370-SOM165486-68igmjaihac200000000/SIG-20250704_132592l4c.jpeg", "SIG-20250704_132592l4c.jpeg")</f>
        <v>SIG-20250704_132592l4c.jpeg</v>
      </c>
      <c r="Q173" s="3" t="str">
        <f>HYPERLINK("https://www.google.com/maps/place/7.642725%2C-11.792475", "7.642725,-11.792475")</f>
        <v>7.642725,-11.792475</v>
      </c>
    </row>
    <row r="174" ht="15.75" customHeight="1">
      <c r="A174" s="1" t="s">
        <v>590</v>
      </c>
      <c r="B174" s="1" t="s">
        <v>18</v>
      </c>
      <c r="C174" s="1" t="s">
        <v>591</v>
      </c>
      <c r="D174" s="1" t="s">
        <v>591</v>
      </c>
      <c r="E174" s="2">
        <v>45842.0</v>
      </c>
      <c r="F174" s="1" t="s">
        <v>68</v>
      </c>
      <c r="G174" s="1" t="s">
        <v>592</v>
      </c>
      <c r="H174" s="1" t="s">
        <v>593</v>
      </c>
      <c r="I174" s="1">
        <v>150.0</v>
      </c>
      <c r="J174" s="1" t="s">
        <v>24</v>
      </c>
      <c r="K174" s="1">
        <v>150.0</v>
      </c>
      <c r="L174" s="1">
        <v>145.0</v>
      </c>
      <c r="M174" s="1">
        <v>5.0</v>
      </c>
      <c r="N174" s="1">
        <v>5.0</v>
      </c>
      <c r="O174" s="1" t="s">
        <v>594</v>
      </c>
      <c r="P174" s="3" t="str">
        <f>HYPERLINK("https://icf.clappia.com/app/SOM165486/submission/YCD01491700/ICF247370-SOM165486-1f3ja9oemo6f20000000/SIG-20250704_1317gm19i.jpeg", "SIG-20250704_1317gm19i.jpeg")</f>
        <v>SIG-20250704_1317gm19i.jpeg</v>
      </c>
      <c r="Q174" s="3" t="str">
        <f>HYPERLINK("https://www.google.com/maps/place/8.9173017%2C-12.031325", "8.9173017,-12.031325")</f>
        <v>8.9173017,-12.031325</v>
      </c>
    </row>
    <row r="175" ht="15.75" customHeight="1">
      <c r="A175" s="1" t="s">
        <v>595</v>
      </c>
      <c r="B175" s="1" t="s">
        <v>18</v>
      </c>
      <c r="C175" s="1" t="s">
        <v>596</v>
      </c>
      <c r="D175" s="1" t="s">
        <v>596</v>
      </c>
      <c r="E175" s="2">
        <v>45842.0</v>
      </c>
      <c r="F175" s="1" t="s">
        <v>68</v>
      </c>
      <c r="G175" s="1" t="s">
        <v>597</v>
      </c>
      <c r="H175" s="1" t="s">
        <v>598</v>
      </c>
      <c r="I175" s="1">
        <v>68.0</v>
      </c>
      <c r="J175" s="1" t="s">
        <v>24</v>
      </c>
      <c r="K175" s="1">
        <v>68.0</v>
      </c>
      <c r="L175" s="1">
        <v>68.0</v>
      </c>
      <c r="M175" s="1" t="s">
        <v>24</v>
      </c>
      <c r="N175" s="1" t="s">
        <v>24</v>
      </c>
      <c r="O175" s="1" t="s">
        <v>599</v>
      </c>
      <c r="P175" s="3" t="str">
        <f>HYPERLINK("https://icf.clappia.com/app/SOM165486/submission/MWX61382766/ICF247370-SOM165486-1e30c5o3iilda0000000/SIG-20250704_131718nk1p.jpeg", "SIG-20250704_131718nk1p.jpeg")</f>
        <v>SIG-20250704_131718nk1p.jpeg</v>
      </c>
      <c r="Q175" s="3" t="str">
        <f>HYPERLINK("https://www.google.com/maps/place/8.6625233%2C-12.2455117", "8.6625233,-12.2455117")</f>
        <v>8.6625233,-12.2455117</v>
      </c>
    </row>
    <row r="176" ht="15.75" customHeight="1">
      <c r="A176" s="1" t="s">
        <v>600</v>
      </c>
      <c r="B176" s="1" t="s">
        <v>18</v>
      </c>
      <c r="C176" s="1" t="s">
        <v>601</v>
      </c>
      <c r="D176" s="1" t="s">
        <v>601</v>
      </c>
      <c r="E176" s="2">
        <v>45842.0</v>
      </c>
      <c r="F176" s="1" t="s">
        <v>21</v>
      </c>
      <c r="G176" s="1" t="s">
        <v>164</v>
      </c>
      <c r="H176" s="1" t="s">
        <v>602</v>
      </c>
      <c r="I176" s="1">
        <v>28.0</v>
      </c>
      <c r="J176" s="1" t="s">
        <v>24</v>
      </c>
      <c r="K176" s="1">
        <v>28.0</v>
      </c>
      <c r="L176" s="1">
        <v>28.0</v>
      </c>
      <c r="M176" s="1" t="s">
        <v>24</v>
      </c>
      <c r="N176" s="1" t="s">
        <v>24</v>
      </c>
      <c r="O176" s="1" t="s">
        <v>603</v>
      </c>
      <c r="P176" s="3" t="str">
        <f>HYPERLINK("https://icf.clappia.com/app/SOM165486/submission/XRM68312693/ICF247370-SOM165486-4lla5096861a00000000/SIG-20250704_1311ml46d.jpeg", "SIG-20250704_1311ml46d.jpeg")</f>
        <v>SIG-20250704_1311ml46d.jpeg</v>
      </c>
      <c r="Q176" s="3" t="str">
        <f>HYPERLINK("https://www.google.com/maps/place/7.9328303%2C-12.0466587", "7.9328303,-12.0466587")</f>
        <v>7.9328303,-12.0466587</v>
      </c>
    </row>
    <row r="177" ht="15.75" customHeight="1">
      <c r="A177" s="1" t="s">
        <v>604</v>
      </c>
      <c r="B177" s="1" t="s">
        <v>18</v>
      </c>
      <c r="C177" s="1" t="s">
        <v>605</v>
      </c>
      <c r="D177" s="1" t="s">
        <v>606</v>
      </c>
      <c r="E177" s="2">
        <v>45842.0</v>
      </c>
      <c r="F177" s="1" t="s">
        <v>21</v>
      </c>
      <c r="G177" s="1" t="s">
        <v>129</v>
      </c>
      <c r="H177" s="1" t="s">
        <v>607</v>
      </c>
      <c r="I177" s="1">
        <v>250.0</v>
      </c>
      <c r="J177" s="1" t="s">
        <v>24</v>
      </c>
      <c r="K177" s="1">
        <v>250.0</v>
      </c>
      <c r="L177" s="1">
        <v>212.0</v>
      </c>
      <c r="M177" s="1">
        <v>38.0</v>
      </c>
      <c r="N177" s="1">
        <v>38.0</v>
      </c>
      <c r="O177" s="1" t="s">
        <v>608</v>
      </c>
      <c r="P177" s="3" t="str">
        <f>HYPERLINK("https://icf.clappia.com/app/SOM165486/submission/FJQ85577210/ICF247370-SOM165486-7mf415e5156a0000000/SIG-20250704_12526jco1.jpeg", "SIG-20250704_12526jco1.jpeg")</f>
        <v>SIG-20250704_12526jco1.jpeg</v>
      </c>
      <c r="Q177" s="3" t="str">
        <f>HYPERLINK("https://www.google.com/maps/place/7.5752733%2C-11.93793", "7.5752733,-11.93793")</f>
        <v>7.5752733,-11.93793</v>
      </c>
    </row>
    <row r="178" ht="15.75" customHeight="1">
      <c r="A178" s="1" t="s">
        <v>609</v>
      </c>
      <c r="B178" s="1" t="s">
        <v>18</v>
      </c>
      <c r="C178" s="1" t="s">
        <v>610</v>
      </c>
      <c r="D178" s="1" t="s">
        <v>610</v>
      </c>
      <c r="E178" s="2">
        <v>45842.0</v>
      </c>
      <c r="F178" s="1" t="s">
        <v>21</v>
      </c>
      <c r="G178" s="1" t="s">
        <v>77</v>
      </c>
      <c r="H178" s="1" t="s">
        <v>611</v>
      </c>
      <c r="I178" s="1">
        <v>1697.0</v>
      </c>
      <c r="J178" s="1" t="s">
        <v>24</v>
      </c>
      <c r="K178" s="1">
        <v>1697.0</v>
      </c>
      <c r="L178" s="1">
        <v>964.0</v>
      </c>
      <c r="M178" s="1">
        <v>733.0</v>
      </c>
      <c r="N178" s="1">
        <v>733.0</v>
      </c>
      <c r="O178" s="1" t="s">
        <v>612</v>
      </c>
      <c r="P178" s="3" t="str">
        <f>HYPERLINK("https://icf.clappia.com/app/SOM165486/submission/QZU11065182/ICF247370-SOM165486-1ale8lief4c5e0000000/SIG-20250704_1306kdipc.jpeg", "SIG-20250704_1306kdipc.jpeg")</f>
        <v>SIG-20250704_1306kdipc.jpeg</v>
      </c>
      <c r="Q178" s="3" t="str">
        <f>HYPERLINK("https://www.google.com/maps/place/7.9653564%2C-11.7403169", "7.9653564,-11.7403169")</f>
        <v>7.9653564,-11.7403169</v>
      </c>
    </row>
    <row r="179" ht="15.75" customHeight="1">
      <c r="A179" s="1" t="s">
        <v>613</v>
      </c>
      <c r="B179" s="1" t="s">
        <v>18</v>
      </c>
      <c r="C179" s="1" t="s">
        <v>614</v>
      </c>
      <c r="D179" s="1" t="s">
        <v>610</v>
      </c>
      <c r="E179" s="2">
        <v>45842.0</v>
      </c>
      <c r="F179" s="1" t="s">
        <v>21</v>
      </c>
      <c r="G179" s="1" t="s">
        <v>95</v>
      </c>
      <c r="H179" s="1" t="s">
        <v>615</v>
      </c>
      <c r="I179" s="1">
        <v>106.0</v>
      </c>
      <c r="J179" s="1" t="s">
        <v>24</v>
      </c>
      <c r="K179" s="1">
        <v>106.0</v>
      </c>
      <c r="L179" s="1">
        <v>52.0</v>
      </c>
      <c r="M179" s="1">
        <v>54.0</v>
      </c>
      <c r="N179" s="1" t="s">
        <v>24</v>
      </c>
      <c r="O179" s="1" t="s">
        <v>616</v>
      </c>
      <c r="P179" s="3" t="str">
        <f>HYPERLINK("https://icf.clappia.com/app/SOM165486/submission/ZII08269045/ICF247370-SOM165486-5mf47b4jl2020000000/SIG-20250704_125612927j.jpeg", "SIG-20250704_125612927j.jpeg")</f>
        <v>SIG-20250704_125612927j.jpeg</v>
      </c>
    </row>
    <row r="180" ht="15.75" customHeight="1">
      <c r="A180" s="1" t="s">
        <v>617</v>
      </c>
      <c r="B180" s="1" t="s">
        <v>18</v>
      </c>
      <c r="C180" s="1" t="s">
        <v>618</v>
      </c>
      <c r="D180" s="1" t="s">
        <v>618</v>
      </c>
      <c r="E180" s="2">
        <v>45840.0</v>
      </c>
      <c r="F180" s="1" t="s">
        <v>21</v>
      </c>
      <c r="G180" s="1" t="s">
        <v>164</v>
      </c>
      <c r="H180" s="1" t="s">
        <v>619</v>
      </c>
      <c r="I180" s="1">
        <v>150.0</v>
      </c>
      <c r="J180" s="1" t="s">
        <v>24</v>
      </c>
      <c r="K180" s="1">
        <v>150.0</v>
      </c>
      <c r="L180" s="1">
        <v>150.0</v>
      </c>
      <c r="M180" s="1" t="s">
        <v>24</v>
      </c>
      <c r="N180" s="1" t="s">
        <v>24</v>
      </c>
      <c r="O180" s="1" t="s">
        <v>620</v>
      </c>
      <c r="P180" s="3" t="str">
        <f>HYPERLINK("https://icf.clappia.com/app/SOM165486/submission/NRC36307002/ICF247370-SOM165486-463o5c0g835a00000000/SIG-20250704_1305kd138.jpeg", "SIG-20250704_1305kd138.jpeg")</f>
        <v>SIG-20250704_1305kd138.jpeg</v>
      </c>
      <c r="Q180" s="3" t="str">
        <f>HYPERLINK("https://www.google.com/maps/place/7.8232133%2C-12.0149717", "7.8232133,-12.0149717")</f>
        <v>7.8232133,-12.0149717</v>
      </c>
    </row>
    <row r="181" ht="15.75" customHeight="1">
      <c r="A181" s="1" t="s">
        <v>621</v>
      </c>
      <c r="B181" s="1" t="s">
        <v>18</v>
      </c>
      <c r="C181" s="1" t="s">
        <v>622</v>
      </c>
      <c r="D181" s="1" t="s">
        <v>622</v>
      </c>
      <c r="E181" s="2">
        <v>45839.0</v>
      </c>
      <c r="F181" s="1" t="s">
        <v>21</v>
      </c>
      <c r="G181" s="1" t="s">
        <v>164</v>
      </c>
      <c r="H181" s="1" t="s">
        <v>619</v>
      </c>
      <c r="I181" s="1">
        <v>108.0</v>
      </c>
      <c r="J181" s="1" t="s">
        <v>24</v>
      </c>
      <c r="K181" s="1">
        <v>108.0</v>
      </c>
      <c r="L181" s="1">
        <v>108.0</v>
      </c>
      <c r="M181" s="1" t="s">
        <v>24</v>
      </c>
      <c r="N181" s="1" t="s">
        <v>24</v>
      </c>
      <c r="O181" s="1" t="s">
        <v>620</v>
      </c>
      <c r="P181" s="3" t="str">
        <f>HYPERLINK("https://icf.clappia.com/app/SOM165486/submission/ZWV93505298/ICF247370-SOM165486-46aa9idc3kk400000000/SIG-20250704_1303155ool.jpeg", "SIG-20250704_1303155ool.jpeg")</f>
        <v>SIG-20250704_1303155ool.jpeg</v>
      </c>
      <c r="Q181" s="3" t="str">
        <f>HYPERLINK("https://www.google.com/maps/place/7.8230683%2C-12.0150217", "7.8230683,-12.0150217")</f>
        <v>7.8230683,-12.0150217</v>
      </c>
    </row>
    <row r="182" ht="15.75" customHeight="1">
      <c r="A182" s="1" t="s">
        <v>623</v>
      </c>
      <c r="B182" s="1" t="s">
        <v>18</v>
      </c>
      <c r="C182" s="1" t="s">
        <v>624</v>
      </c>
      <c r="D182" s="1" t="s">
        <v>624</v>
      </c>
      <c r="E182" s="2">
        <v>45838.0</v>
      </c>
      <c r="F182" s="1" t="s">
        <v>21</v>
      </c>
      <c r="G182" s="1" t="s">
        <v>164</v>
      </c>
      <c r="H182" s="1" t="s">
        <v>619</v>
      </c>
      <c r="I182" s="1">
        <v>100.0</v>
      </c>
      <c r="J182" s="1">
        <v>50.0</v>
      </c>
      <c r="K182" s="1">
        <v>150.0</v>
      </c>
      <c r="L182" s="1">
        <v>150.0</v>
      </c>
      <c r="M182" s="1" t="s">
        <v>24</v>
      </c>
      <c r="N182" s="1" t="s">
        <v>24</v>
      </c>
      <c r="O182" s="1" t="s">
        <v>620</v>
      </c>
      <c r="P182" s="3" t="str">
        <f>HYPERLINK("https://icf.clappia.com/app/SOM165486/submission/TBK06540548/ICF247370-SOM165486-4lm9b8c38npa00000000/SIG-20250704_13013fbmj.jpeg", "SIG-20250704_13013fbmj.jpeg")</f>
        <v>SIG-20250704_13013fbmj.jpeg</v>
      </c>
      <c r="Q182" s="3" t="str">
        <f>HYPERLINK("https://www.google.com/maps/place/7.8234233%2C-12.0155433", "7.8234233,-12.0155433")</f>
        <v>7.8234233,-12.0155433</v>
      </c>
    </row>
    <row r="183" ht="15.75" customHeight="1">
      <c r="A183" s="1" t="s">
        <v>625</v>
      </c>
      <c r="B183" s="1" t="s">
        <v>283</v>
      </c>
      <c r="C183" s="1" t="s">
        <v>614</v>
      </c>
      <c r="D183" s="1" t="s">
        <v>614</v>
      </c>
      <c r="E183" s="2">
        <v>45842.0</v>
      </c>
      <c r="F183" s="1" t="s">
        <v>68</v>
      </c>
      <c r="G183" s="1" t="s">
        <v>340</v>
      </c>
      <c r="H183" s="1" t="s">
        <v>626</v>
      </c>
      <c r="I183" s="1">
        <v>200.0</v>
      </c>
      <c r="J183" s="1">
        <v>50.0</v>
      </c>
      <c r="K183" s="1">
        <v>250.0</v>
      </c>
      <c r="L183" s="1">
        <v>250.0</v>
      </c>
      <c r="M183" s="1" t="s">
        <v>24</v>
      </c>
      <c r="N183" s="1" t="s">
        <v>24</v>
      </c>
      <c r="O183" s="1" t="s">
        <v>627</v>
      </c>
      <c r="P183" s="3" t="str">
        <f>HYPERLINK("https://icf.clappia.com/app/SOM165486/submission/MED11428998/ICF247370-SOM165486-5nfpk2ce0ife00000000/SIG-20250704_1256f1iim.jpeg", "SIG-20250704_1256f1iim.jpeg")</f>
        <v>SIG-20250704_1256f1iim.jpeg</v>
      </c>
      <c r="Q183" s="3" t="str">
        <f>HYPERLINK("https://www.google.com/maps/place/9.1700674%2C-12.0158828", "9.1700674,-12.0158828")</f>
        <v>9.1700674,-12.0158828</v>
      </c>
    </row>
    <row r="184" ht="15.75" customHeight="1">
      <c r="A184" s="1" t="s">
        <v>628</v>
      </c>
      <c r="B184" s="1" t="s">
        <v>18</v>
      </c>
      <c r="C184" s="1" t="s">
        <v>629</v>
      </c>
      <c r="D184" s="1" t="s">
        <v>629</v>
      </c>
      <c r="E184" s="2">
        <v>45842.0</v>
      </c>
      <c r="F184" s="1" t="s">
        <v>68</v>
      </c>
      <c r="G184" s="1" t="s">
        <v>630</v>
      </c>
      <c r="H184" s="1" t="s">
        <v>631</v>
      </c>
      <c r="I184" s="1">
        <v>300.0</v>
      </c>
      <c r="J184" s="1" t="s">
        <v>24</v>
      </c>
      <c r="K184" s="1">
        <v>300.0</v>
      </c>
      <c r="L184" s="1">
        <v>265.0</v>
      </c>
      <c r="M184" s="1">
        <v>35.0</v>
      </c>
      <c r="N184" s="1">
        <v>35.0</v>
      </c>
      <c r="O184" s="1" t="s">
        <v>632</v>
      </c>
      <c r="P184" s="3" t="str">
        <f>HYPERLINK("https://icf.clappia.com/app/SOM165486/submission/BWK49316388/ICF247370-SOM165486-2knpebn2c4a000000000/SIG-20250704_125514e7o8.jpeg", "SIG-20250704_125514e7o8.jpeg")</f>
        <v>SIG-20250704_125514e7o8.jpeg</v>
      </c>
      <c r="Q184" s="3" t="str">
        <f>HYPERLINK("https://www.google.com/maps/place/9.25157%2C-12.1642949", "9.25157,-12.1642949")</f>
        <v>9.25157,-12.1642949</v>
      </c>
    </row>
    <row r="185" ht="15.75" customHeight="1">
      <c r="A185" s="1" t="s">
        <v>633</v>
      </c>
      <c r="B185" s="1" t="s">
        <v>18</v>
      </c>
      <c r="C185" s="1" t="s">
        <v>605</v>
      </c>
      <c r="D185" s="1" t="s">
        <v>605</v>
      </c>
      <c r="E185" s="2">
        <v>45842.0</v>
      </c>
      <c r="F185" s="1" t="s">
        <v>68</v>
      </c>
      <c r="G185" s="1" t="s">
        <v>88</v>
      </c>
      <c r="H185" s="1" t="s">
        <v>634</v>
      </c>
      <c r="I185" s="1">
        <v>200.0</v>
      </c>
      <c r="J185" s="1" t="s">
        <v>24</v>
      </c>
      <c r="K185" s="1">
        <v>200.0</v>
      </c>
      <c r="L185" s="1">
        <v>199.0</v>
      </c>
      <c r="M185" s="1">
        <v>1.0</v>
      </c>
      <c r="N185" s="1" t="s">
        <v>24</v>
      </c>
      <c r="O185" s="1" t="s">
        <v>635</v>
      </c>
      <c r="P185" s="3" t="str">
        <f>HYPERLINK("https://icf.clappia.com/app/SOM165486/submission/XGB90964084/ICF247370-SOM165486-2ad6109n09l1a0000000/SIG-20250704_092419kehm.jpeg", "SIG-20250704_092419kehm.jpeg")</f>
        <v>SIG-20250704_092419kehm.jpeg</v>
      </c>
      <c r="Q185" s="3" t="str">
        <f>HYPERLINK("https://www.google.com/maps/place/8.8914283%2C-12.036845", "8.8914283,-12.036845")</f>
        <v>8.8914283,-12.036845</v>
      </c>
    </row>
    <row r="186" ht="15.75" customHeight="1">
      <c r="A186" s="1" t="s">
        <v>636</v>
      </c>
      <c r="B186" s="1" t="s">
        <v>18</v>
      </c>
      <c r="C186" s="1" t="s">
        <v>637</v>
      </c>
      <c r="D186" s="1" t="s">
        <v>638</v>
      </c>
      <c r="E186" s="2">
        <v>45840.0</v>
      </c>
      <c r="F186" s="1" t="s">
        <v>21</v>
      </c>
      <c r="G186" s="1" t="s">
        <v>77</v>
      </c>
      <c r="H186" s="1" t="s">
        <v>639</v>
      </c>
      <c r="I186" s="1">
        <v>100.0</v>
      </c>
      <c r="J186" s="1" t="s">
        <v>24</v>
      </c>
      <c r="K186" s="1">
        <v>100.0</v>
      </c>
      <c r="L186" s="1">
        <v>75.0</v>
      </c>
      <c r="M186" s="1">
        <v>25.0</v>
      </c>
      <c r="N186" s="1">
        <v>25.0</v>
      </c>
      <c r="O186" s="1" t="s">
        <v>640</v>
      </c>
      <c r="P186" s="3" t="str">
        <f>HYPERLINK("https://icf.clappia.com/app/SOM165486/submission/TYQ20146525/ICF247370-SOM165486-53e94faf0c8c00000000/SIG-20250702_1114g6g2h.jpeg", "SIG-20250702_1114g6g2h.jpeg")</f>
        <v>SIG-20250702_1114g6g2h.jpeg</v>
      </c>
      <c r="Q186" s="3" t="str">
        <f>HYPERLINK("https://www.google.com/maps/place/7.950334%2C-11.7173269", "7.950334,-11.7173269")</f>
        <v>7.950334,-11.7173269</v>
      </c>
    </row>
    <row r="187" ht="15.75" customHeight="1">
      <c r="A187" s="1" t="s">
        <v>641</v>
      </c>
      <c r="B187" s="1" t="s">
        <v>18</v>
      </c>
      <c r="C187" s="1" t="s">
        <v>642</v>
      </c>
      <c r="D187" s="1" t="s">
        <v>638</v>
      </c>
      <c r="E187" s="2">
        <v>45840.0</v>
      </c>
      <c r="F187" s="1" t="s">
        <v>21</v>
      </c>
      <c r="G187" s="1" t="s">
        <v>77</v>
      </c>
      <c r="H187" s="1" t="s">
        <v>639</v>
      </c>
      <c r="I187" s="1">
        <v>100.0</v>
      </c>
      <c r="J187" s="1" t="s">
        <v>24</v>
      </c>
      <c r="K187" s="1">
        <v>100.0</v>
      </c>
      <c r="L187" s="1">
        <v>25.0</v>
      </c>
      <c r="M187" s="1">
        <v>75.0</v>
      </c>
      <c r="N187" s="1">
        <v>75.0</v>
      </c>
      <c r="O187" s="1" t="s">
        <v>640</v>
      </c>
      <c r="P187" s="3" t="str">
        <f>HYPERLINK("https://icf.clappia.com/app/SOM165486/submission/NLO29571278/ICF247370-SOM165486-a0bm1jodam0o0000000/SIG-20250702_1109156ag1.jpeg", "SIG-20250702_1109156ag1.jpeg")</f>
        <v>SIG-20250702_1109156ag1.jpeg</v>
      </c>
      <c r="Q187" s="3" t="str">
        <f>HYPERLINK("https://www.google.com/maps/place/7.9662274%2C-11.7230208", "7.9662274,-11.7230208")</f>
        <v>7.9662274,-11.7230208</v>
      </c>
    </row>
    <row r="188" ht="15.75" customHeight="1">
      <c r="A188" s="1" t="s">
        <v>643</v>
      </c>
      <c r="B188" s="1" t="s">
        <v>18</v>
      </c>
      <c r="C188" s="1" t="s">
        <v>644</v>
      </c>
      <c r="D188" s="1" t="s">
        <v>638</v>
      </c>
      <c r="E188" s="2">
        <v>45838.0</v>
      </c>
      <c r="F188" s="1" t="s">
        <v>21</v>
      </c>
      <c r="G188" s="1" t="s">
        <v>77</v>
      </c>
      <c r="H188" s="1" t="s">
        <v>639</v>
      </c>
      <c r="I188" s="1">
        <v>1159.0</v>
      </c>
      <c r="J188" s="1" t="s">
        <v>24</v>
      </c>
      <c r="K188" s="1">
        <v>1159.0</v>
      </c>
      <c r="L188" s="1">
        <v>78.0</v>
      </c>
      <c r="M188" s="1">
        <v>1081.0</v>
      </c>
      <c r="N188" s="1">
        <v>1081.0</v>
      </c>
      <c r="O188" s="1" t="s">
        <v>645</v>
      </c>
      <c r="P188" s="3" t="str">
        <f>HYPERLINK("https://icf.clappia.com/app/SOM165486/submission/EFP65973428/ICF247370-SOM165486-42f266mff5m000000000/SIG-20250630_1354acbl4.jpeg", "SIG-20250630_1354acbl4.jpeg")</f>
        <v>SIG-20250630_1354acbl4.jpeg</v>
      </c>
      <c r="Q188" s="3" t="str">
        <f>HYPERLINK("https://www.google.com/maps/place/7.9622234%2C-11.722665", "7.9622234,-11.722665")</f>
        <v>7.9622234,-11.722665</v>
      </c>
    </row>
    <row r="189" ht="15.75" customHeight="1">
      <c r="A189" s="1" t="s">
        <v>646</v>
      </c>
      <c r="B189" s="1" t="s">
        <v>18</v>
      </c>
      <c r="C189" s="1" t="s">
        <v>647</v>
      </c>
      <c r="D189" s="1" t="s">
        <v>648</v>
      </c>
      <c r="E189" s="2">
        <v>45841.0</v>
      </c>
      <c r="F189" s="1" t="s">
        <v>68</v>
      </c>
      <c r="G189" s="1" t="s">
        <v>69</v>
      </c>
      <c r="H189" s="1" t="s">
        <v>571</v>
      </c>
      <c r="I189" s="1">
        <v>200.0</v>
      </c>
      <c r="J189" s="1" t="s">
        <v>24</v>
      </c>
      <c r="K189" s="1">
        <v>200.0</v>
      </c>
      <c r="L189" s="1">
        <v>185.0</v>
      </c>
      <c r="M189" s="1">
        <v>15.0</v>
      </c>
      <c r="N189" s="1">
        <v>15.0</v>
      </c>
      <c r="O189" s="1" t="s">
        <v>649</v>
      </c>
      <c r="P189" s="3" t="str">
        <f>HYPERLINK("https://icf.clappia.com/app/SOM165486/submission/TWN45775271/ICF247370-SOM165486-10n3078mk01ck0000000/SIG-20250703_16306e9da.jpeg", "SIG-20250703_16306e9da.jpeg")</f>
        <v>SIG-20250703_16306e9da.jpeg</v>
      </c>
      <c r="Q189" s="3" t="str">
        <f>HYPERLINK("https://www.google.com/maps/place/8.82535%2C-12.0992033", "8.82535,-12.0992033")</f>
        <v>8.82535,-12.0992033</v>
      </c>
    </row>
    <row r="190" ht="15.75" customHeight="1">
      <c r="A190" s="1" t="s">
        <v>650</v>
      </c>
      <c r="B190" s="1" t="s">
        <v>18</v>
      </c>
      <c r="C190" s="1" t="s">
        <v>651</v>
      </c>
      <c r="D190" s="1" t="s">
        <v>651</v>
      </c>
      <c r="E190" s="2">
        <v>45842.0</v>
      </c>
      <c r="F190" s="1" t="s">
        <v>68</v>
      </c>
      <c r="G190" s="1" t="s">
        <v>630</v>
      </c>
      <c r="H190" s="1" t="s">
        <v>631</v>
      </c>
      <c r="I190" s="1">
        <v>300.0</v>
      </c>
      <c r="J190" s="1" t="s">
        <v>24</v>
      </c>
      <c r="K190" s="1">
        <v>300.0</v>
      </c>
      <c r="L190" s="1">
        <v>265.0</v>
      </c>
      <c r="M190" s="1">
        <v>35.0</v>
      </c>
      <c r="N190" s="1">
        <v>35.0</v>
      </c>
      <c r="O190" s="1" t="s">
        <v>632</v>
      </c>
      <c r="P190" s="3" t="str">
        <f>HYPERLINK("https://icf.clappia.com/app/SOM165486/submission/GAF52487412/ICF247370-SOM165486-1p0b3oak2ho720000000/SIG-20250704_1246ll27l.jpeg", "SIG-20250704_1246ll27l.jpeg")</f>
        <v>SIG-20250704_1246ll27l.jpeg</v>
      </c>
      <c r="Q190" s="3" t="str">
        <f>HYPERLINK("https://www.google.com/maps/place/9.2514833%2C-12.16411", "9.2514833,-12.16411")</f>
        <v>9.2514833,-12.16411</v>
      </c>
    </row>
    <row r="191" ht="15.75" customHeight="1">
      <c r="A191" s="1" t="s">
        <v>652</v>
      </c>
      <c r="B191" s="1" t="s">
        <v>18</v>
      </c>
      <c r="C191" s="1" t="s">
        <v>583</v>
      </c>
      <c r="D191" s="1" t="s">
        <v>583</v>
      </c>
      <c r="E191" s="2">
        <v>45842.0</v>
      </c>
      <c r="F191" s="1" t="s">
        <v>68</v>
      </c>
      <c r="G191" s="1" t="s">
        <v>83</v>
      </c>
      <c r="H191" s="1" t="s">
        <v>653</v>
      </c>
      <c r="I191" s="1">
        <v>200.0</v>
      </c>
      <c r="J191" s="1" t="s">
        <v>24</v>
      </c>
      <c r="K191" s="1">
        <v>200.0</v>
      </c>
      <c r="L191" s="1">
        <v>195.0</v>
      </c>
      <c r="M191" s="1">
        <v>5.0</v>
      </c>
      <c r="N191" s="1">
        <v>5.0</v>
      </c>
      <c r="O191" s="1" t="s">
        <v>654</v>
      </c>
      <c r="P191" s="3" t="str">
        <f>HYPERLINK("https://icf.clappia.com/app/SOM165486/submission/RUV71853806/ICF247370-SOM165486-42m99bid1p3000000000/SIG-20250704_1146146npk.jpeg", "SIG-20250704_1146146npk.jpeg")</f>
        <v>SIG-20250704_1146146npk.jpeg</v>
      </c>
      <c r="Q191" s="3" t="str">
        <f>HYPERLINK("https://www.google.com/maps/place/8.8569888%2C-12.0558135", "8.8569888,-12.0558135")</f>
        <v>8.8569888,-12.0558135</v>
      </c>
    </row>
    <row r="192" ht="15.75" customHeight="1">
      <c r="A192" s="1" t="s">
        <v>655</v>
      </c>
      <c r="B192" s="1" t="s">
        <v>18</v>
      </c>
      <c r="C192" s="1" t="s">
        <v>656</v>
      </c>
      <c r="D192" s="1" t="s">
        <v>656</v>
      </c>
      <c r="E192" s="2">
        <v>45842.0</v>
      </c>
      <c r="F192" s="1" t="s">
        <v>68</v>
      </c>
      <c r="G192" s="1" t="s">
        <v>69</v>
      </c>
      <c r="H192" s="1" t="s">
        <v>657</v>
      </c>
      <c r="I192" s="1">
        <v>250.0</v>
      </c>
      <c r="J192" s="1" t="s">
        <v>24</v>
      </c>
      <c r="K192" s="1">
        <v>250.0</v>
      </c>
      <c r="L192" s="1">
        <v>212.0</v>
      </c>
      <c r="M192" s="1">
        <v>38.0</v>
      </c>
      <c r="N192" s="1">
        <v>38.0</v>
      </c>
      <c r="O192" s="1" t="s">
        <v>658</v>
      </c>
      <c r="P192" s="3" t="str">
        <f>HYPERLINK("https://icf.clappia.com/app/SOM165486/submission/FNO36007853/ICF247370-SOM165486-390p6e7bo21400000000/SIG-20250704_12388klgg.jpeg", "SIG-20250704_12388klgg.jpeg")</f>
        <v>SIG-20250704_12388klgg.jpeg</v>
      </c>
      <c r="Q192" s="3" t="str">
        <f>HYPERLINK("https://www.google.com/maps/place/8.9169517%2C-12.1306017", "8.9169517,-12.1306017")</f>
        <v>8.9169517,-12.1306017</v>
      </c>
    </row>
    <row r="193" ht="15.75" customHeight="1">
      <c r="A193" s="1" t="s">
        <v>659</v>
      </c>
      <c r="B193" s="1" t="s">
        <v>18</v>
      </c>
      <c r="C193" s="1" t="s">
        <v>656</v>
      </c>
      <c r="D193" s="1" t="s">
        <v>656</v>
      </c>
      <c r="E193" s="2">
        <v>45842.0</v>
      </c>
      <c r="F193" s="1" t="s">
        <v>68</v>
      </c>
      <c r="G193" s="1" t="s">
        <v>69</v>
      </c>
      <c r="H193" s="1" t="s">
        <v>657</v>
      </c>
      <c r="I193" s="1">
        <v>250.0</v>
      </c>
      <c r="J193" s="1" t="s">
        <v>24</v>
      </c>
      <c r="K193" s="1">
        <v>250.0</v>
      </c>
      <c r="L193" s="1">
        <v>212.0</v>
      </c>
      <c r="M193" s="1">
        <v>38.0</v>
      </c>
      <c r="N193" s="1">
        <v>38.0</v>
      </c>
      <c r="O193" s="1" t="s">
        <v>658</v>
      </c>
      <c r="P193" s="3" t="str">
        <f>HYPERLINK("https://icf.clappia.com/app/SOM165486/submission/KFV22910049/ICF247370-SOM165486-3ehl686b4fpc0000000/SIG-20250704_1238k13o7.jpeg", "SIG-20250704_1238k13o7.jpeg")</f>
        <v>SIG-20250704_1238k13o7.jpeg</v>
      </c>
      <c r="Q193" s="3" t="str">
        <f>HYPERLINK("https://www.google.com/maps/place/8.916915%2C-12.1307533", "8.916915,-12.1307533")</f>
        <v>8.916915,-12.1307533</v>
      </c>
    </row>
    <row r="194" ht="15.75" customHeight="1">
      <c r="A194" s="1" t="s">
        <v>660</v>
      </c>
      <c r="B194" s="1" t="s">
        <v>283</v>
      </c>
      <c r="C194" s="1" t="s">
        <v>661</v>
      </c>
      <c r="D194" s="1" t="s">
        <v>661</v>
      </c>
      <c r="E194" s="2">
        <v>45842.0</v>
      </c>
      <c r="F194" s="1" t="s">
        <v>68</v>
      </c>
      <c r="G194" s="1" t="s">
        <v>69</v>
      </c>
      <c r="H194" s="1" t="s">
        <v>584</v>
      </c>
      <c r="I194" s="1">
        <v>27.0</v>
      </c>
      <c r="J194" s="1" t="s">
        <v>24</v>
      </c>
      <c r="K194" s="1">
        <v>27.0</v>
      </c>
      <c r="L194" s="1">
        <v>27.0</v>
      </c>
      <c r="M194" s="1" t="s">
        <v>24</v>
      </c>
      <c r="N194" s="1" t="s">
        <v>24</v>
      </c>
      <c r="O194" s="1" t="s">
        <v>662</v>
      </c>
      <c r="P194" s="3" t="str">
        <f>HYPERLINK("https://icf.clappia.com/app/SOM165486/submission/TKN80663591/ICF247370-SOM165486-46h8509ih43600000000/SIG-20250704_12293fb98.jpeg", "SIG-20250704_12293fb98.jpeg")</f>
        <v>SIG-20250704_12293fb98.jpeg</v>
      </c>
      <c r="Q194" s="3" t="str">
        <f>HYPERLINK("https://www.google.com/maps/place/8.7672%2C-12.1970517", "8.7672,-12.1970517")</f>
        <v>8.7672,-12.1970517</v>
      </c>
    </row>
    <row r="195" ht="15.75" customHeight="1">
      <c r="A195" s="1" t="s">
        <v>663</v>
      </c>
      <c r="B195" s="1" t="s">
        <v>18</v>
      </c>
      <c r="C195" s="1" t="s">
        <v>664</v>
      </c>
      <c r="D195" s="1" t="s">
        <v>664</v>
      </c>
      <c r="E195" s="2">
        <v>45842.0</v>
      </c>
      <c r="F195" s="1" t="s">
        <v>68</v>
      </c>
      <c r="G195" s="1" t="s">
        <v>592</v>
      </c>
      <c r="H195" s="1" t="s">
        <v>665</v>
      </c>
      <c r="I195" s="1">
        <v>130.0</v>
      </c>
      <c r="J195" s="1" t="s">
        <v>24</v>
      </c>
      <c r="K195" s="1">
        <v>130.0</v>
      </c>
      <c r="L195" s="1">
        <v>130.0</v>
      </c>
      <c r="M195" s="1" t="s">
        <v>24</v>
      </c>
      <c r="N195" s="1" t="s">
        <v>24</v>
      </c>
      <c r="O195" s="1" t="s">
        <v>666</v>
      </c>
      <c r="P195" s="3" t="str">
        <f>HYPERLINK("https://icf.clappia.com/app/SOM165486/submission/KRM37564991/ICF247370-SOM165486-b6g7ji546n840000000/SIG-20250704_1225h33cl.jpeg", "SIG-20250704_1225h33cl.jpeg")</f>
        <v>SIG-20250704_1225h33cl.jpeg</v>
      </c>
      <c r="Q195" s="3" t="str">
        <f>HYPERLINK("https://www.google.com/maps/place/8.8895377%2C-12.0541554", "8.8895377,-12.0541554")</f>
        <v>8.8895377,-12.0541554</v>
      </c>
    </row>
    <row r="196" ht="15.75" customHeight="1">
      <c r="A196" s="1" t="s">
        <v>667</v>
      </c>
      <c r="B196" s="1" t="s">
        <v>283</v>
      </c>
      <c r="C196" s="1" t="s">
        <v>668</v>
      </c>
      <c r="D196" s="1" t="s">
        <v>668</v>
      </c>
      <c r="E196" s="2">
        <v>45841.0</v>
      </c>
      <c r="F196" s="1" t="s">
        <v>68</v>
      </c>
      <c r="G196" s="1" t="s">
        <v>88</v>
      </c>
      <c r="H196" s="1" t="s">
        <v>634</v>
      </c>
      <c r="I196" s="1">
        <v>230.0</v>
      </c>
      <c r="J196" s="1" t="s">
        <v>24</v>
      </c>
      <c r="K196" s="1">
        <v>230.0</v>
      </c>
      <c r="L196" s="1">
        <v>230.0</v>
      </c>
      <c r="M196" s="1" t="s">
        <v>24</v>
      </c>
      <c r="N196" s="1" t="s">
        <v>24</v>
      </c>
      <c r="O196" s="1" t="s">
        <v>669</v>
      </c>
      <c r="P196" s="3" t="str">
        <f>HYPERLINK("https://icf.clappia.com/app/SOM165486/submission/PSM43362641/ICF247370-SOM165486-kpl2km40k4960000000/SIG-20250704_1226najad.jpeg", "SIG-20250704_1226najad.jpeg")</f>
        <v>SIG-20250704_1226najad.jpeg</v>
      </c>
      <c r="Q196" s="3" t="str">
        <f>HYPERLINK("https://www.google.com/maps/place/8.8912765%2C-12.0366133", "8.8912765,-12.0366133")</f>
        <v>8.8912765,-12.0366133</v>
      </c>
    </row>
    <row r="197" ht="15.75" customHeight="1">
      <c r="A197" s="1" t="s">
        <v>670</v>
      </c>
      <c r="B197" s="1" t="s">
        <v>18</v>
      </c>
      <c r="C197" s="1" t="s">
        <v>671</v>
      </c>
      <c r="D197" s="1" t="s">
        <v>671</v>
      </c>
      <c r="E197" s="2">
        <v>45841.0</v>
      </c>
      <c r="F197" s="1" t="s">
        <v>68</v>
      </c>
      <c r="G197" s="1" t="s">
        <v>672</v>
      </c>
      <c r="H197" s="1" t="s">
        <v>673</v>
      </c>
      <c r="I197" s="1">
        <v>300.0</v>
      </c>
      <c r="J197" s="1" t="s">
        <v>24</v>
      </c>
      <c r="K197" s="1">
        <v>300.0</v>
      </c>
      <c r="L197" s="1">
        <v>274.0</v>
      </c>
      <c r="M197" s="1">
        <v>26.0</v>
      </c>
      <c r="N197" s="1">
        <v>20.0</v>
      </c>
      <c r="O197" s="1" t="s">
        <v>674</v>
      </c>
      <c r="P197" s="3" t="str">
        <f>HYPERLINK("https://icf.clappia.com/app/SOM165486/submission/BQQ66394101/ICF247370-SOM165486-48oh0hel8cko00000000/SIG-20250702_1624b5711.jpeg", "SIG-20250702_1624b5711.jpeg")</f>
        <v>SIG-20250702_1624b5711.jpeg</v>
      </c>
      <c r="Q197" s="3" t="str">
        <f>HYPERLINK("https://www.google.com/maps/place/8.9504583%2C-11.9822567", "8.9504583,-11.9822567")</f>
        <v>8.9504583,-11.9822567</v>
      </c>
    </row>
    <row r="198" ht="15.75" customHeight="1">
      <c r="A198" s="1" t="s">
        <v>675</v>
      </c>
      <c r="B198" s="1" t="s">
        <v>18</v>
      </c>
      <c r="C198" s="1" t="s">
        <v>676</v>
      </c>
      <c r="D198" s="1" t="s">
        <v>676</v>
      </c>
      <c r="E198" s="2">
        <v>45842.0</v>
      </c>
      <c r="F198" s="1" t="s">
        <v>21</v>
      </c>
      <c r="G198" s="1" t="s">
        <v>58</v>
      </c>
      <c r="H198" s="1" t="s">
        <v>580</v>
      </c>
      <c r="I198" s="1">
        <v>265.0</v>
      </c>
      <c r="J198" s="1" t="s">
        <v>24</v>
      </c>
      <c r="K198" s="1">
        <v>265.0</v>
      </c>
      <c r="L198" s="1">
        <v>265.0</v>
      </c>
      <c r="M198" s="1" t="s">
        <v>24</v>
      </c>
      <c r="N198" s="1" t="s">
        <v>24</v>
      </c>
      <c r="O198" s="1" t="s">
        <v>677</v>
      </c>
      <c r="P198" s="3" t="str">
        <f>HYPERLINK("https://icf.clappia.com/app/SOM165486/submission/GXU41812389/ICF247370-SOM165486-15eb6i0ccmc6k0000000/SIG-20250704_12151279od.jpeg", "SIG-20250704_12151279od.jpeg")</f>
        <v>SIG-20250704_12151279od.jpeg</v>
      </c>
      <c r="Q198" s="3" t="str">
        <f>HYPERLINK("https://www.google.com/maps/place/7.780325%2C-11.724455", "7.780325,-11.724455")</f>
        <v>7.780325,-11.724455</v>
      </c>
    </row>
    <row r="199" ht="15.75" customHeight="1">
      <c r="A199" s="1" t="s">
        <v>678</v>
      </c>
      <c r="B199" s="1" t="s">
        <v>18</v>
      </c>
      <c r="C199" s="1" t="s">
        <v>676</v>
      </c>
      <c r="D199" s="1" t="s">
        <v>676</v>
      </c>
      <c r="E199" s="2">
        <v>45842.0</v>
      </c>
      <c r="F199" s="1" t="s">
        <v>68</v>
      </c>
      <c r="G199" s="1" t="s">
        <v>592</v>
      </c>
      <c r="H199" s="1" t="s">
        <v>665</v>
      </c>
      <c r="I199" s="1">
        <v>130.0</v>
      </c>
      <c r="J199" s="1" t="s">
        <v>24</v>
      </c>
      <c r="K199" s="1">
        <v>130.0</v>
      </c>
      <c r="L199" s="1">
        <v>130.0</v>
      </c>
      <c r="M199" s="1" t="s">
        <v>24</v>
      </c>
      <c r="N199" s="1" t="s">
        <v>24</v>
      </c>
      <c r="O199" s="1" t="s">
        <v>679</v>
      </c>
      <c r="P199" s="3" t="str">
        <f>HYPERLINK("https://icf.clappia.com/app/SOM165486/submission/YWH57385626/ICF247370-SOM165486-3p80lng1nbfo00000000/SIG-20250704_1220194a5p.jpeg", "SIG-20250704_1220194a5p.jpeg")</f>
        <v>SIG-20250704_1220194a5p.jpeg</v>
      </c>
      <c r="Q199" s="3" t="str">
        <f>HYPERLINK("https://www.google.com/maps/place/8.8895377%2C-12.0541554", "8.8895377,-12.0541554")</f>
        <v>8.8895377,-12.0541554</v>
      </c>
    </row>
    <row r="200" ht="15.75" customHeight="1">
      <c r="A200" s="1" t="s">
        <v>680</v>
      </c>
      <c r="B200" s="1" t="s">
        <v>18</v>
      </c>
      <c r="C200" s="1" t="s">
        <v>681</v>
      </c>
      <c r="D200" s="1" t="s">
        <v>681</v>
      </c>
      <c r="E200" s="2">
        <v>45842.0</v>
      </c>
      <c r="F200" s="1" t="s">
        <v>21</v>
      </c>
      <c r="G200" s="1" t="s">
        <v>129</v>
      </c>
      <c r="H200" s="1" t="s">
        <v>588</v>
      </c>
      <c r="I200" s="1">
        <v>202.0</v>
      </c>
      <c r="J200" s="1" t="s">
        <v>24</v>
      </c>
      <c r="K200" s="1">
        <v>202.0</v>
      </c>
      <c r="L200" s="1">
        <v>202.0</v>
      </c>
      <c r="M200" s="1" t="s">
        <v>24</v>
      </c>
      <c r="N200" s="1" t="s">
        <v>24</v>
      </c>
      <c r="O200" s="1" t="s">
        <v>682</v>
      </c>
      <c r="P200" s="3" t="str">
        <f>HYPERLINK("https://icf.clappia.com/app/SOM165486/submission/QWM40864057/ICF247370-SOM165486-13jcad5ikghk40000000/SIG-20250704_121310m657.jpeg", "SIG-20250704_121310m657.jpeg")</f>
        <v>SIG-20250704_121310m657.jpeg</v>
      </c>
      <c r="Q200" s="3" t="str">
        <f>HYPERLINK("https://www.google.com/maps/place/7.6426033%2C-11.7924683", "7.6426033,-11.7924683")</f>
        <v>7.6426033,-11.7924683</v>
      </c>
    </row>
    <row r="201" ht="15.75" customHeight="1">
      <c r="A201" s="1" t="s">
        <v>683</v>
      </c>
      <c r="B201" s="1" t="s">
        <v>18</v>
      </c>
      <c r="C201" s="1" t="s">
        <v>684</v>
      </c>
      <c r="D201" s="1" t="s">
        <v>684</v>
      </c>
      <c r="E201" s="2">
        <v>45842.0</v>
      </c>
      <c r="F201" s="1" t="s">
        <v>68</v>
      </c>
      <c r="G201" s="1" t="s">
        <v>630</v>
      </c>
      <c r="H201" s="1" t="s">
        <v>631</v>
      </c>
      <c r="I201" s="1">
        <v>157.0</v>
      </c>
      <c r="J201" s="1" t="s">
        <v>24</v>
      </c>
      <c r="K201" s="1">
        <v>157.0</v>
      </c>
      <c r="L201" s="1">
        <v>157.0</v>
      </c>
      <c r="M201" s="1" t="s">
        <v>24</v>
      </c>
      <c r="N201" s="1" t="s">
        <v>24</v>
      </c>
      <c r="O201" s="1" t="s">
        <v>632</v>
      </c>
      <c r="P201" s="3" t="str">
        <f>HYPERLINK("https://icf.clappia.com/app/SOM165486/submission/NPK18361257/ICF247370-SOM165486-3j689odhbp9600000000/SIG-20250704_12067mk23.jpeg", "SIG-20250704_12067mk23.jpeg")</f>
        <v>SIG-20250704_12067mk23.jpeg</v>
      </c>
      <c r="Q201" s="3" t="str">
        <f>HYPERLINK("https://www.google.com/maps/place/9.2248248%2C-12.2077711", "9.2248248,-12.2077711")</f>
        <v>9.2248248,-12.2077711</v>
      </c>
    </row>
    <row r="202" ht="15.75" customHeight="1">
      <c r="A202" s="1" t="s">
        <v>685</v>
      </c>
      <c r="B202" s="1" t="s">
        <v>18</v>
      </c>
      <c r="C202" s="1" t="s">
        <v>686</v>
      </c>
      <c r="D202" s="1" t="s">
        <v>686</v>
      </c>
      <c r="E202" s="2">
        <v>45841.0</v>
      </c>
      <c r="F202" s="1" t="s">
        <v>21</v>
      </c>
      <c r="G202" s="1" t="s">
        <v>35</v>
      </c>
      <c r="H202" s="1" t="s">
        <v>46</v>
      </c>
      <c r="I202" s="1">
        <v>627.0</v>
      </c>
      <c r="J202" s="1" t="s">
        <v>24</v>
      </c>
      <c r="K202" s="1">
        <v>627.0</v>
      </c>
      <c r="L202" s="1">
        <v>377.0</v>
      </c>
      <c r="M202" s="1">
        <v>250.0</v>
      </c>
      <c r="N202" s="1">
        <v>250.0</v>
      </c>
      <c r="O202" s="1" t="s">
        <v>687</v>
      </c>
      <c r="P202" s="3" t="str">
        <f>HYPERLINK("https://icf.clappia.com/app/SOM165486/submission/AYH69635337/ICF247370-SOM165486-17deen324di1m0000000/SIG-20250704_1202cal31.jpeg", "SIG-20250704_1202cal31.jpeg")</f>
        <v>SIG-20250704_1202cal31.jpeg</v>
      </c>
      <c r="Q202" s="3" t="str">
        <f>HYPERLINK("https://www.google.com/maps/place/8.4174888%2C-11.6700077", "8.4174888,-11.6700077")</f>
        <v>8.4174888,-11.6700077</v>
      </c>
    </row>
    <row r="203" ht="15.75" customHeight="1">
      <c r="A203" s="1" t="s">
        <v>688</v>
      </c>
      <c r="B203" s="1" t="s">
        <v>18</v>
      </c>
      <c r="C203" s="1" t="s">
        <v>689</v>
      </c>
      <c r="D203" s="1" t="s">
        <v>689</v>
      </c>
      <c r="E203" s="2">
        <v>45842.0</v>
      </c>
      <c r="F203" s="1" t="s">
        <v>21</v>
      </c>
      <c r="G203" s="1" t="s">
        <v>77</v>
      </c>
      <c r="H203" s="1" t="s">
        <v>568</v>
      </c>
      <c r="I203" s="1">
        <v>100.0</v>
      </c>
      <c r="J203" s="1" t="s">
        <v>24</v>
      </c>
      <c r="K203" s="1">
        <v>100.0</v>
      </c>
      <c r="L203" s="1">
        <v>95.0</v>
      </c>
      <c r="M203" s="1">
        <v>5.0</v>
      </c>
      <c r="N203" s="1">
        <v>5.0</v>
      </c>
      <c r="O203" s="1" t="s">
        <v>690</v>
      </c>
      <c r="P203" s="3" t="str">
        <f>HYPERLINK("https://icf.clappia.com/app/SOM165486/submission/NGL02407571/ICF247370-SOM165486-3o70ggai3pam00000000/SIG-20250704_1159l3158.jpeg", "SIG-20250704_1159l3158.jpeg")</f>
        <v>SIG-20250704_1159l3158.jpeg</v>
      </c>
      <c r="Q203" s="3" t="str">
        <f>HYPERLINK("https://www.google.com/maps/place/7.9709173%2C-11.7192617", "7.9709173,-11.7192617")</f>
        <v>7.9709173,-11.7192617</v>
      </c>
    </row>
    <row r="204" ht="15.75" customHeight="1">
      <c r="A204" s="1" t="s">
        <v>691</v>
      </c>
      <c r="B204" s="1" t="s">
        <v>18</v>
      </c>
      <c r="C204" s="1" t="s">
        <v>692</v>
      </c>
      <c r="D204" s="1" t="s">
        <v>692</v>
      </c>
      <c r="E204" s="2">
        <v>45842.0</v>
      </c>
      <c r="F204" s="1" t="s">
        <v>68</v>
      </c>
      <c r="G204" s="1" t="s">
        <v>592</v>
      </c>
      <c r="H204" s="1" t="s">
        <v>693</v>
      </c>
      <c r="I204" s="1">
        <v>60.0</v>
      </c>
      <c r="J204" s="1" t="s">
        <v>24</v>
      </c>
      <c r="K204" s="1">
        <v>60.0</v>
      </c>
      <c r="L204" s="1">
        <v>60.0</v>
      </c>
      <c r="M204" s="1" t="s">
        <v>24</v>
      </c>
      <c r="N204" s="1" t="s">
        <v>24</v>
      </c>
      <c r="O204" s="1" t="s">
        <v>694</v>
      </c>
      <c r="P204" s="3" t="str">
        <f>HYPERLINK("https://icf.clappia.com/app/SOM165486/submission/CTP92348837/ICF247370-SOM165486-1efg6kb0ld9jg0000000/SIG-20250704_11504od0k.jpeg", "SIG-20250704_11504od0k.jpeg")</f>
        <v>SIG-20250704_11504od0k.jpeg</v>
      </c>
      <c r="Q204" s="3" t="str">
        <f>HYPERLINK("https://www.google.com/maps/place/8.9174075%2C-12.0312905", "8.9174075,-12.0312905")</f>
        <v>8.9174075,-12.0312905</v>
      </c>
    </row>
    <row r="205" ht="15.75" customHeight="1">
      <c r="A205" s="1" t="s">
        <v>695</v>
      </c>
      <c r="B205" s="1" t="s">
        <v>18</v>
      </c>
      <c r="C205" s="1" t="s">
        <v>696</v>
      </c>
      <c r="D205" s="1" t="s">
        <v>692</v>
      </c>
      <c r="E205" s="2">
        <v>45840.0</v>
      </c>
      <c r="F205" s="1" t="s">
        <v>21</v>
      </c>
      <c r="G205" s="1" t="s">
        <v>95</v>
      </c>
      <c r="H205" s="1" t="s">
        <v>697</v>
      </c>
      <c r="I205" s="1">
        <v>150.0</v>
      </c>
      <c r="J205" s="1" t="s">
        <v>24</v>
      </c>
      <c r="K205" s="1">
        <v>150.0</v>
      </c>
      <c r="L205" s="1">
        <v>103.0</v>
      </c>
      <c r="M205" s="1">
        <v>47.0</v>
      </c>
      <c r="N205" s="1">
        <v>47.0</v>
      </c>
      <c r="O205" s="1" t="s">
        <v>698</v>
      </c>
      <c r="P205" s="3" t="str">
        <f>HYPERLINK("https://icf.clappia.com/app/SOM165486/submission/QVX47875638/ICF247370-SOM165486-3p3m0kh0p83i00000000/SIG-20250702_134417d3oc.jpeg", "SIG-20250702_134417d3oc.jpeg")</f>
        <v>SIG-20250702_134417d3oc.jpeg</v>
      </c>
      <c r="Q205" s="3" t="str">
        <f t="shared" ref="Q205:Q206" si="8">HYPERLINK("https://www.google.com/maps/place/7.9548783%2C-11.752175", "7.9548783,-11.752175")</f>
        <v>7.9548783,-11.752175</v>
      </c>
    </row>
    <row r="206" ht="15.75" customHeight="1">
      <c r="A206" s="1" t="s">
        <v>699</v>
      </c>
      <c r="B206" s="1" t="s">
        <v>18</v>
      </c>
      <c r="C206" s="1" t="s">
        <v>700</v>
      </c>
      <c r="D206" s="1" t="s">
        <v>692</v>
      </c>
      <c r="E206" s="2">
        <v>45839.0</v>
      </c>
      <c r="F206" s="1" t="s">
        <v>21</v>
      </c>
      <c r="G206" s="1" t="s">
        <v>95</v>
      </c>
      <c r="H206" s="1" t="s">
        <v>697</v>
      </c>
      <c r="I206" s="1">
        <v>100.0</v>
      </c>
      <c r="J206" s="1" t="s">
        <v>24</v>
      </c>
      <c r="K206" s="1">
        <v>100.0</v>
      </c>
      <c r="L206" s="1">
        <v>85.0</v>
      </c>
      <c r="M206" s="1">
        <v>15.0</v>
      </c>
      <c r="N206" s="1">
        <v>15.0</v>
      </c>
      <c r="O206" s="1" t="s">
        <v>698</v>
      </c>
      <c r="P206" s="3" t="str">
        <f>HYPERLINK("https://icf.clappia.com/app/SOM165486/submission/KSC44714179/ICF247370-SOM165486-2hgbd41m9p5600000000/SIG-20250702_1341mc868.jpeg", "SIG-20250702_1341mc868.jpeg")</f>
        <v>SIG-20250702_1341mc868.jpeg</v>
      </c>
      <c r="Q206" s="3" t="str">
        <f t="shared" si="8"/>
        <v>7.9548783,-11.752175</v>
      </c>
    </row>
    <row r="207" ht="15.75" customHeight="1">
      <c r="A207" s="1" t="s">
        <v>701</v>
      </c>
      <c r="B207" s="1" t="s">
        <v>18</v>
      </c>
      <c r="C207" s="1" t="s">
        <v>702</v>
      </c>
      <c r="D207" s="1" t="s">
        <v>692</v>
      </c>
      <c r="E207" s="2">
        <v>45838.0</v>
      </c>
      <c r="F207" s="1" t="s">
        <v>21</v>
      </c>
      <c r="G207" s="1" t="s">
        <v>95</v>
      </c>
      <c r="H207" s="1" t="s">
        <v>697</v>
      </c>
      <c r="I207" s="1">
        <v>100.0</v>
      </c>
      <c r="J207" s="1" t="s">
        <v>24</v>
      </c>
      <c r="K207" s="1">
        <v>100.0</v>
      </c>
      <c r="L207" s="1">
        <v>78.0</v>
      </c>
      <c r="M207" s="1">
        <v>22.0</v>
      </c>
      <c r="N207" s="1">
        <v>22.0</v>
      </c>
      <c r="O207" s="1" t="s">
        <v>698</v>
      </c>
      <c r="P207" s="3" t="str">
        <f>HYPERLINK("https://icf.clappia.com/app/SOM165486/submission/MBB24983264/ICF247370-SOM165486-3ce64316jjlm00000000/SIG-20250702_133916bog4.jpeg", "SIG-20250702_133916bog4.jpeg")</f>
        <v>SIG-20250702_133916bog4.jpeg</v>
      </c>
      <c r="Q207" s="3" t="str">
        <f>HYPERLINK("https://www.google.com/maps/place/7.9546867%2C-11.75233", "7.9546867,-11.75233")</f>
        <v>7.9546867,-11.75233</v>
      </c>
    </row>
    <row r="208" ht="15.75" customHeight="1">
      <c r="A208" s="1" t="s">
        <v>703</v>
      </c>
      <c r="B208" s="1" t="s">
        <v>18</v>
      </c>
      <c r="C208" s="1" t="s">
        <v>704</v>
      </c>
      <c r="D208" s="1" t="s">
        <v>704</v>
      </c>
      <c r="E208" s="2">
        <v>45842.0</v>
      </c>
      <c r="F208" s="1" t="s">
        <v>21</v>
      </c>
      <c r="G208" s="1" t="s">
        <v>164</v>
      </c>
      <c r="H208" s="1" t="s">
        <v>602</v>
      </c>
      <c r="I208" s="1">
        <v>58.0</v>
      </c>
      <c r="J208" s="1" t="s">
        <v>24</v>
      </c>
      <c r="K208" s="1">
        <v>58.0</v>
      </c>
      <c r="L208" s="1">
        <v>58.0</v>
      </c>
      <c r="M208" s="1" t="s">
        <v>24</v>
      </c>
      <c r="N208" s="1" t="s">
        <v>24</v>
      </c>
      <c r="O208" s="1" t="s">
        <v>603</v>
      </c>
      <c r="P208" s="3" t="str">
        <f>HYPERLINK("https://icf.clappia.com/app/SOM165486/submission/SSO41177014/ICF247370-SOM165486-46817m6d6k0o00000000/SIG-20250704_1146ab9fm.jpeg", "SIG-20250704_1146ab9fm.jpeg")</f>
        <v>SIG-20250704_1146ab9fm.jpeg</v>
      </c>
      <c r="Q208" s="3" t="str">
        <f>HYPERLINK("https://www.google.com/maps/place/7.928605%2C-12.0277433", "7.928605,-12.0277433")</f>
        <v>7.928605,-12.0277433</v>
      </c>
    </row>
    <row r="209" ht="15.75" customHeight="1">
      <c r="A209" s="1" t="s">
        <v>705</v>
      </c>
      <c r="B209" s="1" t="s">
        <v>18</v>
      </c>
      <c r="C209" s="1" t="s">
        <v>706</v>
      </c>
      <c r="D209" s="1" t="s">
        <v>706</v>
      </c>
      <c r="E209" s="2">
        <v>45842.0</v>
      </c>
      <c r="F209" s="1" t="s">
        <v>68</v>
      </c>
      <c r="G209" s="1" t="s">
        <v>286</v>
      </c>
      <c r="H209" s="1" t="s">
        <v>320</v>
      </c>
      <c r="I209" s="1">
        <v>200.0</v>
      </c>
      <c r="J209" s="1" t="s">
        <v>24</v>
      </c>
      <c r="K209" s="1">
        <v>200.0</v>
      </c>
      <c r="L209" s="1">
        <v>183.0</v>
      </c>
      <c r="M209" s="1">
        <v>17.0</v>
      </c>
      <c r="N209" s="1">
        <v>17.0</v>
      </c>
      <c r="O209" s="1" t="s">
        <v>707</v>
      </c>
      <c r="P209" s="3" t="str">
        <f>HYPERLINK("https://icf.clappia.com/app/SOM165486/submission/BNH31520129/ICF247370-SOM165486-2532oe7e906o80000000/SIG-20250703_1010nn1j0.jpeg", "SIG-20250703_1010nn1j0.jpeg")</f>
        <v>SIG-20250703_1010nn1j0.jpeg</v>
      </c>
    </row>
    <row r="210" ht="15.75" customHeight="1">
      <c r="A210" s="1" t="s">
        <v>708</v>
      </c>
      <c r="B210" s="1" t="s">
        <v>18</v>
      </c>
      <c r="C210" s="1" t="s">
        <v>709</v>
      </c>
      <c r="D210" s="1" t="s">
        <v>709</v>
      </c>
      <c r="E210" s="2">
        <v>45842.0</v>
      </c>
      <c r="F210" s="1" t="s">
        <v>21</v>
      </c>
      <c r="G210" s="1" t="s">
        <v>95</v>
      </c>
      <c r="H210" s="1" t="s">
        <v>710</v>
      </c>
      <c r="I210" s="1">
        <v>25.0</v>
      </c>
      <c r="J210" s="1" t="s">
        <v>24</v>
      </c>
      <c r="K210" s="1">
        <v>25.0</v>
      </c>
      <c r="L210" s="1">
        <v>25.0</v>
      </c>
      <c r="M210" s="1" t="s">
        <v>24</v>
      </c>
      <c r="N210" s="1" t="s">
        <v>24</v>
      </c>
      <c r="O210" s="1" t="s">
        <v>711</v>
      </c>
      <c r="P210" s="3" t="str">
        <f>HYPERLINK("https://icf.clappia.com/app/SOM165486/submission/VTM54216779/ICF247370-SOM165486-2lkbe1ha61no00000000/SIG-20250704_1140l54hc.jpeg", "SIG-20250704_1140l54hc.jpeg")</f>
        <v>SIG-20250704_1140l54hc.jpeg</v>
      </c>
      <c r="Q210" s="3" t="str">
        <f>HYPERLINK("https://www.google.com/maps/place/7.947595%2C-11.70177", "7.947595,-11.70177")</f>
        <v>7.947595,-11.70177</v>
      </c>
    </row>
    <row r="211" ht="15.75" customHeight="1">
      <c r="A211" s="1" t="s">
        <v>712</v>
      </c>
      <c r="B211" s="1" t="s">
        <v>18</v>
      </c>
      <c r="C211" s="1" t="s">
        <v>713</v>
      </c>
      <c r="D211" s="1" t="s">
        <v>713</v>
      </c>
      <c r="E211" s="2">
        <v>45842.0</v>
      </c>
      <c r="F211" s="1" t="s">
        <v>68</v>
      </c>
      <c r="G211" s="1" t="s">
        <v>340</v>
      </c>
      <c r="H211" s="1" t="s">
        <v>714</v>
      </c>
      <c r="I211" s="1">
        <v>276.0</v>
      </c>
      <c r="J211" s="1" t="s">
        <v>24</v>
      </c>
      <c r="K211" s="1">
        <v>276.0</v>
      </c>
      <c r="L211" s="1">
        <v>276.0</v>
      </c>
      <c r="M211" s="1" t="s">
        <v>24</v>
      </c>
      <c r="N211" s="1" t="s">
        <v>24</v>
      </c>
      <c r="O211" s="1" t="s">
        <v>715</v>
      </c>
      <c r="P211" s="3" t="str">
        <f>HYPERLINK("https://icf.clappia.com/app/SOM165486/submission/YPQ07686657/ICF247370-SOM165486-43mn7bpk5emm00000000/SIG-20250704_113388bp8.jpeg", "SIG-20250704_113388bp8.jpeg")</f>
        <v>SIG-20250704_113388bp8.jpeg</v>
      </c>
      <c r="Q211" s="3" t="str">
        <f>HYPERLINK("https://www.google.com/maps/place/9.1570236%2C-11.9614186", "9.1570236,-11.9614186")</f>
        <v>9.1570236,-11.9614186</v>
      </c>
    </row>
    <row r="212" ht="15.75" customHeight="1">
      <c r="A212" s="1" t="s">
        <v>716</v>
      </c>
      <c r="B212" s="1" t="s">
        <v>18</v>
      </c>
      <c r="C212" s="1" t="s">
        <v>717</v>
      </c>
      <c r="D212" s="1" t="s">
        <v>717</v>
      </c>
      <c r="E212" s="2">
        <v>45842.0</v>
      </c>
      <c r="F212" s="1" t="s">
        <v>68</v>
      </c>
      <c r="G212" s="1" t="s">
        <v>325</v>
      </c>
      <c r="H212" s="1" t="s">
        <v>718</v>
      </c>
      <c r="I212" s="1">
        <v>129.0</v>
      </c>
      <c r="J212" s="1" t="s">
        <v>24</v>
      </c>
      <c r="K212" s="1">
        <v>129.0</v>
      </c>
      <c r="L212" s="1">
        <v>127.0</v>
      </c>
      <c r="M212" s="1">
        <v>2.0</v>
      </c>
      <c r="N212" s="1" t="s">
        <v>24</v>
      </c>
      <c r="O212" s="1" t="s">
        <v>719</v>
      </c>
      <c r="P212" s="3" t="str">
        <f>HYPERLINK("https://icf.clappia.com/app/SOM165486/submission/EYS51640300/ICF247370-SOM165486-6aniic0khgg000000000/SIG-20250704_11291a9b46.jpeg", "SIG-20250704_11291a9b46.jpeg")</f>
        <v>SIG-20250704_11291a9b46.jpeg</v>
      </c>
      <c r="Q212" s="3" t="str">
        <f>HYPERLINK("https://www.google.com/maps/place/8.7204869%2C-11.9728012", "8.7204869,-11.9728012")</f>
        <v>8.7204869,-11.9728012</v>
      </c>
    </row>
    <row r="213" ht="15.75" customHeight="1">
      <c r="A213" s="1" t="s">
        <v>720</v>
      </c>
      <c r="B213" s="1" t="s">
        <v>18</v>
      </c>
      <c r="C213" s="1" t="s">
        <v>721</v>
      </c>
      <c r="D213" s="1" t="s">
        <v>721</v>
      </c>
      <c r="E213" s="2">
        <v>45842.0</v>
      </c>
      <c r="F213" s="1" t="s">
        <v>21</v>
      </c>
      <c r="G213" s="1" t="s">
        <v>722</v>
      </c>
      <c r="H213" s="1" t="s">
        <v>723</v>
      </c>
      <c r="I213" s="1">
        <v>55.0</v>
      </c>
      <c r="J213" s="1" t="s">
        <v>24</v>
      </c>
      <c r="K213" s="1">
        <v>55.0</v>
      </c>
      <c r="L213" s="1">
        <v>39.0</v>
      </c>
      <c r="M213" s="1">
        <v>16.0</v>
      </c>
      <c r="N213" s="1">
        <v>16.0</v>
      </c>
      <c r="O213" s="1" t="s">
        <v>724</v>
      </c>
      <c r="P213" s="3" t="str">
        <f>HYPERLINK("https://icf.clappia.com/app/SOM165486/submission/NCC94961677/ICF247370-SOM165486-4oce3l67lgo20000000/SIG-20250704_112719c0af.jpeg", "SIG-20250704_112719c0af.jpeg")</f>
        <v>SIG-20250704_112719c0af.jpeg</v>
      </c>
      <c r="Q213" s="3" t="str">
        <f>HYPERLINK("https://www.google.com/maps/place/8.1382367%2C-11.686175", "8.1382367,-11.686175")</f>
        <v>8.1382367,-11.686175</v>
      </c>
    </row>
    <row r="214" ht="15.75" customHeight="1">
      <c r="A214" s="1" t="s">
        <v>725</v>
      </c>
      <c r="B214" s="1" t="s">
        <v>18</v>
      </c>
      <c r="C214" s="1" t="s">
        <v>726</v>
      </c>
      <c r="D214" s="1" t="s">
        <v>726</v>
      </c>
      <c r="E214" s="2">
        <v>45841.0</v>
      </c>
      <c r="F214" s="1" t="s">
        <v>68</v>
      </c>
      <c r="G214" s="1" t="s">
        <v>340</v>
      </c>
      <c r="H214" s="1" t="s">
        <v>341</v>
      </c>
      <c r="I214" s="1">
        <v>200.0</v>
      </c>
      <c r="J214" s="1" t="s">
        <v>24</v>
      </c>
      <c r="K214" s="1">
        <v>200.0</v>
      </c>
      <c r="L214" s="1">
        <v>165.0</v>
      </c>
      <c r="M214" s="1">
        <v>35.0</v>
      </c>
      <c r="N214" s="1">
        <v>35.0</v>
      </c>
      <c r="O214" s="1" t="s">
        <v>342</v>
      </c>
      <c r="P214" s="3" t="str">
        <f>HYPERLINK("https://icf.clappia.com/app/SOM165486/submission/DLT40588148/ICF247370-SOM165486-1oae49bglikco0000000/SIG-20250703_165219o4eh.jpeg", "SIG-20250703_165219o4eh.jpeg")</f>
        <v>SIG-20250703_165219o4eh.jpeg</v>
      </c>
      <c r="Q214" s="3" t="str">
        <f>HYPERLINK("https://www.google.com/maps/place/9.3289517%2C-11.8549633", "9.3289517,-11.8549633")</f>
        <v>9.3289517,-11.8549633</v>
      </c>
    </row>
    <row r="215" ht="15.75" customHeight="1">
      <c r="A215" s="1" t="s">
        <v>727</v>
      </c>
      <c r="B215" s="1" t="s">
        <v>18</v>
      </c>
      <c r="C215" s="1" t="s">
        <v>726</v>
      </c>
      <c r="D215" s="1" t="s">
        <v>726</v>
      </c>
      <c r="E215" s="2">
        <v>45842.0</v>
      </c>
      <c r="F215" s="1" t="s">
        <v>21</v>
      </c>
      <c r="G215" s="1" t="s">
        <v>58</v>
      </c>
      <c r="H215" s="1" t="s">
        <v>728</v>
      </c>
      <c r="I215" s="1">
        <v>350.0</v>
      </c>
      <c r="J215" s="1" t="s">
        <v>24</v>
      </c>
      <c r="K215" s="1">
        <v>350.0</v>
      </c>
      <c r="L215" s="1">
        <v>212.0</v>
      </c>
      <c r="M215" s="1">
        <v>138.0</v>
      </c>
      <c r="N215" s="1">
        <v>138.0</v>
      </c>
      <c r="O215" s="1" t="s">
        <v>729</v>
      </c>
      <c r="P215" s="3" t="str">
        <f>HYPERLINK("https://icf.clappia.com/app/SOM165486/submission/YCI33338950/ICF247370-SOM165486-i58foi9pfcog0000000/SIG-20250704_1126np9dc.jpeg", "SIG-20250704_1126np9dc.jpeg")</f>
        <v>SIG-20250704_1126np9dc.jpeg</v>
      </c>
      <c r="Q215" s="3" t="str">
        <f>HYPERLINK("https://www.google.com/maps/place/7.7585917%2C-11.8116317", "7.7585917,-11.8116317")</f>
        <v>7.7585917,-11.8116317</v>
      </c>
    </row>
    <row r="216" ht="15.75" customHeight="1">
      <c r="A216" s="1" t="s">
        <v>730</v>
      </c>
      <c r="B216" s="1" t="s">
        <v>18</v>
      </c>
      <c r="C216" s="1" t="s">
        <v>731</v>
      </c>
      <c r="D216" s="1" t="s">
        <v>731</v>
      </c>
      <c r="E216" s="2">
        <v>45842.0</v>
      </c>
      <c r="F216" s="1" t="s">
        <v>21</v>
      </c>
      <c r="G216" s="1" t="s">
        <v>58</v>
      </c>
      <c r="H216" s="1" t="s">
        <v>732</v>
      </c>
      <c r="I216" s="1">
        <v>115.0</v>
      </c>
      <c r="J216" s="1" t="s">
        <v>24</v>
      </c>
      <c r="K216" s="1">
        <v>115.0</v>
      </c>
      <c r="L216" s="1">
        <v>93.0</v>
      </c>
      <c r="M216" s="1">
        <v>22.0</v>
      </c>
      <c r="N216" s="1">
        <v>22.0</v>
      </c>
      <c r="O216" s="1" t="s">
        <v>733</v>
      </c>
      <c r="P216" s="3" t="str">
        <f>HYPERLINK("https://icf.clappia.com/app/SOM165486/submission/ZZI42358647/ICF247370-SOM165486-656nc5kk23h600000000/SIG-20250704_1114nh7ji.jpeg", "SIG-20250704_1114nh7ji.jpeg")</f>
        <v>SIG-20250704_1114nh7ji.jpeg</v>
      </c>
      <c r="Q216" s="3" t="str">
        <f>HYPERLINK("https://www.google.com/maps/place/7.928265%2C-11.72833", "7.928265,-11.72833")</f>
        <v>7.928265,-11.72833</v>
      </c>
    </row>
    <row r="217" ht="15.75" customHeight="1">
      <c r="A217" s="1" t="s">
        <v>734</v>
      </c>
      <c r="B217" s="1" t="s">
        <v>18</v>
      </c>
      <c r="C217" s="1" t="s">
        <v>735</v>
      </c>
      <c r="D217" s="1" t="s">
        <v>735</v>
      </c>
      <c r="E217" s="2">
        <v>45842.0</v>
      </c>
      <c r="F217" s="1" t="s">
        <v>68</v>
      </c>
      <c r="G217" s="1" t="s">
        <v>88</v>
      </c>
      <c r="H217" s="1" t="s">
        <v>634</v>
      </c>
      <c r="I217" s="1">
        <v>300.0</v>
      </c>
      <c r="J217" s="1" t="s">
        <v>24</v>
      </c>
      <c r="K217" s="1">
        <v>300.0</v>
      </c>
      <c r="L217" s="1">
        <v>163.0</v>
      </c>
      <c r="M217" s="1">
        <v>137.0</v>
      </c>
      <c r="N217" s="1">
        <v>137.0</v>
      </c>
      <c r="O217" s="1" t="s">
        <v>736</v>
      </c>
      <c r="P217" s="3" t="str">
        <f>HYPERLINK("https://icf.clappia.com/app/SOM165486/submission/IIV50684207/ICF247370-SOM165486-1np7pbi06loei0000000/SIG-20250704_0957jglka.jpeg", "SIG-20250704_0957jglka.jpeg")</f>
        <v>SIG-20250704_0957jglka.jpeg</v>
      </c>
      <c r="Q217" s="3" t="str">
        <f>HYPERLINK("https://www.google.com/maps/place/8.8910677%2C-12.0362305", "8.8910677,-12.0362305")</f>
        <v>8.8910677,-12.0362305</v>
      </c>
    </row>
    <row r="218" ht="15.75" customHeight="1">
      <c r="A218" s="1" t="s">
        <v>737</v>
      </c>
      <c r="B218" s="1" t="s">
        <v>18</v>
      </c>
      <c r="C218" s="1" t="s">
        <v>738</v>
      </c>
      <c r="D218" s="1" t="s">
        <v>738</v>
      </c>
      <c r="E218" s="2">
        <v>45842.0</v>
      </c>
      <c r="F218" s="1" t="s">
        <v>68</v>
      </c>
      <c r="G218" s="1" t="s">
        <v>597</v>
      </c>
      <c r="H218" s="1" t="s">
        <v>739</v>
      </c>
      <c r="I218" s="1">
        <v>99.0</v>
      </c>
      <c r="J218" s="1" t="s">
        <v>24</v>
      </c>
      <c r="K218" s="1">
        <v>99.0</v>
      </c>
      <c r="L218" s="1">
        <v>57.0</v>
      </c>
      <c r="M218" s="1">
        <v>42.0</v>
      </c>
      <c r="N218" s="1">
        <v>42.0</v>
      </c>
      <c r="O218" s="1" t="s">
        <v>740</v>
      </c>
      <c r="P218" s="3" t="str">
        <f>HYPERLINK("https://icf.clappia.com/app/SOM165486/submission/DUJ82967854/ICF247370-SOM165486-1lhgdj20odaco0000000/SIG-20250704_1034d1cf3.jpeg", "SIG-20250704_1034d1cf3.jpeg")</f>
        <v>SIG-20250704_1034d1cf3.jpeg</v>
      </c>
      <c r="Q218" s="3" t="str">
        <f>HYPERLINK("https://www.google.com/maps/place/8.7017667%2C-12.1408783", "8.7017667,-12.1408783")</f>
        <v>8.7017667,-12.1408783</v>
      </c>
    </row>
    <row r="219" ht="15.75" customHeight="1">
      <c r="A219" s="1" t="s">
        <v>741</v>
      </c>
      <c r="B219" s="1" t="s">
        <v>18</v>
      </c>
      <c r="C219" s="1" t="s">
        <v>738</v>
      </c>
      <c r="D219" s="1" t="s">
        <v>738</v>
      </c>
      <c r="E219" s="2">
        <v>45842.0</v>
      </c>
      <c r="F219" s="1" t="s">
        <v>68</v>
      </c>
      <c r="G219" s="1" t="s">
        <v>340</v>
      </c>
      <c r="H219" s="1" t="s">
        <v>742</v>
      </c>
      <c r="I219" s="1">
        <v>100.0</v>
      </c>
      <c r="J219" s="1" t="s">
        <v>24</v>
      </c>
      <c r="K219" s="1">
        <v>100.0</v>
      </c>
      <c r="L219" s="1">
        <v>60.0</v>
      </c>
      <c r="M219" s="1">
        <v>40.0</v>
      </c>
      <c r="N219" s="1">
        <v>40.0</v>
      </c>
      <c r="O219" s="1" t="s">
        <v>554</v>
      </c>
      <c r="P219" s="3" t="str">
        <f>HYPERLINK("https://icf.clappia.com/app/SOM165486/submission/HEK43339807/ICF247370-SOM165486-4cj7f4hlm5f800000000/SIG-20250704_1034phb57.jpeg", "SIG-20250704_1034phb57.jpeg")</f>
        <v>SIG-20250704_1034phb57.jpeg</v>
      </c>
      <c r="Q219" s="3" t="str">
        <f>HYPERLINK("https://www.google.com/maps/place/9.1348733%2C-11.9593983", "9.1348733,-11.9593983")</f>
        <v>9.1348733,-11.9593983</v>
      </c>
    </row>
    <row r="220" ht="15.75" customHeight="1">
      <c r="A220" s="1" t="s">
        <v>743</v>
      </c>
      <c r="B220" s="1" t="s">
        <v>18</v>
      </c>
      <c r="C220" s="1" t="s">
        <v>744</v>
      </c>
      <c r="D220" s="1" t="s">
        <v>745</v>
      </c>
      <c r="E220" s="2">
        <v>45841.0</v>
      </c>
      <c r="F220" s="1" t="s">
        <v>68</v>
      </c>
      <c r="G220" s="1" t="s">
        <v>69</v>
      </c>
      <c r="H220" s="1" t="s">
        <v>657</v>
      </c>
      <c r="I220" s="1">
        <v>100.0</v>
      </c>
      <c r="J220" s="1" t="s">
        <v>24</v>
      </c>
      <c r="K220" s="1">
        <v>100.0</v>
      </c>
      <c r="L220" s="1">
        <v>100.0</v>
      </c>
      <c r="M220" s="1" t="s">
        <v>24</v>
      </c>
      <c r="N220" s="1" t="s">
        <v>24</v>
      </c>
      <c r="O220" s="1" t="s">
        <v>658</v>
      </c>
      <c r="P220" s="3" t="str">
        <f>HYPERLINK("https://icf.clappia.com/app/SOM165486/submission/ODI46724210/ICF247370-SOM165486-l8bb6pee8pmg0000000/SIG-20250703_16161ofp2.jpeg", "SIG-20250703_16161ofp2.jpeg")</f>
        <v>SIG-20250703_16161ofp2.jpeg</v>
      </c>
      <c r="Q220" s="3" t="str">
        <f>HYPERLINK("https://www.google.com/maps/place/8.9170048%2C-12.1305247", "8.9170048,-12.1305247")</f>
        <v>8.9170048,-12.1305247</v>
      </c>
    </row>
    <row r="221" ht="15.75" customHeight="1">
      <c r="A221" s="1" t="s">
        <v>746</v>
      </c>
      <c r="B221" s="1" t="s">
        <v>18</v>
      </c>
      <c r="C221" s="1" t="s">
        <v>747</v>
      </c>
      <c r="D221" s="1" t="s">
        <v>748</v>
      </c>
      <c r="E221" s="2">
        <v>45841.0</v>
      </c>
      <c r="F221" s="1" t="s">
        <v>21</v>
      </c>
      <c r="G221" s="1" t="s">
        <v>77</v>
      </c>
      <c r="H221" s="1" t="s">
        <v>611</v>
      </c>
      <c r="I221" s="1">
        <v>1116.0</v>
      </c>
      <c r="J221" s="1" t="s">
        <v>24</v>
      </c>
      <c r="K221" s="1">
        <v>1116.0</v>
      </c>
      <c r="L221" s="1">
        <v>1005.0</v>
      </c>
      <c r="M221" s="1">
        <v>111.0</v>
      </c>
      <c r="N221" s="1">
        <v>111.0</v>
      </c>
      <c r="O221" s="1" t="s">
        <v>749</v>
      </c>
      <c r="P221" s="3" t="str">
        <f>HYPERLINK("https://icf.clappia.com/app/SOM165486/submission/UYW15843368/ICF247370-SOM165486-6befdcam6ick00000000/SIG-20250703_1453d4mea.jpeg", "SIG-20250703_1453d4mea.jpeg")</f>
        <v>SIG-20250703_1453d4mea.jpeg</v>
      </c>
      <c r="Q221" s="3" t="str">
        <f>HYPERLINK("https://www.google.com/maps/place/7.9655133%2C-11.740585", "7.9655133,-11.740585")</f>
        <v>7.9655133,-11.740585</v>
      </c>
    </row>
    <row r="222" ht="15.75" customHeight="1">
      <c r="A222" s="1" t="s">
        <v>750</v>
      </c>
      <c r="B222" s="1" t="s">
        <v>18</v>
      </c>
      <c r="C222" s="1" t="s">
        <v>751</v>
      </c>
      <c r="D222" s="1" t="s">
        <v>751</v>
      </c>
      <c r="E222" s="2">
        <v>45842.0</v>
      </c>
      <c r="F222" s="1" t="s">
        <v>68</v>
      </c>
      <c r="G222" s="1" t="s">
        <v>340</v>
      </c>
      <c r="H222" s="1" t="s">
        <v>742</v>
      </c>
      <c r="I222" s="1">
        <v>100.0</v>
      </c>
      <c r="J222" s="1" t="s">
        <v>24</v>
      </c>
      <c r="K222" s="1">
        <v>100.0</v>
      </c>
      <c r="L222" s="1">
        <v>60.0</v>
      </c>
      <c r="M222" s="1">
        <v>40.0</v>
      </c>
      <c r="N222" s="1">
        <v>40.0</v>
      </c>
      <c r="O222" s="1" t="s">
        <v>554</v>
      </c>
      <c r="P222" s="3" t="str">
        <f>HYPERLINK("https://icf.clappia.com/app/SOM165486/submission/ZDY45447358/ICF247370-SOM165486-5me0n1fagl1m00000000/SIG-20250704_1027jfl08.jpeg", "SIG-20250704_1027jfl08.jpeg")</f>
        <v>SIG-20250704_1027jfl08.jpeg</v>
      </c>
      <c r="Q222" s="3" t="str">
        <f>HYPERLINK("https://www.google.com/maps/place/9.13456%2C-11.959475", "9.13456,-11.959475")</f>
        <v>9.13456,-11.959475</v>
      </c>
    </row>
    <row r="223" ht="15.75" customHeight="1">
      <c r="A223" s="1" t="s">
        <v>752</v>
      </c>
      <c r="B223" s="1" t="s">
        <v>18</v>
      </c>
      <c r="C223" s="1" t="s">
        <v>753</v>
      </c>
      <c r="D223" s="1" t="s">
        <v>754</v>
      </c>
      <c r="E223" s="2">
        <v>45842.0</v>
      </c>
      <c r="F223" s="1" t="s">
        <v>68</v>
      </c>
      <c r="G223" s="1" t="s">
        <v>325</v>
      </c>
      <c r="H223" s="1" t="s">
        <v>326</v>
      </c>
      <c r="I223" s="1" t="s">
        <v>24</v>
      </c>
      <c r="J223" s="1">
        <v>350.0</v>
      </c>
      <c r="K223" s="1">
        <v>350.0</v>
      </c>
      <c r="L223" s="1">
        <v>350.0</v>
      </c>
      <c r="M223" s="1" t="s">
        <v>24</v>
      </c>
      <c r="N223" s="1" t="s">
        <v>24</v>
      </c>
      <c r="O223" s="1" t="s">
        <v>755</v>
      </c>
      <c r="P223" s="3" t="str">
        <f>HYPERLINK("https://icf.clappia.com/app/SOM165486/submission/MEV23046505/ICF247370-SOM165486-1i51i496d6d920000000/SIG-20250704_1021dm934.jpeg", "SIG-20250704_1021dm934.jpeg")</f>
        <v>SIG-20250704_1021dm934.jpeg</v>
      </c>
      <c r="Q223" s="3" t="str">
        <f>HYPERLINK("https://www.google.com/maps/place/8.87719%2C-11.9284583", "8.87719,-11.9284583")</f>
        <v>8.87719,-11.9284583</v>
      </c>
    </row>
    <row r="224" ht="15.75" customHeight="1">
      <c r="A224" s="1" t="s">
        <v>756</v>
      </c>
      <c r="B224" s="1" t="s">
        <v>18</v>
      </c>
      <c r="C224" s="1" t="s">
        <v>757</v>
      </c>
      <c r="D224" s="1" t="s">
        <v>758</v>
      </c>
      <c r="E224" s="2">
        <v>45839.0</v>
      </c>
      <c r="F224" s="1" t="s">
        <v>21</v>
      </c>
      <c r="G224" s="1" t="s">
        <v>77</v>
      </c>
      <c r="H224" s="1" t="s">
        <v>759</v>
      </c>
      <c r="I224" s="1">
        <v>150.0</v>
      </c>
      <c r="J224" s="1">
        <v>10.0</v>
      </c>
      <c r="K224" s="1">
        <v>160.0</v>
      </c>
      <c r="L224" s="1">
        <v>160.0</v>
      </c>
      <c r="M224" s="1" t="s">
        <v>24</v>
      </c>
      <c r="N224" s="1" t="s">
        <v>24</v>
      </c>
      <c r="O224" s="1" t="s">
        <v>760</v>
      </c>
      <c r="P224" s="3" t="str">
        <f>HYPERLINK("https://icf.clappia.com/app/SOM165486/submission/VMV27574235/ICF247370-SOM165486-4jno1l5868ma00000000/SIG-20250703_1049mb1j0.jpeg", "SIG-20250703_1049mb1j0.jpeg")</f>
        <v>SIG-20250703_1049mb1j0.jpeg</v>
      </c>
    </row>
    <row r="225" ht="15.75" customHeight="1">
      <c r="A225" s="1" t="s">
        <v>761</v>
      </c>
      <c r="B225" s="1" t="s">
        <v>18</v>
      </c>
      <c r="C225" s="1" t="s">
        <v>762</v>
      </c>
      <c r="D225" s="1" t="s">
        <v>758</v>
      </c>
      <c r="E225" s="2">
        <v>45841.0</v>
      </c>
      <c r="F225" s="1" t="s">
        <v>21</v>
      </c>
      <c r="G225" s="1" t="s">
        <v>77</v>
      </c>
      <c r="H225" s="1" t="s">
        <v>759</v>
      </c>
      <c r="I225" s="1">
        <v>25.0</v>
      </c>
      <c r="J225" s="1" t="s">
        <v>24</v>
      </c>
      <c r="K225" s="1">
        <v>25.0</v>
      </c>
      <c r="L225" s="1">
        <v>22.0</v>
      </c>
      <c r="M225" s="1">
        <v>3.0</v>
      </c>
      <c r="N225" s="1">
        <v>3.0</v>
      </c>
      <c r="O225" s="1" t="s">
        <v>760</v>
      </c>
      <c r="P225" s="3" t="str">
        <f>HYPERLINK("https://icf.clappia.com/app/SOM165486/submission/EZY71534077/ICF247370-SOM165486-32jkkp03ch6g0000000/SIG-20250703_104519k7h5.jpeg", "SIG-20250703_104519k7h5.jpeg")</f>
        <v>SIG-20250703_104519k7h5.jpeg</v>
      </c>
    </row>
    <row r="226" ht="15.75" customHeight="1">
      <c r="A226" s="1" t="s">
        <v>763</v>
      </c>
      <c r="B226" s="1" t="s">
        <v>18</v>
      </c>
      <c r="C226" s="1" t="s">
        <v>764</v>
      </c>
      <c r="D226" s="1" t="s">
        <v>758</v>
      </c>
      <c r="E226" s="2">
        <v>45840.0</v>
      </c>
      <c r="F226" s="1" t="s">
        <v>21</v>
      </c>
      <c r="G226" s="1" t="s">
        <v>77</v>
      </c>
      <c r="H226" s="1" t="s">
        <v>759</v>
      </c>
      <c r="I226" s="1">
        <v>83.0</v>
      </c>
      <c r="J226" s="1" t="s">
        <v>24</v>
      </c>
      <c r="K226" s="1">
        <v>83.0</v>
      </c>
      <c r="L226" s="1">
        <v>28.0</v>
      </c>
      <c r="M226" s="1">
        <v>55.0</v>
      </c>
      <c r="N226" s="1">
        <v>45.0</v>
      </c>
      <c r="O226" s="1" t="s">
        <v>760</v>
      </c>
      <c r="P226" s="3" t="str">
        <f>HYPERLINK("https://icf.clappia.com/app/SOM165486/submission/YPZ97417629/ICF247370-SOM165486-35e4chp1g66400000000/SIG-20250702_121317ncfe.jpeg", "SIG-20250702_121317ncfe.jpeg")</f>
        <v>SIG-20250702_121317ncfe.jpeg</v>
      </c>
    </row>
    <row r="227" ht="15.75" customHeight="1">
      <c r="A227" s="1" t="s">
        <v>765</v>
      </c>
      <c r="B227" s="1" t="s">
        <v>18</v>
      </c>
      <c r="C227" s="1" t="s">
        <v>766</v>
      </c>
      <c r="D227" s="1" t="s">
        <v>766</v>
      </c>
      <c r="E227" s="2">
        <v>45841.0</v>
      </c>
      <c r="F227" s="1" t="s">
        <v>68</v>
      </c>
      <c r="G227" s="1" t="s">
        <v>597</v>
      </c>
      <c r="H227" s="1" t="s">
        <v>598</v>
      </c>
      <c r="I227" s="1">
        <v>39.0</v>
      </c>
      <c r="J227" s="1" t="s">
        <v>24</v>
      </c>
      <c r="K227" s="1">
        <v>39.0</v>
      </c>
      <c r="L227" s="1" t="s">
        <v>24</v>
      </c>
      <c r="M227" s="1">
        <v>39.0</v>
      </c>
      <c r="N227" s="1" t="s">
        <v>24</v>
      </c>
      <c r="O227" s="1" t="s">
        <v>599</v>
      </c>
      <c r="P227" s="3" t="str">
        <f>HYPERLINK("https://icf.clappia.com/app/SOM165486/submission/HOE15883822/ICF247370-SOM165486-225moockc6kek0000000/SIG-20250704_1011nf5ee.jpeg", "SIG-20250704_1011nf5ee.jpeg")</f>
        <v>SIG-20250704_1011nf5ee.jpeg</v>
      </c>
      <c r="Q227" s="3" t="str">
        <f>HYPERLINK("https://www.google.com/maps/place/8.6834917%2C-12.2399504", "8.6834917,-12.2399504")</f>
        <v>8.6834917,-12.2399504</v>
      </c>
    </row>
    <row r="228" ht="15.75" customHeight="1">
      <c r="A228" s="1" t="s">
        <v>767</v>
      </c>
      <c r="B228" s="1" t="s">
        <v>18</v>
      </c>
      <c r="C228" s="1" t="s">
        <v>768</v>
      </c>
      <c r="D228" s="1" t="s">
        <v>768</v>
      </c>
      <c r="E228" s="2">
        <v>45842.0</v>
      </c>
      <c r="F228" s="1" t="s">
        <v>68</v>
      </c>
      <c r="G228" s="1" t="s">
        <v>597</v>
      </c>
      <c r="H228" s="1" t="s">
        <v>598</v>
      </c>
      <c r="I228" s="1">
        <v>150.0</v>
      </c>
      <c r="J228" s="1" t="s">
        <v>24</v>
      </c>
      <c r="K228" s="1">
        <v>150.0</v>
      </c>
      <c r="L228" s="1">
        <v>150.0</v>
      </c>
      <c r="M228" s="1" t="s">
        <v>24</v>
      </c>
      <c r="N228" s="1" t="s">
        <v>24</v>
      </c>
      <c r="O228" s="1" t="s">
        <v>769</v>
      </c>
      <c r="P228" s="3" t="str">
        <f>HYPERLINK("https://icf.clappia.com/app/SOM165486/submission/VTA16339794/ICF247370-SOM165486-46ih7j2bchco00000000/SIG-20250704_1007mghmo.jpeg", "SIG-20250704_1007mghmo.jpeg")</f>
        <v>SIG-20250704_1007mghmo.jpeg</v>
      </c>
      <c r="Q228" s="3" t="str">
        <f>HYPERLINK("https://www.google.com/maps/place/8.6788038%2C-12.2411483", "8.6788038,-12.2411483")</f>
        <v>8.6788038,-12.2411483</v>
      </c>
    </row>
    <row r="229" ht="15.75" customHeight="1">
      <c r="A229" s="1" t="s">
        <v>770</v>
      </c>
      <c r="B229" s="1" t="s">
        <v>18</v>
      </c>
      <c r="C229" s="1" t="s">
        <v>771</v>
      </c>
      <c r="D229" s="1" t="s">
        <v>771</v>
      </c>
      <c r="E229" s="2">
        <v>45842.0</v>
      </c>
      <c r="F229" s="1" t="s">
        <v>21</v>
      </c>
      <c r="G229" s="1" t="s">
        <v>58</v>
      </c>
      <c r="H229" s="1" t="s">
        <v>732</v>
      </c>
      <c r="I229" s="1">
        <v>109.0</v>
      </c>
      <c r="J229" s="1" t="s">
        <v>24</v>
      </c>
      <c r="K229" s="1">
        <v>109.0</v>
      </c>
      <c r="L229" s="1">
        <v>61.0</v>
      </c>
      <c r="M229" s="1">
        <v>48.0</v>
      </c>
      <c r="N229" s="1">
        <v>48.0</v>
      </c>
      <c r="O229" s="1" t="s">
        <v>733</v>
      </c>
      <c r="P229" s="3" t="str">
        <f>HYPERLINK("https://icf.clappia.com/app/SOM165486/submission/ZWH70802027/ICF247370-SOM165486-4pgd7l6jc96600000000/SIG-20250704_09519cng2.jpeg", "SIG-20250704_09519cng2.jpeg")</f>
        <v>SIG-20250704_09519cng2.jpeg</v>
      </c>
      <c r="Q229" s="3" t="str">
        <f>HYPERLINK("https://www.google.com/maps/place/7.9301483%2C-11.7224733", "7.9301483,-11.7224733")</f>
        <v>7.9301483,-11.7224733</v>
      </c>
    </row>
    <row r="230" ht="15.75" customHeight="1">
      <c r="A230" s="1" t="s">
        <v>772</v>
      </c>
      <c r="B230" s="1" t="s">
        <v>18</v>
      </c>
      <c r="C230" s="1" t="s">
        <v>773</v>
      </c>
      <c r="D230" s="1" t="s">
        <v>773</v>
      </c>
      <c r="E230" s="2">
        <v>45842.0</v>
      </c>
      <c r="F230" s="1" t="s">
        <v>68</v>
      </c>
      <c r="G230" s="1" t="s">
        <v>630</v>
      </c>
      <c r="H230" s="1" t="s">
        <v>631</v>
      </c>
      <c r="I230" s="1">
        <v>200.0</v>
      </c>
      <c r="J230" s="1" t="s">
        <v>24</v>
      </c>
      <c r="K230" s="1">
        <v>200.0</v>
      </c>
      <c r="L230" s="1">
        <v>157.0</v>
      </c>
      <c r="M230" s="1">
        <v>43.0</v>
      </c>
      <c r="N230" s="1">
        <v>43.0</v>
      </c>
      <c r="O230" s="1" t="s">
        <v>774</v>
      </c>
      <c r="P230" s="3" t="str">
        <f>HYPERLINK("https://icf.clappia.com/app/SOM165486/submission/QVR02651531/ICF247370-SOM165486-oaa3m0ociog00000000/SIG-20250704_094149j9j.jpeg", "SIG-20250704_094149j9j.jpeg")</f>
        <v>SIG-20250704_094149j9j.jpeg</v>
      </c>
      <c r="Q230" s="3" t="str">
        <f>HYPERLINK("https://www.google.com/maps/place/9.2196681%2C-12.2095586", "9.2196681,-12.2095586")</f>
        <v>9.2196681,-12.2095586</v>
      </c>
    </row>
    <row r="231" ht="15.75" customHeight="1">
      <c r="A231" s="1" t="s">
        <v>775</v>
      </c>
      <c r="B231" s="1" t="s">
        <v>18</v>
      </c>
      <c r="C231" s="1" t="s">
        <v>776</v>
      </c>
      <c r="D231" s="1" t="s">
        <v>776</v>
      </c>
      <c r="E231" s="2">
        <v>45842.0</v>
      </c>
      <c r="F231" s="1" t="s">
        <v>21</v>
      </c>
      <c r="G231" s="1" t="s">
        <v>421</v>
      </c>
      <c r="H231" s="1" t="s">
        <v>777</v>
      </c>
      <c r="I231" s="1">
        <v>28.0</v>
      </c>
      <c r="J231" s="1" t="s">
        <v>24</v>
      </c>
      <c r="K231" s="1">
        <v>28.0</v>
      </c>
      <c r="L231" s="1">
        <v>28.0</v>
      </c>
      <c r="M231" s="1" t="s">
        <v>24</v>
      </c>
      <c r="N231" s="1" t="s">
        <v>24</v>
      </c>
      <c r="O231" s="1" t="s">
        <v>778</v>
      </c>
      <c r="P231" s="3" t="str">
        <f>HYPERLINK("https://icf.clappia.com/app/SOM165486/submission/EJP89808636/ICF247370-SOM165486-45mihhj8lfj200000000/SIG-20250704_0941191klp.jpeg", "SIG-20250704_0941191klp.jpeg")</f>
        <v>SIG-20250704_0941191klp.jpeg</v>
      </c>
      <c r="Q231" s="3" t="str">
        <f>HYPERLINK("https://www.google.com/maps/place/8.0252132%2C-11.4919321", "8.0252132,-11.4919321")</f>
        <v>8.0252132,-11.4919321</v>
      </c>
    </row>
    <row r="232" ht="15.75" customHeight="1">
      <c r="A232" s="1" t="s">
        <v>779</v>
      </c>
      <c r="B232" s="1" t="s">
        <v>18</v>
      </c>
      <c r="C232" s="1" t="s">
        <v>780</v>
      </c>
      <c r="D232" s="1" t="s">
        <v>780</v>
      </c>
      <c r="E232" s="2">
        <v>45842.0</v>
      </c>
      <c r="F232" s="1" t="s">
        <v>21</v>
      </c>
      <c r="G232" s="1" t="s">
        <v>781</v>
      </c>
      <c r="H232" s="1" t="s">
        <v>782</v>
      </c>
      <c r="I232" s="1">
        <v>128.0</v>
      </c>
      <c r="J232" s="1" t="s">
        <v>24</v>
      </c>
      <c r="K232" s="1">
        <v>128.0</v>
      </c>
      <c r="L232" s="1">
        <v>117.0</v>
      </c>
      <c r="M232" s="1">
        <v>11.0</v>
      </c>
      <c r="N232" s="1">
        <v>11.0</v>
      </c>
      <c r="O232" s="1" t="s">
        <v>783</v>
      </c>
      <c r="P232" s="3" t="str">
        <f>HYPERLINK("https://icf.clappia.com/app/SOM165486/submission/EWO17179863/ICF247370-SOM165486-hi7bp6ago4b20000000/SIG-20250704_0933ikocf.jpeg", "SIG-20250704_0933ikocf.jpeg")</f>
        <v>SIG-20250704_0933ikocf.jpeg</v>
      </c>
      <c r="Q232" s="3" t="str">
        <f>HYPERLINK("https://www.google.com/maps/place/7.8771565%2C-11.5354411", "7.8771565,-11.5354411")</f>
        <v>7.8771565,-11.5354411</v>
      </c>
    </row>
    <row r="233" ht="15.75" customHeight="1">
      <c r="A233" s="1" t="s">
        <v>784</v>
      </c>
      <c r="B233" s="1" t="s">
        <v>18</v>
      </c>
      <c r="C233" s="1" t="s">
        <v>785</v>
      </c>
      <c r="D233" s="1" t="s">
        <v>785</v>
      </c>
      <c r="E233" s="2">
        <v>45841.0</v>
      </c>
      <c r="F233" s="1" t="s">
        <v>68</v>
      </c>
      <c r="G233" s="1" t="s">
        <v>786</v>
      </c>
      <c r="H233" s="1" t="s">
        <v>787</v>
      </c>
      <c r="I233" s="1">
        <v>120.0</v>
      </c>
      <c r="J233" s="1" t="s">
        <v>24</v>
      </c>
      <c r="K233" s="1">
        <v>120.0</v>
      </c>
      <c r="L233" s="1">
        <v>120.0</v>
      </c>
      <c r="M233" s="1" t="s">
        <v>24</v>
      </c>
      <c r="N233" s="1" t="s">
        <v>24</v>
      </c>
      <c r="O233" s="1" t="s">
        <v>788</v>
      </c>
      <c r="P233" s="3" t="str">
        <f>HYPERLINK("https://icf.clappia.com/app/SOM165486/submission/BEG98174376/ICF247370-SOM165486-3d1eiej2566800000000/SIG-20250703_1537129ghk.jpeg", "SIG-20250703_1537129ghk.jpeg")</f>
        <v>SIG-20250703_1537129ghk.jpeg</v>
      </c>
      <c r="Q233" s="3" t="str">
        <f>HYPERLINK("https://www.google.com/maps/place/8.7791583%2C-12.04403", "8.7791583,-12.04403")</f>
        <v>8.7791583,-12.04403</v>
      </c>
    </row>
    <row r="234" ht="15.75" customHeight="1">
      <c r="A234" s="1" t="s">
        <v>789</v>
      </c>
      <c r="B234" s="1" t="s">
        <v>18</v>
      </c>
      <c r="C234" s="1" t="s">
        <v>790</v>
      </c>
      <c r="D234" s="1" t="s">
        <v>791</v>
      </c>
      <c r="E234" s="2">
        <v>45842.0</v>
      </c>
      <c r="F234" s="1" t="s">
        <v>68</v>
      </c>
      <c r="G234" s="1" t="s">
        <v>597</v>
      </c>
      <c r="H234" s="1" t="s">
        <v>598</v>
      </c>
      <c r="I234" s="1">
        <v>132.0</v>
      </c>
      <c r="J234" s="1" t="s">
        <v>24</v>
      </c>
      <c r="K234" s="1">
        <v>132.0</v>
      </c>
      <c r="L234" s="1">
        <v>132.0</v>
      </c>
      <c r="M234" s="1" t="s">
        <v>24</v>
      </c>
      <c r="N234" s="1" t="s">
        <v>24</v>
      </c>
      <c r="O234" s="1" t="s">
        <v>792</v>
      </c>
      <c r="P234" s="3" t="str">
        <f>HYPERLINK("https://icf.clappia.com/app/SOM165486/submission/UTF30701150/ICF247370-SOM165486-24gb1ol4808m40000000/SIG-20250704_0918149kpc.jpeg", "SIG-20250704_0918149kpc.jpeg")</f>
        <v>SIG-20250704_0918149kpc.jpeg</v>
      </c>
      <c r="Q234" s="3" t="str">
        <f>HYPERLINK("https://www.google.com/maps/place/8.673485%2C-12.190165", "8.673485,-12.190165")</f>
        <v>8.673485,-12.190165</v>
      </c>
    </row>
    <row r="235" ht="15.75" customHeight="1">
      <c r="A235" s="1" t="s">
        <v>793</v>
      </c>
      <c r="B235" s="1" t="s">
        <v>18</v>
      </c>
      <c r="C235" s="1" t="s">
        <v>794</v>
      </c>
      <c r="D235" s="1" t="s">
        <v>791</v>
      </c>
      <c r="E235" s="2">
        <v>45841.0</v>
      </c>
      <c r="F235" s="1" t="s">
        <v>68</v>
      </c>
      <c r="G235" s="1" t="s">
        <v>597</v>
      </c>
      <c r="H235" s="1" t="s">
        <v>598</v>
      </c>
      <c r="I235" s="1">
        <v>150.0</v>
      </c>
      <c r="J235" s="1" t="s">
        <v>24</v>
      </c>
      <c r="K235" s="1">
        <v>150.0</v>
      </c>
      <c r="L235" s="1">
        <v>150.0</v>
      </c>
      <c r="M235" s="1" t="s">
        <v>24</v>
      </c>
      <c r="N235" s="1" t="s">
        <v>24</v>
      </c>
      <c r="O235" s="1" t="s">
        <v>792</v>
      </c>
      <c r="P235" s="3" t="str">
        <f>HYPERLINK("https://icf.clappia.com/app/SOM165486/submission/CLW68071055/ICF247370-SOM165486-fb61bh12pih40000000/SIG-20250704_0914li461.jpeg", "SIG-20250704_0914li461.jpeg")</f>
        <v>SIG-20250704_0914li461.jpeg</v>
      </c>
      <c r="Q235" s="3" t="str">
        <f>HYPERLINK("https://www.google.com/maps/place/8.6734853%2C-12.1901653", "8.6734853,-12.1901653")</f>
        <v>8.6734853,-12.1901653</v>
      </c>
    </row>
    <row r="236" ht="15.75" customHeight="1">
      <c r="A236" s="1" t="s">
        <v>795</v>
      </c>
      <c r="B236" s="1" t="s">
        <v>283</v>
      </c>
      <c r="C236" s="1" t="s">
        <v>796</v>
      </c>
      <c r="D236" s="1" t="s">
        <v>796</v>
      </c>
      <c r="E236" s="2">
        <v>45841.0</v>
      </c>
      <c r="F236" s="1" t="s">
        <v>68</v>
      </c>
      <c r="G236" s="1" t="s">
        <v>88</v>
      </c>
      <c r="H236" s="1" t="s">
        <v>797</v>
      </c>
      <c r="I236" s="1">
        <v>321.0</v>
      </c>
      <c r="J236" s="1">
        <v>76.0</v>
      </c>
      <c r="K236" s="1">
        <v>397.0</v>
      </c>
      <c r="L236" s="1">
        <v>397.0</v>
      </c>
      <c r="M236" s="1" t="s">
        <v>24</v>
      </c>
      <c r="N236" s="1" t="s">
        <v>24</v>
      </c>
      <c r="O236" s="1" t="s">
        <v>798</v>
      </c>
      <c r="P236" s="3" t="str">
        <f>HYPERLINK("https://icf.clappia.com/app/SOM165486/submission/VMM50439883/ICF247370-SOM165486-3dfbgohbjfmm00000000/SIG-20250703_1445cge42.jpeg", "SIG-20250703_1445cge42.jpeg")</f>
        <v>SIG-20250703_1445cge42.jpeg</v>
      </c>
      <c r="Q236" s="3" t="str">
        <f>HYPERLINK("https://www.google.com/maps/place/8.8874012%2C-12.045782", "8.8874012,-12.045782")</f>
        <v>8.8874012,-12.045782</v>
      </c>
    </row>
    <row r="237" ht="15.75" customHeight="1">
      <c r="A237" s="1" t="s">
        <v>799</v>
      </c>
      <c r="B237" s="1" t="s">
        <v>18</v>
      </c>
      <c r="C237" s="1" t="s">
        <v>800</v>
      </c>
      <c r="D237" s="1" t="s">
        <v>801</v>
      </c>
      <c r="E237" s="2">
        <v>45841.0</v>
      </c>
      <c r="F237" s="1" t="s">
        <v>68</v>
      </c>
      <c r="G237" s="1" t="s">
        <v>340</v>
      </c>
      <c r="H237" s="1" t="s">
        <v>802</v>
      </c>
      <c r="I237" s="1">
        <v>74.0</v>
      </c>
      <c r="J237" s="1" t="s">
        <v>24</v>
      </c>
      <c r="K237" s="1">
        <v>74.0</v>
      </c>
      <c r="L237" s="1">
        <v>73.0</v>
      </c>
      <c r="M237" s="1">
        <v>1.0</v>
      </c>
      <c r="N237" s="1">
        <v>1.0</v>
      </c>
      <c r="O237" s="1" t="s">
        <v>803</v>
      </c>
      <c r="P237" s="3" t="str">
        <f>HYPERLINK("https://icf.clappia.com/app/SOM165486/submission/UWK57883342/ICF247370-SOM165486-38icdmb02d7400000000/SIG-20250703_1156cgo7d.jpeg", "SIG-20250703_1156cgo7d.jpeg")</f>
        <v>SIG-20250703_1156cgo7d.jpeg</v>
      </c>
      <c r="Q237" s="3" t="str">
        <f>HYPERLINK("https://www.google.com/maps/place/9.0864617%2C-12.0079217", "9.0864617,-12.0079217")</f>
        <v>9.0864617,-12.0079217</v>
      </c>
    </row>
    <row r="238" ht="15.75" customHeight="1">
      <c r="A238" s="1" t="s">
        <v>804</v>
      </c>
      <c r="B238" s="1" t="s">
        <v>18</v>
      </c>
      <c r="C238" s="1" t="s">
        <v>805</v>
      </c>
      <c r="D238" s="1" t="s">
        <v>805</v>
      </c>
      <c r="E238" s="2">
        <v>45842.0</v>
      </c>
      <c r="F238" s="1" t="s">
        <v>68</v>
      </c>
      <c r="G238" s="1" t="s">
        <v>69</v>
      </c>
      <c r="H238" s="1" t="s">
        <v>806</v>
      </c>
      <c r="I238" s="1">
        <v>149.0</v>
      </c>
      <c r="J238" s="1" t="s">
        <v>24</v>
      </c>
      <c r="K238" s="1">
        <v>149.0</v>
      </c>
      <c r="L238" s="1">
        <v>149.0</v>
      </c>
      <c r="M238" s="1" t="s">
        <v>24</v>
      </c>
      <c r="N238" s="1" t="s">
        <v>24</v>
      </c>
      <c r="O238" s="1" t="s">
        <v>807</v>
      </c>
      <c r="P238" s="3" t="str">
        <f>HYPERLINK("https://icf.clappia.com/app/SOM165486/submission/TSJ57391406/ICF247370-SOM165486-1ak43iajedodm0000000/SIG-20250704_0904d2ak.jpeg", "SIG-20250704_0904d2ak.jpeg")</f>
        <v>SIG-20250704_0904d2ak.jpeg</v>
      </c>
      <c r="Q238" s="3" t="str">
        <f>HYPERLINK("https://www.google.com/maps/place/8.8715667%2C-12.2638933", "8.8715667,-12.2638933")</f>
        <v>8.8715667,-12.2638933</v>
      </c>
    </row>
    <row r="239" ht="15.75" customHeight="1">
      <c r="A239" s="1" t="s">
        <v>808</v>
      </c>
      <c r="B239" s="1" t="s">
        <v>18</v>
      </c>
      <c r="C239" s="1" t="s">
        <v>809</v>
      </c>
      <c r="D239" s="1" t="s">
        <v>809</v>
      </c>
      <c r="E239" s="2">
        <v>45841.0</v>
      </c>
      <c r="F239" s="1" t="s">
        <v>68</v>
      </c>
      <c r="G239" s="1" t="s">
        <v>69</v>
      </c>
      <c r="H239" s="1" t="s">
        <v>806</v>
      </c>
      <c r="I239" s="1">
        <v>150.0</v>
      </c>
      <c r="J239" s="1" t="s">
        <v>24</v>
      </c>
      <c r="K239" s="1">
        <v>150.0</v>
      </c>
      <c r="L239" s="1" t="s">
        <v>24</v>
      </c>
      <c r="M239" s="1">
        <v>150.0</v>
      </c>
      <c r="N239" s="1" t="s">
        <v>24</v>
      </c>
      <c r="O239" s="1" t="s">
        <v>807</v>
      </c>
      <c r="P239" s="3" t="str">
        <f>HYPERLINK("https://icf.clappia.com/app/SOM165486/submission/ULV47753535/ICF247370-SOM165486-58mh15m93mmo00000000/SIG-20250704_08585764l.jpeg", "SIG-20250704_08585764l.jpeg")</f>
        <v>SIG-20250704_08585764l.jpeg</v>
      </c>
      <c r="Q239" s="3" t="str">
        <f>HYPERLINK("https://www.google.com/maps/place/8.874845%2C-12.2656317", "8.874845,-12.2656317")</f>
        <v>8.874845,-12.2656317</v>
      </c>
    </row>
    <row r="240" ht="15.75" customHeight="1">
      <c r="A240" s="1" t="s">
        <v>810</v>
      </c>
      <c r="B240" s="1" t="s">
        <v>18</v>
      </c>
      <c r="C240" s="1" t="s">
        <v>811</v>
      </c>
      <c r="D240" s="1" t="s">
        <v>811</v>
      </c>
      <c r="E240" s="2">
        <v>45842.0</v>
      </c>
      <c r="F240" s="1" t="s">
        <v>68</v>
      </c>
      <c r="G240" s="1" t="s">
        <v>597</v>
      </c>
      <c r="H240" s="1" t="s">
        <v>739</v>
      </c>
      <c r="I240" s="1">
        <v>71.0</v>
      </c>
      <c r="J240" s="1" t="s">
        <v>24</v>
      </c>
      <c r="K240" s="1">
        <v>71.0</v>
      </c>
      <c r="L240" s="1">
        <v>52.0</v>
      </c>
      <c r="M240" s="1">
        <v>19.0</v>
      </c>
      <c r="N240" s="1">
        <v>19.0</v>
      </c>
      <c r="O240" s="1" t="s">
        <v>812</v>
      </c>
      <c r="P240" s="3" t="str">
        <f>HYPERLINK("https://icf.clappia.com/app/SOM165486/submission/KZQ86328672/ICF247370-SOM165486-40iihhgm0ip000000000/SIG-20250704_08531207i5.jpeg", "SIG-20250704_08531207i5.jpeg")</f>
        <v>SIG-20250704_08531207i5.jpeg</v>
      </c>
      <c r="Q240" s="3" t="str">
        <f>HYPERLINK("https://www.google.com/maps/place/8.702932%2C-12.1417736", "8.702932,-12.1417736")</f>
        <v>8.702932,-12.1417736</v>
      </c>
    </row>
    <row r="241" ht="15.75" customHeight="1">
      <c r="A241" s="1" t="s">
        <v>813</v>
      </c>
      <c r="B241" s="1" t="s">
        <v>18</v>
      </c>
      <c r="C241" s="1" t="s">
        <v>814</v>
      </c>
      <c r="D241" s="1" t="s">
        <v>814</v>
      </c>
      <c r="E241" s="2">
        <v>45842.0</v>
      </c>
      <c r="F241" s="1" t="s">
        <v>68</v>
      </c>
      <c r="G241" s="1" t="s">
        <v>597</v>
      </c>
      <c r="H241" s="1" t="s">
        <v>598</v>
      </c>
      <c r="I241" s="1">
        <v>394.0</v>
      </c>
      <c r="J241" s="1">
        <v>31.0</v>
      </c>
      <c r="K241" s="1">
        <v>425.0</v>
      </c>
      <c r="L241" s="1">
        <v>405.0</v>
      </c>
      <c r="M241" s="1">
        <v>20.0</v>
      </c>
      <c r="N241" s="1">
        <v>20.0</v>
      </c>
      <c r="O241" s="1" t="s">
        <v>815</v>
      </c>
      <c r="P241" s="3" t="str">
        <f>HYPERLINK("https://icf.clappia.com/app/SOM165486/submission/IHO61882096/ICF247370-SOM165486-35h2hl3c337g00000000/SIG-20250704_083910o3g6.jpeg", "SIG-20250704_083910o3g6.jpeg")</f>
        <v>SIG-20250704_083910o3g6.jpeg</v>
      </c>
      <c r="Q241" s="3" t="str">
        <f>HYPERLINK("https://www.google.com/maps/place/8.6637586%2C-12.2420317", "8.6637586,-12.2420317")</f>
        <v>8.6637586,-12.2420317</v>
      </c>
    </row>
    <row r="242" ht="15.75" customHeight="1">
      <c r="A242" s="1" t="s">
        <v>816</v>
      </c>
      <c r="B242" s="1" t="s">
        <v>18</v>
      </c>
      <c r="C242" s="1" t="s">
        <v>817</v>
      </c>
      <c r="D242" s="1" t="s">
        <v>817</v>
      </c>
      <c r="E242" s="2">
        <v>45841.0</v>
      </c>
      <c r="F242" s="1" t="s">
        <v>68</v>
      </c>
      <c r="G242" s="1" t="s">
        <v>88</v>
      </c>
      <c r="H242" s="1" t="s">
        <v>634</v>
      </c>
      <c r="I242" s="1">
        <v>150.0</v>
      </c>
      <c r="J242" s="1" t="s">
        <v>24</v>
      </c>
      <c r="K242" s="1">
        <v>150.0</v>
      </c>
      <c r="L242" s="1">
        <v>148.0</v>
      </c>
      <c r="M242" s="1">
        <v>2.0</v>
      </c>
      <c r="N242" s="1" t="s">
        <v>24</v>
      </c>
      <c r="O242" s="1" t="s">
        <v>818</v>
      </c>
      <c r="P242" s="3" t="str">
        <f>HYPERLINK("https://icf.clappia.com/app/SOM165486/submission/UMU97318727/ICF247370-SOM165486-4o2on22cmlmo00000000/SIG-20250704_0815i5m35.jpeg", "SIG-20250704_0815i5m35.jpeg")</f>
        <v>SIG-20250704_0815i5m35.jpeg</v>
      </c>
      <c r="Q242" s="3" t="str">
        <f>HYPERLINK("https://www.google.com/maps/place/8.8917184%2C-12.0365754", "8.8917184,-12.0365754")</f>
        <v>8.8917184,-12.0365754</v>
      </c>
    </row>
    <row r="243" ht="15.75" customHeight="1">
      <c r="A243" s="1" t="s">
        <v>819</v>
      </c>
      <c r="B243" s="1" t="s">
        <v>18</v>
      </c>
      <c r="C243" s="1" t="s">
        <v>820</v>
      </c>
      <c r="D243" s="1" t="s">
        <v>821</v>
      </c>
      <c r="E243" s="2">
        <v>45840.0</v>
      </c>
      <c r="F243" s="1" t="s">
        <v>21</v>
      </c>
      <c r="G243" s="1" t="s">
        <v>781</v>
      </c>
      <c r="H243" s="1" t="s">
        <v>822</v>
      </c>
      <c r="I243" s="1">
        <v>331.0</v>
      </c>
      <c r="J243" s="1" t="s">
        <v>24</v>
      </c>
      <c r="K243" s="1">
        <v>331.0</v>
      </c>
      <c r="L243" s="1">
        <v>260.0</v>
      </c>
      <c r="M243" s="1">
        <v>71.0</v>
      </c>
      <c r="N243" s="1">
        <v>71.0</v>
      </c>
      <c r="O243" s="1" t="s">
        <v>823</v>
      </c>
      <c r="P243" s="3" t="str">
        <f>HYPERLINK("https://icf.clappia.com/app/SOM165486/submission/BQQ22474320/ICF247370-SOM165486-2afhm7n7bch0c0000000/SIG-20250702_1439g4j5d.jpeg", "SIG-20250702_1439g4j5d.jpeg")</f>
        <v>SIG-20250702_1439g4j5d.jpeg</v>
      </c>
      <c r="Q243" s="3" t="str">
        <f>HYPERLINK("https://www.google.com/maps/place/7.9030433%2C-11.54437", "7.9030433,-11.54437")</f>
        <v>7.9030433,-11.54437</v>
      </c>
    </row>
    <row r="244" ht="15.75" customHeight="1">
      <c r="A244" s="1" t="s">
        <v>824</v>
      </c>
      <c r="B244" s="1" t="s">
        <v>18</v>
      </c>
      <c r="C244" s="1" t="s">
        <v>825</v>
      </c>
      <c r="D244" s="1" t="s">
        <v>825</v>
      </c>
      <c r="E244" s="2">
        <v>45841.0</v>
      </c>
      <c r="F244" s="1" t="s">
        <v>21</v>
      </c>
      <c r="G244" s="1" t="s">
        <v>77</v>
      </c>
      <c r="H244" s="1" t="s">
        <v>466</v>
      </c>
      <c r="I244" s="1">
        <v>356.0</v>
      </c>
      <c r="J244" s="1" t="s">
        <v>24</v>
      </c>
      <c r="K244" s="1">
        <v>356.0</v>
      </c>
      <c r="L244" s="1">
        <v>356.0</v>
      </c>
      <c r="M244" s="1" t="s">
        <v>24</v>
      </c>
      <c r="N244" s="1" t="s">
        <v>24</v>
      </c>
      <c r="O244" s="1" t="s">
        <v>505</v>
      </c>
      <c r="P244" s="3" t="str">
        <f>HYPERLINK("https://icf.clappia.com/app/SOM165486/submission/GLZ32591727/ICF247370-SOM165486-17ed2jin7d87i0000000/SIG-20250704_074311oag4.jpeg", "SIG-20250704_074311oag4.jpeg")</f>
        <v>SIG-20250704_074311oag4.jpeg</v>
      </c>
      <c r="Q244" s="3" t="str">
        <f>HYPERLINK("https://www.google.com/maps/place/7.9651383%2C-11.7440017", "7.9651383,-11.7440017")</f>
        <v>7.9651383,-11.7440017</v>
      </c>
    </row>
    <row r="245" ht="15.75" customHeight="1">
      <c r="A245" s="1" t="s">
        <v>826</v>
      </c>
      <c r="B245" s="1" t="s">
        <v>18</v>
      </c>
      <c r="C245" s="1" t="s">
        <v>827</v>
      </c>
      <c r="D245" s="1" t="s">
        <v>827</v>
      </c>
      <c r="E245" s="2">
        <v>45841.0</v>
      </c>
      <c r="F245" s="1" t="s">
        <v>68</v>
      </c>
      <c r="G245" s="1" t="s">
        <v>385</v>
      </c>
      <c r="H245" s="1" t="s">
        <v>828</v>
      </c>
      <c r="I245" s="1">
        <v>162.0</v>
      </c>
      <c r="J245" s="1">
        <v>50.0</v>
      </c>
      <c r="K245" s="1">
        <v>212.0</v>
      </c>
      <c r="L245" s="1">
        <v>212.0</v>
      </c>
      <c r="M245" s="1" t="s">
        <v>24</v>
      </c>
      <c r="N245" s="1" t="s">
        <v>24</v>
      </c>
      <c r="O245" s="1" t="s">
        <v>829</v>
      </c>
      <c r="P245" s="3" t="str">
        <f>HYPERLINK("https://icf.clappia.com/app/SOM165486/submission/FBK37332286/ICF247370-SOM165486-4fk91blg19ke00000000/SIG-20250703_2047f9058.jpeg", "SIG-20250703_2047f9058.jpeg")</f>
        <v>SIG-20250703_2047f9058.jpeg</v>
      </c>
      <c r="Q245" s="3" t="str">
        <f>HYPERLINK("https://www.google.com/maps/place/9.1210017%2C-12.1114283", "9.1210017,-12.1114283")</f>
        <v>9.1210017,-12.1114283</v>
      </c>
    </row>
    <row r="246" ht="15.75" customHeight="1">
      <c r="A246" s="1" t="s">
        <v>830</v>
      </c>
      <c r="B246" s="1" t="s">
        <v>18</v>
      </c>
      <c r="C246" s="1" t="s">
        <v>831</v>
      </c>
      <c r="D246" s="1" t="s">
        <v>832</v>
      </c>
      <c r="E246" s="2">
        <v>45841.0</v>
      </c>
      <c r="F246" s="1" t="s">
        <v>21</v>
      </c>
      <c r="G246" s="1" t="s">
        <v>129</v>
      </c>
      <c r="H246" s="1" t="s">
        <v>462</v>
      </c>
      <c r="I246" s="1">
        <v>100.0</v>
      </c>
      <c r="J246" s="1" t="s">
        <v>24</v>
      </c>
      <c r="K246" s="1">
        <v>100.0</v>
      </c>
      <c r="L246" s="1">
        <v>96.0</v>
      </c>
      <c r="M246" s="1">
        <v>4.0</v>
      </c>
      <c r="N246" s="1">
        <v>4.0</v>
      </c>
      <c r="O246" s="1" t="s">
        <v>463</v>
      </c>
      <c r="P246" s="3" t="str">
        <f>HYPERLINK("https://icf.clappia.com/app/SOM165486/submission/OWM82182349/ICF247370-SOM165486-2b0lkdma97i1m0000000/SIG-20250703_2016ch0m.jpeg", "SIG-20250703_2016ch0m.jpeg")</f>
        <v>SIG-20250703_2016ch0m.jpeg</v>
      </c>
      <c r="Q246" s="3" t="str">
        <f>HYPERLINK("https://www.google.com/maps/place/7.5384249%2C-11.9170667", "7.5384249,-11.9170667")</f>
        <v>7.5384249,-11.9170667</v>
      </c>
    </row>
    <row r="247" ht="15.75" customHeight="1">
      <c r="A247" s="1" t="s">
        <v>833</v>
      </c>
      <c r="B247" s="1" t="s">
        <v>18</v>
      </c>
      <c r="C247" s="1" t="s">
        <v>834</v>
      </c>
      <c r="D247" s="1" t="s">
        <v>835</v>
      </c>
      <c r="E247" s="2">
        <v>45840.0</v>
      </c>
      <c r="F247" s="1" t="s">
        <v>21</v>
      </c>
      <c r="G247" s="1" t="s">
        <v>129</v>
      </c>
      <c r="H247" s="1" t="s">
        <v>462</v>
      </c>
      <c r="I247" s="1">
        <v>215.0</v>
      </c>
      <c r="J247" s="1" t="s">
        <v>24</v>
      </c>
      <c r="K247" s="1">
        <v>215.0</v>
      </c>
      <c r="L247" s="1">
        <v>200.0</v>
      </c>
      <c r="M247" s="1">
        <v>15.0</v>
      </c>
      <c r="N247" s="1">
        <v>15.0</v>
      </c>
      <c r="O247" s="1" t="s">
        <v>463</v>
      </c>
      <c r="P247" s="3" t="str">
        <f>HYPERLINK("https://icf.clappia.com/app/SOM165486/submission/CRA41190760/ICF247370-SOM165486-516dc3n5k20k00000000/SIG-20250703_20151ngio.jpeg", "SIG-20250703_20151ngio.jpeg")</f>
        <v>SIG-20250703_20151ngio.jpeg</v>
      </c>
      <c r="Q247" s="3" t="str">
        <f>HYPERLINK("https://www.google.com/maps/place/7.53766%2C-11.9169917", "7.53766,-11.9169917")</f>
        <v>7.53766,-11.9169917</v>
      </c>
    </row>
    <row r="248" ht="15.75" customHeight="1">
      <c r="A248" s="1" t="s">
        <v>836</v>
      </c>
      <c r="B248" s="1" t="s">
        <v>18</v>
      </c>
      <c r="C248" s="1" t="s">
        <v>837</v>
      </c>
      <c r="D248" s="1" t="s">
        <v>835</v>
      </c>
      <c r="E248" s="2">
        <v>45839.0</v>
      </c>
      <c r="F248" s="1" t="s">
        <v>21</v>
      </c>
      <c r="G248" s="1" t="s">
        <v>129</v>
      </c>
      <c r="H248" s="1" t="s">
        <v>462</v>
      </c>
      <c r="I248" s="1">
        <v>100.0</v>
      </c>
      <c r="J248" s="1" t="s">
        <v>24</v>
      </c>
      <c r="K248" s="1">
        <v>100.0</v>
      </c>
      <c r="L248" s="1">
        <v>78.0</v>
      </c>
      <c r="M248" s="1">
        <v>22.0</v>
      </c>
      <c r="N248" s="1">
        <v>22.0</v>
      </c>
      <c r="O248" s="1" t="s">
        <v>463</v>
      </c>
      <c r="P248" s="3" t="str">
        <f>HYPERLINK("https://icf.clappia.com/app/SOM165486/submission/ESY65740001/ICF247370-SOM165486-ipoei13p37360000000/SIG-20250703_2013ncj2j.jpeg", "SIG-20250703_2013ncj2j.jpeg")</f>
        <v>SIG-20250703_2013ncj2j.jpeg</v>
      </c>
      <c r="Q248" s="3" t="str">
        <f>HYPERLINK("https://www.google.com/maps/place/7.5374402%2C-11.9201125", "7.5374402,-11.9201125")</f>
        <v>7.5374402,-11.9201125</v>
      </c>
    </row>
    <row r="249" ht="15.75" customHeight="1">
      <c r="A249" s="1" t="s">
        <v>838</v>
      </c>
      <c r="B249" s="1" t="s">
        <v>18</v>
      </c>
      <c r="C249" s="1" t="s">
        <v>839</v>
      </c>
      <c r="D249" s="1" t="s">
        <v>840</v>
      </c>
      <c r="E249" s="2">
        <v>45838.0</v>
      </c>
      <c r="F249" s="1" t="s">
        <v>21</v>
      </c>
      <c r="G249" s="1" t="s">
        <v>129</v>
      </c>
      <c r="H249" s="1" t="s">
        <v>607</v>
      </c>
      <c r="I249" s="1">
        <v>250.0</v>
      </c>
      <c r="J249" s="1" t="s">
        <v>24</v>
      </c>
      <c r="K249" s="1">
        <v>250.0</v>
      </c>
      <c r="L249" s="1">
        <v>247.0</v>
      </c>
      <c r="M249" s="1">
        <v>3.0</v>
      </c>
      <c r="N249" s="1">
        <v>3.0</v>
      </c>
      <c r="O249" s="1" t="s">
        <v>841</v>
      </c>
      <c r="P249" s="3" t="str">
        <f>HYPERLINK("https://icf.clappia.com/app/SOM165486/submission/JDK97593580/ICF247370-SOM165486-33cnlmeb8boi00000000/SIG-20250703_2012b2gm9.jpeg", "SIG-20250703_2012b2gm9.jpeg")</f>
        <v>SIG-20250703_2012b2gm9.jpeg</v>
      </c>
      <c r="Q249" s="3" t="str">
        <f>HYPERLINK("https://www.google.com/maps/place/7.5374469%2C-11.9191", "7.5374469,-11.9191")</f>
        <v>7.5374469,-11.9191</v>
      </c>
    </row>
    <row r="250" ht="15.75" customHeight="1">
      <c r="A250" s="1" t="s">
        <v>842</v>
      </c>
      <c r="B250" s="1" t="s">
        <v>18</v>
      </c>
      <c r="C250" s="1" t="s">
        <v>843</v>
      </c>
      <c r="D250" s="1" t="s">
        <v>843</v>
      </c>
      <c r="E250" s="2">
        <v>45841.0</v>
      </c>
      <c r="F250" s="1" t="s">
        <v>21</v>
      </c>
      <c r="G250" s="1" t="s">
        <v>77</v>
      </c>
      <c r="H250" s="1" t="s">
        <v>466</v>
      </c>
      <c r="I250" s="1">
        <v>356.0</v>
      </c>
      <c r="J250" s="1" t="s">
        <v>24</v>
      </c>
      <c r="K250" s="1">
        <v>356.0</v>
      </c>
      <c r="L250" s="1">
        <v>356.0</v>
      </c>
      <c r="M250" s="1" t="s">
        <v>24</v>
      </c>
      <c r="N250" s="1" t="s">
        <v>24</v>
      </c>
      <c r="O250" s="1" t="s">
        <v>505</v>
      </c>
      <c r="P250" s="3" t="str">
        <f>HYPERLINK("https://icf.clappia.com/app/SOM165486/submission/GCM38705416/ICF247370-SOM165486-1p2n79lmcel600000000/SIG-20250703_19512ona9.jpeg", "SIG-20250703_19512ona9.jpeg")</f>
        <v>SIG-20250703_19512ona9.jpeg</v>
      </c>
      <c r="Q250" s="3" t="str">
        <f>HYPERLINK("https://www.google.com/maps/place/7.9652022%2C-11.7428714", "7.9652022,-11.7428714")</f>
        <v>7.9652022,-11.7428714</v>
      </c>
    </row>
    <row r="251" ht="15.75" customHeight="1">
      <c r="A251" s="1" t="s">
        <v>844</v>
      </c>
      <c r="B251" s="1" t="s">
        <v>18</v>
      </c>
      <c r="C251" s="1" t="s">
        <v>845</v>
      </c>
      <c r="D251" s="1" t="s">
        <v>845</v>
      </c>
      <c r="E251" s="2">
        <v>45840.0</v>
      </c>
      <c r="F251" s="1" t="s">
        <v>68</v>
      </c>
      <c r="G251" s="1" t="s">
        <v>597</v>
      </c>
      <c r="H251" s="1" t="s">
        <v>598</v>
      </c>
      <c r="I251" s="1">
        <v>150.0</v>
      </c>
      <c r="J251" s="1" t="s">
        <v>24</v>
      </c>
      <c r="K251" s="1">
        <v>150.0</v>
      </c>
      <c r="L251" s="1">
        <v>149.0</v>
      </c>
      <c r="M251" s="1">
        <v>1.0</v>
      </c>
      <c r="N251" s="1">
        <v>1.0</v>
      </c>
      <c r="O251" s="1" t="s">
        <v>846</v>
      </c>
      <c r="P251" s="3" t="str">
        <f>HYPERLINK("https://icf.clappia.com/app/SOM165486/submission/QAR31183614/ICF247370-SOM165486-5kag2hkg4p2c00000000/SIG-20250703_19434gbid.jpeg", "SIG-20250703_19434gbid.jpeg")</f>
        <v>SIG-20250703_19434gbid.jpeg</v>
      </c>
      <c r="Q251" s="3" t="str">
        <f>HYPERLINK("https://www.google.com/maps/place/8.6749817%2C-12.1906417", "8.6749817,-12.1906417")</f>
        <v>8.6749817,-12.1906417</v>
      </c>
    </row>
    <row r="252" ht="15.75" customHeight="1">
      <c r="A252" s="1" t="s">
        <v>847</v>
      </c>
      <c r="B252" s="1" t="s">
        <v>18</v>
      </c>
      <c r="C252" s="1" t="s">
        <v>848</v>
      </c>
      <c r="D252" s="1" t="s">
        <v>848</v>
      </c>
      <c r="E252" s="2">
        <v>45841.0</v>
      </c>
      <c r="F252" s="1" t="s">
        <v>21</v>
      </c>
      <c r="G252" s="1" t="s">
        <v>77</v>
      </c>
      <c r="H252" s="1" t="s">
        <v>466</v>
      </c>
      <c r="I252" s="1">
        <v>356.0</v>
      </c>
      <c r="J252" s="1" t="s">
        <v>24</v>
      </c>
      <c r="K252" s="1">
        <v>356.0</v>
      </c>
      <c r="L252" s="1">
        <v>356.0</v>
      </c>
      <c r="M252" s="1" t="s">
        <v>24</v>
      </c>
      <c r="N252" s="1" t="s">
        <v>24</v>
      </c>
      <c r="O252" s="1" t="s">
        <v>505</v>
      </c>
      <c r="P252" s="3" t="str">
        <f>HYPERLINK("https://icf.clappia.com/app/SOM165486/submission/KYD03906750/ICF247370-SOM165486-1im58hcib8bha0000000/SIG-20250703_19414iojk.jpeg", "SIG-20250703_19414iojk.jpeg")</f>
        <v>SIG-20250703_19414iojk.jpeg</v>
      </c>
      <c r="Q252" s="3" t="str">
        <f>HYPERLINK("https://www.google.com/maps/place/7.9650883%2C-11.74284", "7.9650883,-11.74284")</f>
        <v>7.9650883,-11.74284</v>
      </c>
    </row>
    <row r="253" ht="15.75" customHeight="1">
      <c r="A253" s="1" t="s">
        <v>849</v>
      </c>
      <c r="B253" s="1" t="s">
        <v>18</v>
      </c>
      <c r="C253" s="1" t="s">
        <v>850</v>
      </c>
      <c r="D253" s="1" t="s">
        <v>850</v>
      </c>
      <c r="E253" s="2">
        <v>45840.0</v>
      </c>
      <c r="F253" s="1" t="s">
        <v>21</v>
      </c>
      <c r="G253" s="1" t="s">
        <v>77</v>
      </c>
      <c r="H253" s="1" t="s">
        <v>466</v>
      </c>
      <c r="I253" s="1">
        <v>191.0</v>
      </c>
      <c r="J253" s="1" t="s">
        <v>24</v>
      </c>
      <c r="K253" s="1">
        <v>191.0</v>
      </c>
      <c r="L253" s="1">
        <v>191.0</v>
      </c>
      <c r="M253" s="1" t="s">
        <v>24</v>
      </c>
      <c r="N253" s="1" t="s">
        <v>24</v>
      </c>
      <c r="O253" s="1" t="s">
        <v>505</v>
      </c>
      <c r="P253" s="3" t="str">
        <f>HYPERLINK("https://icf.clappia.com/app/SOM165486/submission/CMK27319551/ICF247370-SOM165486-2e5nha6ihck600000000/SIG-20250703_193712ao2g.jpeg", "SIG-20250703_193712ao2g.jpeg")</f>
        <v>SIG-20250703_193712ao2g.jpeg</v>
      </c>
      <c r="Q253" s="3" t="str">
        <f>HYPERLINK("https://www.google.com/maps/place/7.9651156%2C-11.7429509", "7.9651156,-11.7429509")</f>
        <v>7.9651156,-11.7429509</v>
      </c>
    </row>
    <row r="254" ht="15.75" customHeight="1">
      <c r="A254" s="1" t="s">
        <v>851</v>
      </c>
      <c r="B254" s="1" t="s">
        <v>18</v>
      </c>
      <c r="C254" s="1" t="s">
        <v>852</v>
      </c>
      <c r="D254" s="1" t="s">
        <v>852</v>
      </c>
      <c r="E254" s="2">
        <v>45841.0</v>
      </c>
      <c r="F254" s="1" t="s">
        <v>68</v>
      </c>
      <c r="G254" s="1" t="s">
        <v>325</v>
      </c>
      <c r="H254" s="1" t="s">
        <v>853</v>
      </c>
      <c r="I254" s="1">
        <v>277.0</v>
      </c>
      <c r="J254" s="1" t="s">
        <v>24</v>
      </c>
      <c r="K254" s="1">
        <v>277.0</v>
      </c>
      <c r="L254" s="1">
        <v>277.0</v>
      </c>
      <c r="M254" s="1" t="s">
        <v>24</v>
      </c>
      <c r="N254" s="1" t="s">
        <v>24</v>
      </c>
      <c r="O254" s="1" t="s">
        <v>854</v>
      </c>
      <c r="P254" s="3" t="str">
        <f>HYPERLINK("https://icf.clappia.com/app/SOM165486/submission/JWB31000331/ICF247370-SOM165486-2c394652gp7e00000000/SIG-20250703_193519cf7b.jpeg", "SIG-20250703_193519cf7b.jpeg")</f>
        <v>SIG-20250703_193519cf7b.jpeg</v>
      </c>
      <c r="Q254" s="3" t="str">
        <f>HYPERLINK("https://www.google.com/maps/place/8.7003517%2C-12.0023917", "8.7003517,-12.0023917")</f>
        <v>8.7003517,-12.0023917</v>
      </c>
    </row>
    <row r="255" ht="15.75" customHeight="1">
      <c r="A255" s="1" t="s">
        <v>855</v>
      </c>
      <c r="B255" s="1" t="s">
        <v>18</v>
      </c>
      <c r="C255" s="1" t="s">
        <v>856</v>
      </c>
      <c r="D255" s="1" t="s">
        <v>856</v>
      </c>
      <c r="E255" s="2">
        <v>45811.0</v>
      </c>
      <c r="F255" s="1" t="s">
        <v>68</v>
      </c>
      <c r="G255" s="1" t="s">
        <v>672</v>
      </c>
      <c r="H255" s="1" t="s">
        <v>857</v>
      </c>
      <c r="I255" s="1">
        <v>150.0</v>
      </c>
      <c r="J255" s="1">
        <v>50.0</v>
      </c>
      <c r="K255" s="1">
        <v>200.0</v>
      </c>
      <c r="L255" s="1">
        <v>180.0</v>
      </c>
      <c r="M255" s="1">
        <v>20.0</v>
      </c>
      <c r="N255" s="1">
        <v>20.0</v>
      </c>
      <c r="O255" s="1" t="s">
        <v>858</v>
      </c>
      <c r="P255" s="3" t="str">
        <f>HYPERLINK("https://icf.clappia.com/app/SOM165486/submission/BYK33938306/ICF247370-SOM165486-5edi7hc6ccke00000000/SIG-20250703_193469jhn.jpeg", "SIG-20250703_193469jhn.jpeg")</f>
        <v>SIG-20250703_193469jhn.jpeg</v>
      </c>
      <c r="Q255" s="3" t="str">
        <f>HYPERLINK("https://www.google.com/maps/place/8.9047663%2C-12.0334517", "8.9047663,-12.0334517")</f>
        <v>8.9047663,-12.0334517</v>
      </c>
    </row>
    <row r="256" ht="15.75" customHeight="1">
      <c r="A256" s="1" t="s">
        <v>859</v>
      </c>
      <c r="B256" s="1" t="s">
        <v>18</v>
      </c>
      <c r="C256" s="1" t="s">
        <v>860</v>
      </c>
      <c r="D256" s="1" t="s">
        <v>860</v>
      </c>
      <c r="E256" s="2">
        <v>45839.0</v>
      </c>
      <c r="F256" s="1" t="s">
        <v>21</v>
      </c>
      <c r="G256" s="1" t="s">
        <v>77</v>
      </c>
      <c r="H256" s="1" t="s">
        <v>466</v>
      </c>
      <c r="I256" s="1">
        <v>201.0</v>
      </c>
      <c r="J256" s="1" t="s">
        <v>24</v>
      </c>
      <c r="K256" s="1">
        <v>201.0</v>
      </c>
      <c r="L256" s="1">
        <v>201.0</v>
      </c>
      <c r="M256" s="1" t="s">
        <v>24</v>
      </c>
      <c r="N256" s="1" t="s">
        <v>24</v>
      </c>
      <c r="O256" s="1" t="s">
        <v>505</v>
      </c>
      <c r="P256" s="3" t="str">
        <f>HYPERLINK("https://icf.clappia.com/app/SOM165486/submission/JKL08084141/ICF247370-SOM165486-1fbo7h8il0o480000000/SIG-20250703_1932j76g.jpeg", "SIG-20250703_1932j76g.jpeg")</f>
        <v>SIG-20250703_1932j76g.jpeg</v>
      </c>
      <c r="Q256" s="3" t="str">
        <f>HYPERLINK("https://www.google.com/maps/place/7.965075%2C-11.74271", "7.965075,-11.74271")</f>
        <v>7.965075,-11.74271</v>
      </c>
    </row>
    <row r="257" ht="15.75" customHeight="1">
      <c r="A257" s="1" t="s">
        <v>861</v>
      </c>
      <c r="B257" s="1" t="s">
        <v>18</v>
      </c>
      <c r="C257" s="1" t="s">
        <v>862</v>
      </c>
      <c r="D257" s="1" t="s">
        <v>862</v>
      </c>
      <c r="E257" s="2">
        <v>45840.0</v>
      </c>
      <c r="F257" s="1" t="s">
        <v>68</v>
      </c>
      <c r="G257" s="1" t="s">
        <v>325</v>
      </c>
      <c r="H257" s="1" t="s">
        <v>853</v>
      </c>
      <c r="I257" s="1">
        <v>30.0</v>
      </c>
      <c r="J257" s="1" t="s">
        <v>24</v>
      </c>
      <c r="K257" s="1">
        <v>30.0</v>
      </c>
      <c r="L257" s="1">
        <v>30.0</v>
      </c>
      <c r="M257" s="1" t="s">
        <v>24</v>
      </c>
      <c r="N257" s="1" t="s">
        <v>24</v>
      </c>
      <c r="O257" s="1" t="s">
        <v>854</v>
      </c>
      <c r="P257" s="3" t="str">
        <f>HYPERLINK("https://icf.clappia.com/app/SOM165486/submission/ODX07741105/ICF247370-SOM165486-454n6j1k0ej200000000/SIG-20250703_1931oh7nj.jpeg", "SIG-20250703_1931oh7nj.jpeg")</f>
        <v>SIG-20250703_1931oh7nj.jpeg</v>
      </c>
      <c r="Q257" s="3" t="str">
        <f>HYPERLINK("https://www.google.com/maps/place/8.700365%2C-12.00275", "8.700365,-12.00275")</f>
        <v>8.700365,-12.00275</v>
      </c>
    </row>
    <row r="258" ht="15.75" customHeight="1">
      <c r="A258" s="1" t="s">
        <v>863</v>
      </c>
      <c r="B258" s="1" t="s">
        <v>18</v>
      </c>
      <c r="C258" s="1" t="s">
        <v>864</v>
      </c>
      <c r="D258" s="1" t="s">
        <v>864</v>
      </c>
      <c r="E258" s="2">
        <v>45839.0</v>
      </c>
      <c r="F258" s="1" t="s">
        <v>68</v>
      </c>
      <c r="G258" s="1" t="s">
        <v>325</v>
      </c>
      <c r="H258" s="1" t="s">
        <v>853</v>
      </c>
      <c r="I258" s="1">
        <v>100.0</v>
      </c>
      <c r="J258" s="1" t="s">
        <v>24</v>
      </c>
      <c r="K258" s="1">
        <v>100.0</v>
      </c>
      <c r="L258" s="1">
        <v>97.0</v>
      </c>
      <c r="M258" s="1">
        <v>3.0</v>
      </c>
      <c r="N258" s="1">
        <v>3.0</v>
      </c>
      <c r="O258" s="1" t="s">
        <v>854</v>
      </c>
      <c r="P258" s="3" t="str">
        <f>HYPERLINK("https://icf.clappia.com/app/SOM165486/submission/GYU61588765/ICF247370-SOM165486-35om42j807kg00000000/SIG-20250703_1928jmj3.jpeg", "SIG-20250703_1928jmj3.jpeg")</f>
        <v>SIG-20250703_1928jmj3.jpeg</v>
      </c>
      <c r="Q258" s="3" t="str">
        <f>HYPERLINK("https://www.google.com/maps/place/8.70032%2C-12.0025067", "8.70032,-12.0025067")</f>
        <v>8.70032,-12.0025067</v>
      </c>
    </row>
    <row r="259" ht="15.75" customHeight="1">
      <c r="A259" s="1" t="s">
        <v>865</v>
      </c>
      <c r="B259" s="1" t="s">
        <v>18</v>
      </c>
      <c r="C259" s="1" t="s">
        <v>866</v>
      </c>
      <c r="D259" s="1" t="s">
        <v>866</v>
      </c>
      <c r="E259" s="2">
        <v>45838.0</v>
      </c>
      <c r="F259" s="1" t="s">
        <v>21</v>
      </c>
      <c r="G259" s="1" t="s">
        <v>77</v>
      </c>
      <c r="H259" s="1" t="s">
        <v>466</v>
      </c>
      <c r="I259" s="1">
        <v>256.0</v>
      </c>
      <c r="J259" s="1" t="s">
        <v>24</v>
      </c>
      <c r="K259" s="1">
        <v>256.0</v>
      </c>
      <c r="L259" s="1">
        <v>256.0</v>
      </c>
      <c r="M259" s="1" t="s">
        <v>24</v>
      </c>
      <c r="N259" s="1" t="s">
        <v>24</v>
      </c>
      <c r="O259" s="1" t="s">
        <v>505</v>
      </c>
      <c r="P259" s="3" t="str">
        <f>HYPERLINK("https://icf.clappia.com/app/SOM165486/submission/ERD40313490/ICF247370-SOM165486-1ilcjfoacec7a0000000/SIG-20250703_192716mgl3.jpeg", "SIG-20250703_192716mgl3.jpeg")</f>
        <v>SIG-20250703_192716mgl3.jpeg</v>
      </c>
      <c r="Q259" s="3" t="str">
        <f>HYPERLINK("https://www.google.com/maps/place/7.965107%2C-11.7429783", "7.965107,-11.7429783")</f>
        <v>7.965107,-11.7429783</v>
      </c>
    </row>
    <row r="260" ht="15.75" customHeight="1">
      <c r="A260" s="1" t="s">
        <v>867</v>
      </c>
      <c r="B260" s="1" t="s">
        <v>18</v>
      </c>
      <c r="C260" s="1" t="s">
        <v>868</v>
      </c>
      <c r="D260" s="1" t="s">
        <v>868</v>
      </c>
      <c r="E260" s="2">
        <v>45838.0</v>
      </c>
      <c r="F260" s="1" t="s">
        <v>68</v>
      </c>
      <c r="G260" s="1" t="s">
        <v>325</v>
      </c>
      <c r="H260" s="1" t="s">
        <v>853</v>
      </c>
      <c r="I260" s="1">
        <v>117.0</v>
      </c>
      <c r="J260" s="1" t="s">
        <v>24</v>
      </c>
      <c r="K260" s="1">
        <v>117.0</v>
      </c>
      <c r="L260" s="1">
        <v>113.0</v>
      </c>
      <c r="M260" s="1">
        <v>4.0</v>
      </c>
      <c r="N260" s="1">
        <v>4.0</v>
      </c>
      <c r="O260" s="1" t="s">
        <v>854</v>
      </c>
      <c r="P260" s="3" t="str">
        <f>HYPERLINK("https://icf.clappia.com/app/SOM165486/submission/SPR72573154/ICF247370-SOM165486-49i09amjo0am00000000/SIG-20250703_1922k7aj6.jpeg", "SIG-20250703_1922k7aj6.jpeg")</f>
        <v>SIG-20250703_1922k7aj6.jpeg</v>
      </c>
      <c r="Q260" s="3" t="str">
        <f>HYPERLINK("https://www.google.com/maps/place/8.700375%2C-12.0028649", "8.700375,-12.0028649")</f>
        <v>8.700375,-12.0028649</v>
      </c>
    </row>
    <row r="261" ht="15.75" customHeight="1">
      <c r="A261" s="1" t="s">
        <v>869</v>
      </c>
      <c r="B261" s="1" t="s">
        <v>18</v>
      </c>
      <c r="C261" s="1" t="s">
        <v>870</v>
      </c>
      <c r="D261" s="1" t="s">
        <v>870</v>
      </c>
      <c r="E261" s="2">
        <v>45842.0</v>
      </c>
      <c r="F261" s="1" t="s">
        <v>21</v>
      </c>
      <c r="G261" s="1" t="s">
        <v>35</v>
      </c>
      <c r="H261" s="1" t="s">
        <v>871</v>
      </c>
      <c r="I261" s="1">
        <v>160.0</v>
      </c>
      <c r="J261" s="1" t="s">
        <v>872</v>
      </c>
      <c r="K261" s="1">
        <v>273.0</v>
      </c>
      <c r="L261" s="1">
        <v>133.0</v>
      </c>
      <c r="M261" s="1">
        <v>140.0</v>
      </c>
      <c r="N261" s="1" t="s">
        <v>24</v>
      </c>
      <c r="O261" s="1" t="s">
        <v>873</v>
      </c>
      <c r="P261" s="3" t="str">
        <f>HYPERLINK("https://icf.clappia.com/app/SOM165486/submission/EHH44960609/ICF247370-SOM165486-2hlc5i8f29g000000000/SIG-20250703_191710id43.jpeg", "SIG-20250703_191710id43.jpeg")</f>
        <v>SIG-20250703_191710id43.jpeg</v>
      </c>
      <c r="Q261" s="3" t="str">
        <f>HYPERLINK("https://www.google.com/maps/place/8.21662%2C-11.6017117", "8.21662,-11.6017117")</f>
        <v>8.21662,-11.6017117</v>
      </c>
    </row>
    <row r="262" ht="15.75" customHeight="1">
      <c r="A262" s="1" t="s">
        <v>874</v>
      </c>
      <c r="B262" s="1" t="s">
        <v>18</v>
      </c>
      <c r="C262" s="1" t="s">
        <v>875</v>
      </c>
      <c r="D262" s="1" t="s">
        <v>875</v>
      </c>
      <c r="E262" s="2">
        <v>45841.0</v>
      </c>
      <c r="F262" s="1" t="s">
        <v>21</v>
      </c>
      <c r="G262" s="1" t="s">
        <v>164</v>
      </c>
      <c r="H262" s="1" t="s">
        <v>336</v>
      </c>
      <c r="I262" s="1">
        <v>50.0</v>
      </c>
      <c r="J262" s="1" t="s">
        <v>24</v>
      </c>
      <c r="K262" s="1">
        <v>50.0</v>
      </c>
      <c r="L262" s="1">
        <v>50.0</v>
      </c>
      <c r="M262" s="1" t="s">
        <v>24</v>
      </c>
      <c r="N262" s="1" t="s">
        <v>24</v>
      </c>
      <c r="O262" s="1" t="s">
        <v>337</v>
      </c>
      <c r="P262" s="3" t="str">
        <f>HYPERLINK("https://icf.clappia.com/app/SOM165486/submission/XRZ75434987/ICF247370-SOM165486-3bnc5acj3j8o00000000/SIG-20250703_15522i561.jpeg", "SIG-20250703_15522i561.jpeg")</f>
        <v>SIG-20250703_15522i561.jpeg</v>
      </c>
      <c r="Q262" s="3" t="str">
        <f>HYPERLINK("https://www.google.com/maps/place/7.7943833%2C-12.05159", "7.7943833,-12.05159")</f>
        <v>7.7943833,-12.05159</v>
      </c>
    </row>
    <row r="263" ht="15.75" customHeight="1">
      <c r="A263" s="1" t="s">
        <v>876</v>
      </c>
      <c r="B263" s="1" t="s">
        <v>18</v>
      </c>
      <c r="C263" s="1" t="s">
        <v>877</v>
      </c>
      <c r="D263" s="1" t="s">
        <v>877</v>
      </c>
      <c r="E263" s="2">
        <v>45838.0</v>
      </c>
      <c r="F263" s="1" t="s">
        <v>21</v>
      </c>
      <c r="G263" s="1" t="s">
        <v>58</v>
      </c>
      <c r="H263" s="1" t="s">
        <v>580</v>
      </c>
      <c r="I263" s="1">
        <v>68.0</v>
      </c>
      <c r="J263" s="1">
        <v>11.0</v>
      </c>
      <c r="K263" s="1">
        <v>79.0</v>
      </c>
      <c r="L263" s="1">
        <v>79.0</v>
      </c>
      <c r="M263" s="1" t="s">
        <v>24</v>
      </c>
      <c r="N263" s="1" t="s">
        <v>24</v>
      </c>
      <c r="O263" s="1" t="s">
        <v>878</v>
      </c>
      <c r="P263" s="3" t="str">
        <f>HYPERLINK("https://icf.clappia.com/app/SOM165486/submission/OIQ75575661/ICF247370-SOM165486-3i19994l3bnm00000000/SIG-20250703_1725npcja.jpeg", "SIG-20250703_1725npcja.jpeg")</f>
        <v>SIG-20250703_1725npcja.jpeg</v>
      </c>
      <c r="Q263" s="3" t="str">
        <f>HYPERLINK("https://www.google.com/maps/place/7.77999%2C-11.72444", "7.77999,-11.72444")</f>
        <v>7.77999,-11.72444</v>
      </c>
    </row>
    <row r="264" ht="15.75" customHeight="1">
      <c r="A264" s="1" t="s">
        <v>879</v>
      </c>
      <c r="B264" s="1" t="s">
        <v>18</v>
      </c>
      <c r="C264" s="1" t="s">
        <v>880</v>
      </c>
      <c r="D264" s="1" t="s">
        <v>880</v>
      </c>
      <c r="E264" s="2">
        <v>45841.0</v>
      </c>
      <c r="F264" s="1" t="s">
        <v>68</v>
      </c>
      <c r="G264" s="1" t="s">
        <v>88</v>
      </c>
      <c r="H264" s="1" t="s">
        <v>881</v>
      </c>
      <c r="I264" s="1">
        <v>150.0</v>
      </c>
      <c r="J264" s="1" t="s">
        <v>24</v>
      </c>
      <c r="K264" s="1">
        <v>150.0</v>
      </c>
      <c r="L264" s="1">
        <v>130.0</v>
      </c>
      <c r="M264" s="1">
        <v>20.0</v>
      </c>
      <c r="N264" s="1">
        <v>20.0</v>
      </c>
      <c r="O264" s="1" t="s">
        <v>882</v>
      </c>
      <c r="P264" s="3" t="str">
        <f>HYPERLINK("https://icf.clappia.com/app/SOM165486/submission/IJP98309552/ICF247370-SOM165486-a6pod9ln03io0000000/SIG-20250703_17184fom1.jpeg", "SIG-20250703_17184fom1.jpeg")</f>
        <v>SIG-20250703_17184fom1.jpeg</v>
      </c>
      <c r="Q264" s="3" t="str">
        <f>HYPERLINK("https://www.google.com/maps/place/8.8634417%2C-12.04461", "8.8634417,-12.04461")</f>
        <v>8.8634417,-12.04461</v>
      </c>
    </row>
    <row r="265" ht="15.75" customHeight="1">
      <c r="A265" s="1" t="s">
        <v>883</v>
      </c>
      <c r="B265" s="1" t="s">
        <v>18</v>
      </c>
      <c r="C265" s="1" t="s">
        <v>884</v>
      </c>
      <c r="D265" s="1" t="s">
        <v>884</v>
      </c>
      <c r="E265" s="2">
        <v>45841.0</v>
      </c>
      <c r="F265" s="1" t="s">
        <v>21</v>
      </c>
      <c r="G265" s="1" t="s">
        <v>95</v>
      </c>
      <c r="H265" s="1" t="s">
        <v>216</v>
      </c>
      <c r="I265" s="1">
        <v>143.0</v>
      </c>
      <c r="J265" s="1" t="s">
        <v>24</v>
      </c>
      <c r="K265" s="1">
        <v>143.0</v>
      </c>
      <c r="L265" s="1">
        <v>143.0</v>
      </c>
      <c r="M265" s="1" t="s">
        <v>24</v>
      </c>
      <c r="N265" s="1" t="s">
        <v>24</v>
      </c>
      <c r="O265" s="1" t="s">
        <v>217</v>
      </c>
      <c r="P265" s="3" t="str">
        <f>HYPERLINK("https://icf.clappia.com/app/SOM165486/submission/ICS61621217/ICF247370-SOM165486-63k5b6g1ojmo00000000/SIG-20250703_1705h4ak4.jpeg", "SIG-20250703_1705h4ak4.jpeg")</f>
        <v>SIG-20250703_1705h4ak4.jpeg</v>
      </c>
      <c r="Q265" s="3" t="str">
        <f>HYPERLINK("https://www.google.com/maps/place/7.9562028%2C-11.7607272", "7.9562028,-11.7607272")</f>
        <v>7.9562028,-11.7607272</v>
      </c>
    </row>
    <row r="266" ht="15.75" customHeight="1">
      <c r="A266" s="1" t="s">
        <v>885</v>
      </c>
      <c r="B266" s="1" t="s">
        <v>18</v>
      </c>
      <c r="C266" s="1" t="s">
        <v>886</v>
      </c>
      <c r="D266" s="1" t="s">
        <v>886</v>
      </c>
      <c r="E266" s="2">
        <v>45841.0</v>
      </c>
      <c r="F266" s="1" t="s">
        <v>21</v>
      </c>
      <c r="G266" s="1" t="s">
        <v>164</v>
      </c>
      <c r="H266" s="1" t="s">
        <v>887</v>
      </c>
      <c r="I266" s="1">
        <v>198.0</v>
      </c>
      <c r="J266" s="1" t="s">
        <v>24</v>
      </c>
      <c r="K266" s="1">
        <v>198.0</v>
      </c>
      <c r="L266" s="1">
        <v>50.0</v>
      </c>
      <c r="M266" s="1">
        <v>148.0</v>
      </c>
      <c r="N266" s="1">
        <v>50.0</v>
      </c>
      <c r="O266" s="1" t="s">
        <v>888</v>
      </c>
      <c r="P266" s="3" t="str">
        <f>HYPERLINK("https://icf.clappia.com/app/SOM165486/submission/RXP55814768/ICF247370-SOM165486-41bbg9h0g45400000000/SIG-20250703_1702138cfm.jpeg", "SIG-20250703_1702138cfm.jpeg")</f>
        <v>SIG-20250703_1702138cfm.jpeg</v>
      </c>
      <c r="Q266" s="3" t="str">
        <f>HYPERLINK("https://www.google.com/maps/place/7.8912396%2C-11.9025396", "7.8912396,-11.9025396")</f>
        <v>7.8912396,-11.9025396</v>
      </c>
    </row>
    <row r="267" ht="15.75" customHeight="1">
      <c r="A267" s="1" t="s">
        <v>889</v>
      </c>
      <c r="B267" s="1" t="s">
        <v>18</v>
      </c>
      <c r="C267" s="1" t="s">
        <v>890</v>
      </c>
      <c r="D267" s="1" t="s">
        <v>890</v>
      </c>
      <c r="E267" s="2">
        <v>45841.0</v>
      </c>
      <c r="F267" s="1" t="s">
        <v>21</v>
      </c>
      <c r="G267" s="1" t="s">
        <v>164</v>
      </c>
      <c r="H267" s="1" t="s">
        <v>887</v>
      </c>
      <c r="I267" s="1">
        <v>200.0</v>
      </c>
      <c r="J267" s="1" t="s">
        <v>24</v>
      </c>
      <c r="K267" s="1">
        <v>200.0</v>
      </c>
      <c r="L267" s="1">
        <v>50.0</v>
      </c>
      <c r="M267" s="1">
        <v>150.0</v>
      </c>
      <c r="N267" s="1">
        <v>150.0</v>
      </c>
      <c r="O267" s="1" t="s">
        <v>891</v>
      </c>
      <c r="P267" s="3" t="str">
        <f>HYPERLINK("https://icf.clappia.com/app/SOM165486/submission/KFF48377353/ICF247370-SOM165486-44nn432i0gao00000000/SIG-20250703_165917hiak.jpeg", "SIG-20250703_165917hiak.jpeg")</f>
        <v>SIG-20250703_165917hiak.jpeg</v>
      </c>
      <c r="Q267" s="3" t="str">
        <f>HYPERLINK("https://www.google.com/maps/place/7.8888717%2C-11.90302", "7.8888717,-11.90302")</f>
        <v>7.8888717,-11.90302</v>
      </c>
    </row>
    <row r="268" ht="15.75" customHeight="1">
      <c r="A268" s="1" t="s">
        <v>892</v>
      </c>
      <c r="B268" s="1" t="s">
        <v>18</v>
      </c>
      <c r="C268" s="1" t="s">
        <v>893</v>
      </c>
      <c r="D268" s="1" t="s">
        <v>893</v>
      </c>
      <c r="E268" s="2">
        <v>45841.0</v>
      </c>
      <c r="F268" s="1" t="s">
        <v>21</v>
      </c>
      <c r="G268" s="1" t="s">
        <v>58</v>
      </c>
      <c r="H268" s="1" t="s">
        <v>580</v>
      </c>
      <c r="I268" s="1">
        <v>184.0</v>
      </c>
      <c r="J268" s="1" t="s">
        <v>24</v>
      </c>
      <c r="K268" s="1">
        <v>184.0</v>
      </c>
      <c r="L268" s="1">
        <v>123.0</v>
      </c>
      <c r="M268" s="1">
        <v>61.0</v>
      </c>
      <c r="N268" s="1">
        <v>61.0</v>
      </c>
      <c r="O268" s="1" t="s">
        <v>677</v>
      </c>
      <c r="P268" s="3" t="str">
        <f>HYPERLINK("https://icf.clappia.com/app/SOM165486/submission/EKY06886301/ICF247370-SOM165486-1bc6i289i8p8c0000000/SIG-20250703_1653ee469.jpeg", "SIG-20250703_1653ee469.jpeg")</f>
        <v>SIG-20250703_1653ee469.jpeg</v>
      </c>
      <c r="Q268" s="3" t="str">
        <f>HYPERLINK("https://www.google.com/maps/place/7.7804317%2C-11.7242867", "7.7804317,-11.7242867")</f>
        <v>7.7804317,-11.7242867</v>
      </c>
    </row>
    <row r="269" ht="15.75" customHeight="1">
      <c r="A269" s="1" t="s">
        <v>894</v>
      </c>
      <c r="B269" s="1" t="s">
        <v>18</v>
      </c>
      <c r="C269" s="1" t="s">
        <v>893</v>
      </c>
      <c r="D269" s="1" t="s">
        <v>893</v>
      </c>
      <c r="E269" s="2">
        <v>45841.0</v>
      </c>
      <c r="F269" s="1" t="s">
        <v>21</v>
      </c>
      <c r="G269" s="1" t="s">
        <v>164</v>
      </c>
      <c r="H269" s="1" t="s">
        <v>887</v>
      </c>
      <c r="I269" s="1">
        <v>99.0</v>
      </c>
      <c r="J269" s="1" t="s">
        <v>24</v>
      </c>
      <c r="K269" s="1">
        <v>99.0</v>
      </c>
      <c r="L269" s="1">
        <v>99.0</v>
      </c>
      <c r="M269" s="1" t="s">
        <v>24</v>
      </c>
      <c r="N269" s="1" t="s">
        <v>24</v>
      </c>
      <c r="O269" s="1" t="s">
        <v>895</v>
      </c>
      <c r="P269" s="3" t="str">
        <f>HYPERLINK("https://icf.clappia.com/app/SOM165486/submission/BJI89556097/ICF247370-SOM165486-37jj0h74eb6400000000/SIG-20250703_1655e50p5.jpeg", "SIG-20250703_1655e50p5.jpeg")</f>
        <v>SIG-20250703_1655e50p5.jpeg</v>
      </c>
      <c r="Q269" s="3" t="str">
        <f>HYPERLINK("https://www.google.com/maps/place/7.8888433%2C-11.9034383", "7.8888433,-11.9034383")</f>
        <v>7.8888433,-11.9034383</v>
      </c>
    </row>
    <row r="270" ht="15.75" customHeight="1">
      <c r="A270" s="1" t="s">
        <v>896</v>
      </c>
      <c r="B270" s="1" t="s">
        <v>18</v>
      </c>
      <c r="C270" s="1" t="s">
        <v>897</v>
      </c>
      <c r="D270" s="1" t="s">
        <v>897</v>
      </c>
      <c r="E270" s="2">
        <v>45841.0</v>
      </c>
      <c r="F270" s="1" t="s">
        <v>21</v>
      </c>
      <c r="G270" s="1" t="s">
        <v>164</v>
      </c>
      <c r="H270" s="1" t="s">
        <v>887</v>
      </c>
      <c r="I270" s="1">
        <v>165.0</v>
      </c>
      <c r="J270" s="1" t="s">
        <v>24</v>
      </c>
      <c r="K270" s="1">
        <v>165.0</v>
      </c>
      <c r="L270" s="1">
        <v>100.0</v>
      </c>
      <c r="M270" s="1">
        <v>65.0</v>
      </c>
      <c r="N270" s="1">
        <v>65.0</v>
      </c>
      <c r="O270" s="1" t="s">
        <v>898</v>
      </c>
      <c r="P270" s="3" t="str">
        <f>HYPERLINK("https://icf.clappia.com/app/SOM165486/submission/ZDF99387478/ICF247370-SOM165486-374310ihmook00000000/SIG-20250703_16509elmo.jpeg", "SIG-20250703_16509elmo.jpeg")</f>
        <v>SIG-20250703_16509elmo.jpeg</v>
      </c>
      <c r="Q270" s="3" t="str">
        <f>HYPERLINK("https://www.google.com/maps/place/7.8912396%2C-11.9025396", "7.8912396,-11.9025396")</f>
        <v>7.8912396,-11.9025396</v>
      </c>
    </row>
    <row r="271" ht="15.75" customHeight="1">
      <c r="A271" s="1" t="s">
        <v>899</v>
      </c>
      <c r="B271" s="1" t="s">
        <v>18</v>
      </c>
      <c r="C271" s="1" t="s">
        <v>900</v>
      </c>
      <c r="D271" s="1" t="s">
        <v>900</v>
      </c>
      <c r="E271" s="2">
        <v>45841.0</v>
      </c>
      <c r="F271" s="1" t="s">
        <v>21</v>
      </c>
      <c r="G271" s="1" t="s">
        <v>95</v>
      </c>
      <c r="H271" s="1" t="s">
        <v>216</v>
      </c>
      <c r="I271" s="1">
        <v>140.0</v>
      </c>
      <c r="J271" s="1" t="s">
        <v>24</v>
      </c>
      <c r="K271" s="1">
        <v>140.0</v>
      </c>
      <c r="L271" s="1">
        <v>140.0</v>
      </c>
      <c r="M271" s="1" t="s">
        <v>24</v>
      </c>
      <c r="N271" s="1" t="s">
        <v>24</v>
      </c>
      <c r="O271" s="1" t="s">
        <v>901</v>
      </c>
      <c r="P271" s="3" t="str">
        <f>HYPERLINK("https://icf.clappia.com/app/SOM165486/submission/LVF86669702/ICF247370-SOM165486-2823c2bm6gh760000000/SIG-20250703_164918mjbe.jpeg", "SIG-20250703_164918mjbe.jpeg")</f>
        <v>SIG-20250703_164918mjbe.jpeg</v>
      </c>
      <c r="Q271" s="3" t="str">
        <f>HYPERLINK("https://www.google.com/maps/place/7.9568683%2C-11.7613485", "7.9568683,-11.7613485")</f>
        <v>7.9568683,-11.7613485</v>
      </c>
    </row>
    <row r="272" ht="15.75" customHeight="1">
      <c r="A272" s="1" t="s">
        <v>902</v>
      </c>
      <c r="B272" s="1" t="s">
        <v>18</v>
      </c>
      <c r="C272" s="1" t="s">
        <v>903</v>
      </c>
      <c r="D272" s="1" t="s">
        <v>903</v>
      </c>
      <c r="E272" s="2">
        <v>45841.0</v>
      </c>
      <c r="F272" s="1" t="s">
        <v>21</v>
      </c>
      <c r="G272" s="1" t="s">
        <v>781</v>
      </c>
      <c r="H272" s="1" t="s">
        <v>782</v>
      </c>
      <c r="I272" s="1">
        <v>150.0</v>
      </c>
      <c r="J272" s="1" t="s">
        <v>24</v>
      </c>
      <c r="K272" s="1">
        <v>150.0</v>
      </c>
      <c r="L272" s="1">
        <v>120.0</v>
      </c>
      <c r="M272" s="1">
        <v>30.0</v>
      </c>
      <c r="N272" s="1">
        <v>30.0</v>
      </c>
      <c r="O272" s="1" t="s">
        <v>783</v>
      </c>
      <c r="P272" s="3" t="str">
        <f>HYPERLINK("https://icf.clappia.com/app/SOM165486/submission/AGQ41864034/ICF247370-SOM165486-4kcpdgipdk5e00000000/SIG-20250703_16452gdh4.jpeg", "SIG-20250703_16452gdh4.jpeg")</f>
        <v>SIG-20250703_16452gdh4.jpeg</v>
      </c>
      <c r="Q272" s="3" t="str">
        <f>HYPERLINK("https://www.google.com/maps/place/7.8772083%2C-11.5353883", "7.8772083,-11.5353883")</f>
        <v>7.8772083,-11.5353883</v>
      </c>
    </row>
    <row r="273" ht="15.75" customHeight="1">
      <c r="A273" s="1" t="s">
        <v>904</v>
      </c>
      <c r="B273" s="1" t="s">
        <v>283</v>
      </c>
      <c r="C273" s="1" t="s">
        <v>905</v>
      </c>
      <c r="D273" s="1" t="s">
        <v>905</v>
      </c>
      <c r="E273" s="2">
        <v>45841.0</v>
      </c>
      <c r="F273" s="1" t="s">
        <v>68</v>
      </c>
      <c r="G273" s="1" t="s">
        <v>340</v>
      </c>
      <c r="H273" s="1" t="s">
        <v>906</v>
      </c>
      <c r="I273" s="1">
        <v>50.0</v>
      </c>
      <c r="J273" s="1" t="s">
        <v>24</v>
      </c>
      <c r="K273" s="1">
        <v>50.0</v>
      </c>
      <c r="L273" s="1">
        <v>43.0</v>
      </c>
      <c r="M273" s="1">
        <v>7.0</v>
      </c>
      <c r="N273" s="1" t="s">
        <v>24</v>
      </c>
      <c r="O273" s="1" t="s">
        <v>907</v>
      </c>
      <c r="P273" s="3" t="str">
        <f>HYPERLINK("https://icf.clappia.com/app/SOM165486/submission/AHX28132652/ICF247370-SOM165486-2joi23ehfkl600000000/SIG-20250703_164496ic7.jpeg", "SIG-20250703_164496ic7.jpeg")</f>
        <v>SIG-20250703_164496ic7.jpeg</v>
      </c>
      <c r="Q273" s="3" t="str">
        <f>HYPERLINK("https://www.google.com/maps/place/9.2685817%2C-11.9738233", "9.2685817,-11.9738233")</f>
        <v>9.2685817,-11.9738233</v>
      </c>
    </row>
    <row r="274" ht="15.75" customHeight="1">
      <c r="A274" s="1" t="s">
        <v>908</v>
      </c>
      <c r="B274" s="1" t="s">
        <v>18</v>
      </c>
      <c r="C274" s="1" t="s">
        <v>744</v>
      </c>
      <c r="D274" s="1" t="s">
        <v>909</v>
      </c>
      <c r="E274" s="2">
        <v>45841.0</v>
      </c>
      <c r="F274" s="1" t="s">
        <v>68</v>
      </c>
      <c r="G274" s="1" t="s">
        <v>69</v>
      </c>
      <c r="H274" s="1" t="s">
        <v>657</v>
      </c>
      <c r="I274" s="1">
        <v>100.0</v>
      </c>
      <c r="J274" s="1" t="s">
        <v>24</v>
      </c>
      <c r="K274" s="1">
        <v>100.0</v>
      </c>
      <c r="L274" s="1">
        <v>100.0</v>
      </c>
      <c r="M274" s="1" t="s">
        <v>24</v>
      </c>
      <c r="N274" s="1" t="s">
        <v>24</v>
      </c>
      <c r="O274" s="1" t="s">
        <v>658</v>
      </c>
      <c r="P274" s="3" t="str">
        <f>HYPERLINK("https://icf.clappia.com/app/SOM165486/submission/VSL75394669/ICF247370-SOM165486-147lf1c7ne5c40000000/SIG-20250703_16164899n.jpeg", "SIG-20250703_16164899n.jpeg")</f>
        <v>SIG-20250703_16164899n.jpeg</v>
      </c>
      <c r="Q274" s="3" t="str">
        <f>HYPERLINK("https://www.google.com/maps/place/8.9169683%2C-12.1304683", "8.9169683,-12.1304683")</f>
        <v>8.9169683,-12.1304683</v>
      </c>
    </row>
    <row r="275" ht="15.75" customHeight="1">
      <c r="A275" s="1" t="s">
        <v>910</v>
      </c>
      <c r="B275" s="1" t="s">
        <v>18</v>
      </c>
      <c r="C275" s="1" t="s">
        <v>911</v>
      </c>
      <c r="D275" s="1" t="s">
        <v>911</v>
      </c>
      <c r="E275" s="2">
        <v>45840.0</v>
      </c>
      <c r="F275" s="1" t="s">
        <v>21</v>
      </c>
      <c r="G275" s="1" t="s">
        <v>77</v>
      </c>
      <c r="H275" s="1" t="s">
        <v>912</v>
      </c>
      <c r="I275" s="1">
        <v>315.0</v>
      </c>
      <c r="J275" s="1" t="s">
        <v>24</v>
      </c>
      <c r="K275" s="1">
        <v>315.0</v>
      </c>
      <c r="L275" s="1">
        <v>315.0</v>
      </c>
      <c r="M275" s="1" t="s">
        <v>24</v>
      </c>
      <c r="N275" s="1" t="s">
        <v>24</v>
      </c>
      <c r="O275" s="1" t="s">
        <v>913</v>
      </c>
      <c r="P275" s="3" t="str">
        <f>HYPERLINK("https://icf.clappia.com/app/SOM165486/submission/PTH69872031/ICF247370-SOM165486-693g956gd9m800000000/SIG-20250703_160716bfa8.jpeg", "SIG-20250703_160716bfa8.jpeg")</f>
        <v>SIG-20250703_160716bfa8.jpeg</v>
      </c>
      <c r="Q275" s="3" t="str">
        <f>HYPERLINK("https://www.google.com/maps/place/7.9577581%2C-11.7418388", "7.9577581,-11.7418388")</f>
        <v>7.9577581,-11.7418388</v>
      </c>
    </row>
    <row r="276" ht="15.75" customHeight="1">
      <c r="A276" s="1" t="s">
        <v>914</v>
      </c>
      <c r="B276" s="1" t="s">
        <v>18</v>
      </c>
      <c r="C276" s="1" t="s">
        <v>915</v>
      </c>
      <c r="D276" s="1" t="s">
        <v>915</v>
      </c>
      <c r="E276" s="2">
        <v>45840.0</v>
      </c>
      <c r="F276" s="1" t="s">
        <v>21</v>
      </c>
      <c r="G276" s="1" t="s">
        <v>77</v>
      </c>
      <c r="H276" s="1" t="s">
        <v>912</v>
      </c>
      <c r="I276" s="1">
        <v>300.0</v>
      </c>
      <c r="J276" s="1" t="s">
        <v>24</v>
      </c>
      <c r="K276" s="1">
        <v>300.0</v>
      </c>
      <c r="L276" s="1">
        <v>292.0</v>
      </c>
      <c r="M276" s="1">
        <v>8.0</v>
      </c>
      <c r="N276" s="1">
        <v>8.0</v>
      </c>
      <c r="O276" s="1" t="s">
        <v>916</v>
      </c>
      <c r="P276" s="3" t="str">
        <f>HYPERLINK("https://icf.clappia.com/app/SOM165486/submission/CKR47645924/ICF247370-SOM165486-48db9lmglaj600000000/SIG-20250703_1605g98me.jpeg", "SIG-20250703_1605g98me.jpeg")</f>
        <v>SIG-20250703_1605g98me.jpeg</v>
      </c>
      <c r="Q276" s="3" t="str">
        <f>HYPERLINK("https://www.google.com/maps/place/7.9577563%2C-11.7418459", "7.9577563,-11.7418459")</f>
        <v>7.9577563,-11.7418459</v>
      </c>
    </row>
    <row r="277" ht="15.75" customHeight="1">
      <c r="A277" s="1" t="s">
        <v>917</v>
      </c>
      <c r="B277" s="1" t="s">
        <v>18</v>
      </c>
      <c r="C277" s="1" t="s">
        <v>918</v>
      </c>
      <c r="D277" s="1" t="s">
        <v>918</v>
      </c>
      <c r="E277" s="2">
        <v>45839.0</v>
      </c>
      <c r="F277" s="1" t="s">
        <v>21</v>
      </c>
      <c r="G277" s="1" t="s">
        <v>77</v>
      </c>
      <c r="H277" s="1" t="s">
        <v>912</v>
      </c>
      <c r="I277" s="1">
        <v>107.0</v>
      </c>
      <c r="J277" s="1" t="s">
        <v>24</v>
      </c>
      <c r="K277" s="1">
        <v>107.0</v>
      </c>
      <c r="L277" s="1">
        <v>107.0</v>
      </c>
      <c r="M277" s="1" t="s">
        <v>24</v>
      </c>
      <c r="N277" s="1" t="s">
        <v>24</v>
      </c>
      <c r="O277" s="1" t="s">
        <v>913</v>
      </c>
      <c r="P277" s="3" t="str">
        <f>HYPERLINK("https://icf.clappia.com/app/SOM165486/submission/ERS81287335/ICF247370-SOM165486-d2cj75agikpk0000000/SIG-20250703_1603hn7g8.jpeg", "SIG-20250703_1603hn7g8.jpeg")</f>
        <v>SIG-20250703_1603hn7g8.jpeg</v>
      </c>
      <c r="Q277" s="3" t="str">
        <f>HYPERLINK("https://www.google.com/maps/place/7.9577468%2C-11.74181", "7.9577468,-11.74181")</f>
        <v>7.9577468,-11.74181</v>
      </c>
    </row>
    <row r="278" ht="15.75" customHeight="1">
      <c r="A278" s="1" t="s">
        <v>919</v>
      </c>
      <c r="B278" s="1" t="s">
        <v>18</v>
      </c>
      <c r="C278" s="1" t="s">
        <v>920</v>
      </c>
      <c r="D278" s="1" t="s">
        <v>920</v>
      </c>
      <c r="E278" s="2">
        <v>45841.0</v>
      </c>
      <c r="F278" s="1" t="s">
        <v>21</v>
      </c>
      <c r="G278" s="1" t="s">
        <v>269</v>
      </c>
      <c r="H278" s="1" t="s">
        <v>270</v>
      </c>
      <c r="I278" s="1">
        <v>250.0</v>
      </c>
      <c r="J278" s="1" t="s">
        <v>24</v>
      </c>
      <c r="K278" s="1">
        <v>250.0</v>
      </c>
      <c r="L278" s="1">
        <v>192.0</v>
      </c>
      <c r="M278" s="1">
        <v>58.0</v>
      </c>
      <c r="N278" s="1">
        <v>58.0</v>
      </c>
      <c r="O278" s="1" t="s">
        <v>271</v>
      </c>
      <c r="P278" s="3" t="str">
        <f>HYPERLINK("https://icf.clappia.com/app/SOM165486/submission/OWP17598721/ICF247370-SOM165486-nllfi578jjda0000000/SIG-20250703_16011ao4b.jpeg", "SIG-20250703_16011ao4b.jpeg")</f>
        <v>SIG-20250703_16011ao4b.jpeg</v>
      </c>
      <c r="Q278" s="3" t="str">
        <f>HYPERLINK("https://www.google.com/maps/place/7.7959234%2C-11.6355103", "7.7959234,-11.6355103")</f>
        <v>7.7959234,-11.6355103</v>
      </c>
    </row>
    <row r="279" ht="15.75" customHeight="1">
      <c r="A279" s="1" t="s">
        <v>921</v>
      </c>
      <c r="B279" s="1" t="s">
        <v>18</v>
      </c>
      <c r="C279" s="1" t="s">
        <v>922</v>
      </c>
      <c r="D279" s="1" t="s">
        <v>922</v>
      </c>
      <c r="E279" s="2">
        <v>45839.0</v>
      </c>
      <c r="F279" s="1" t="s">
        <v>21</v>
      </c>
      <c r="G279" s="1" t="s">
        <v>77</v>
      </c>
      <c r="H279" s="1" t="s">
        <v>912</v>
      </c>
      <c r="I279" s="1">
        <v>159.0</v>
      </c>
      <c r="J279" s="1" t="s">
        <v>24</v>
      </c>
      <c r="K279" s="1">
        <v>159.0</v>
      </c>
      <c r="L279" s="1">
        <v>159.0</v>
      </c>
      <c r="M279" s="1" t="s">
        <v>24</v>
      </c>
      <c r="N279" s="1" t="s">
        <v>24</v>
      </c>
      <c r="O279" s="1" t="s">
        <v>916</v>
      </c>
      <c r="P279" s="3" t="str">
        <f>HYPERLINK("https://icf.clappia.com/app/SOM165486/submission/LCU96180683/ICF247370-SOM165486-69o6n9g12dl200000000/SIG-20250703_1600166nbj.jpeg", "SIG-20250703_1600166nbj.jpeg")</f>
        <v>SIG-20250703_1600166nbj.jpeg</v>
      </c>
      <c r="Q279" s="3" t="str">
        <f>HYPERLINK("https://www.google.com/maps/place/7.9577718%2C-11.7418055", "7.9577718,-11.7418055")</f>
        <v>7.9577718,-11.7418055</v>
      </c>
    </row>
    <row r="280" ht="15.75" customHeight="1">
      <c r="A280" s="1" t="s">
        <v>923</v>
      </c>
      <c r="B280" s="1" t="s">
        <v>18</v>
      </c>
      <c r="C280" s="1" t="s">
        <v>924</v>
      </c>
      <c r="D280" s="1" t="s">
        <v>924</v>
      </c>
      <c r="E280" s="2">
        <v>45838.0</v>
      </c>
      <c r="F280" s="1" t="s">
        <v>21</v>
      </c>
      <c r="G280" s="1" t="s">
        <v>77</v>
      </c>
      <c r="H280" s="1" t="s">
        <v>912</v>
      </c>
      <c r="I280" s="1">
        <v>150.0</v>
      </c>
      <c r="J280" s="1" t="s">
        <v>24</v>
      </c>
      <c r="K280" s="1">
        <v>150.0</v>
      </c>
      <c r="L280" s="1">
        <v>137.0</v>
      </c>
      <c r="M280" s="1">
        <v>13.0</v>
      </c>
      <c r="N280" s="1">
        <v>13.0</v>
      </c>
      <c r="O280" s="1" t="s">
        <v>913</v>
      </c>
      <c r="P280" s="3" t="str">
        <f>HYPERLINK("https://icf.clappia.com/app/SOM165486/submission/FWA33621445/ICF247370-SOM165486-5ecn469dmg0400000000/SIG-20250703_1558jfln7.jpeg", "SIG-20250703_1558jfln7.jpeg")</f>
        <v>SIG-20250703_1558jfln7.jpeg</v>
      </c>
      <c r="Q280" s="3" t="str">
        <f>HYPERLINK("https://www.google.com/maps/place/7.9577404%2C-11.7417859", "7.9577404,-11.7417859")</f>
        <v>7.9577404,-11.7417859</v>
      </c>
    </row>
    <row r="281" ht="15.75" customHeight="1">
      <c r="A281" s="1" t="s">
        <v>925</v>
      </c>
      <c r="B281" s="1" t="s">
        <v>18</v>
      </c>
      <c r="C281" s="1" t="s">
        <v>926</v>
      </c>
      <c r="D281" s="1" t="s">
        <v>926</v>
      </c>
      <c r="E281" s="2">
        <v>45838.0</v>
      </c>
      <c r="F281" s="1" t="s">
        <v>21</v>
      </c>
      <c r="G281" s="1" t="s">
        <v>77</v>
      </c>
      <c r="H281" s="1" t="s">
        <v>912</v>
      </c>
      <c r="I281" s="1">
        <v>150.0</v>
      </c>
      <c r="J281" s="1" t="s">
        <v>24</v>
      </c>
      <c r="K281" s="1">
        <v>150.0</v>
      </c>
      <c r="L281" s="1">
        <v>136.0</v>
      </c>
      <c r="M281" s="1">
        <v>14.0</v>
      </c>
      <c r="N281" s="1">
        <v>14.0</v>
      </c>
      <c r="O281" s="1" t="s">
        <v>916</v>
      </c>
      <c r="P281" s="3" t="str">
        <f>HYPERLINK("https://icf.clappia.com/app/SOM165486/submission/ERQ01974787/ICF247370-SOM165486-51bajc74494o00000000/SIG-20250703_1555c8a3h.jpeg", "SIG-20250703_1555c8a3h.jpeg")</f>
        <v>SIG-20250703_1555c8a3h.jpeg</v>
      </c>
      <c r="Q281" s="3" t="str">
        <f>HYPERLINK("https://www.google.com/maps/place/7.9577606%2C-11.7418361", "7.9577606,-11.7418361")</f>
        <v>7.9577606,-11.7418361</v>
      </c>
    </row>
    <row r="282" ht="15.75" customHeight="1">
      <c r="A282" s="1" t="s">
        <v>927</v>
      </c>
      <c r="B282" s="1" t="s">
        <v>283</v>
      </c>
      <c r="C282" s="1" t="s">
        <v>928</v>
      </c>
      <c r="D282" s="1" t="s">
        <v>928</v>
      </c>
      <c r="E282" s="2">
        <v>45841.0</v>
      </c>
      <c r="F282" s="1" t="s">
        <v>21</v>
      </c>
      <c r="G282" s="1" t="s">
        <v>95</v>
      </c>
      <c r="H282" s="1" t="s">
        <v>929</v>
      </c>
      <c r="I282" s="1">
        <v>700.0</v>
      </c>
      <c r="J282" s="1" t="s">
        <v>24</v>
      </c>
      <c r="K282" s="1">
        <v>700.0</v>
      </c>
      <c r="L282" s="1">
        <v>659.0</v>
      </c>
      <c r="M282" s="1">
        <v>41.0</v>
      </c>
      <c r="N282" s="1">
        <v>41.0</v>
      </c>
      <c r="O282" s="1" t="s">
        <v>930</v>
      </c>
      <c r="P282" s="3" t="str">
        <f>HYPERLINK("https://icf.clappia.com/app/SOM165486/submission/OXN58424199/ICF247370-SOM165486-o4cjenmhdgni0000000/SIG-20250703_1549107pdb.jpeg", "SIG-20250703_1549107pdb.jpeg")</f>
        <v>SIG-20250703_1549107pdb.jpeg</v>
      </c>
    </row>
    <row r="283" ht="15.75" customHeight="1">
      <c r="A283" s="1" t="s">
        <v>931</v>
      </c>
      <c r="B283" s="1" t="s">
        <v>283</v>
      </c>
      <c r="C283" s="1" t="s">
        <v>932</v>
      </c>
      <c r="D283" s="1" t="s">
        <v>932</v>
      </c>
      <c r="E283" s="2">
        <v>45841.0</v>
      </c>
      <c r="F283" s="1" t="s">
        <v>68</v>
      </c>
      <c r="G283" s="1" t="s">
        <v>340</v>
      </c>
      <c r="H283" s="1" t="s">
        <v>626</v>
      </c>
      <c r="I283" s="1">
        <v>237.0</v>
      </c>
      <c r="J283" s="1" t="s">
        <v>24</v>
      </c>
      <c r="K283" s="1">
        <v>237.0</v>
      </c>
      <c r="L283" s="1">
        <v>230.0</v>
      </c>
      <c r="M283" s="1">
        <v>7.0</v>
      </c>
      <c r="N283" s="1">
        <v>7.0</v>
      </c>
      <c r="O283" s="1" t="s">
        <v>627</v>
      </c>
      <c r="P283" s="3" t="str">
        <f>HYPERLINK("https://icf.clappia.com/app/SOM165486/submission/KOT91901747/ICF247370-SOM165486-1ocaeg411o3jg0000000/SIG-20250703_15473jjd5.jpeg", "SIG-20250703_15473jjd5.jpeg")</f>
        <v>SIG-20250703_15473jjd5.jpeg</v>
      </c>
      <c r="Q283" s="3" t="str">
        <f>HYPERLINK("https://www.google.com/maps/place/9.1699873%2C-12.0158883", "9.1699873,-12.0158883")</f>
        <v>9.1699873,-12.0158883</v>
      </c>
    </row>
    <row r="284" ht="15.75" customHeight="1">
      <c r="A284" s="1" t="s">
        <v>933</v>
      </c>
      <c r="B284" s="1" t="s">
        <v>18</v>
      </c>
      <c r="C284" s="1" t="s">
        <v>934</v>
      </c>
      <c r="D284" s="1" t="s">
        <v>935</v>
      </c>
      <c r="E284" s="2">
        <v>45840.0</v>
      </c>
      <c r="F284" s="1" t="s">
        <v>21</v>
      </c>
      <c r="G284" s="1" t="s">
        <v>129</v>
      </c>
      <c r="H284" s="1" t="s">
        <v>557</v>
      </c>
      <c r="I284" s="1">
        <v>189.0</v>
      </c>
      <c r="J284" s="1" t="s">
        <v>24</v>
      </c>
      <c r="K284" s="1">
        <v>189.0</v>
      </c>
      <c r="L284" s="1">
        <v>189.0</v>
      </c>
      <c r="M284" s="1" t="s">
        <v>24</v>
      </c>
      <c r="N284" s="1" t="s">
        <v>24</v>
      </c>
      <c r="O284" s="1" t="s">
        <v>558</v>
      </c>
      <c r="P284" s="3" t="str">
        <f>HYPERLINK("https://icf.clappia.com/app/SOM165486/submission/BYZ52865258/ICF247370-SOM165486-3719b82cofo000000000/SIG-20250703_1510kdkk6.jpeg", "SIG-20250703_1510kdkk6.jpeg")</f>
        <v>SIG-20250703_1510kdkk6.jpeg</v>
      </c>
      <c r="Q284" s="3" t="str">
        <f t="shared" ref="Q284:Q286" si="9">HYPERLINK("https://www.google.com/maps/place/7.5792117%2C-11.940245", "7.5792117,-11.940245")</f>
        <v>7.5792117,-11.940245</v>
      </c>
    </row>
    <row r="285" ht="15.75" customHeight="1">
      <c r="A285" s="1" t="s">
        <v>936</v>
      </c>
      <c r="B285" s="1" t="s">
        <v>18</v>
      </c>
      <c r="C285" s="1" t="s">
        <v>937</v>
      </c>
      <c r="D285" s="1" t="s">
        <v>935</v>
      </c>
      <c r="E285" s="2">
        <v>45839.0</v>
      </c>
      <c r="F285" s="1" t="s">
        <v>21</v>
      </c>
      <c r="G285" s="1" t="s">
        <v>129</v>
      </c>
      <c r="H285" s="1" t="s">
        <v>557</v>
      </c>
      <c r="I285" s="1">
        <v>138.0</v>
      </c>
      <c r="J285" s="1" t="s">
        <v>24</v>
      </c>
      <c r="K285" s="1">
        <v>138.0</v>
      </c>
      <c r="L285" s="1">
        <v>138.0</v>
      </c>
      <c r="M285" s="1" t="s">
        <v>24</v>
      </c>
      <c r="N285" s="1" t="s">
        <v>24</v>
      </c>
      <c r="O285" s="1" t="s">
        <v>558</v>
      </c>
      <c r="P285" s="3" t="str">
        <f>HYPERLINK("https://icf.clappia.com/app/SOM165486/submission/WEO75770712/ICF247370-SOM165486-2kbckof5p85o00000000/SIG-20250703_1508cp18f.jpeg", "SIG-20250703_1508cp18f.jpeg")</f>
        <v>SIG-20250703_1508cp18f.jpeg</v>
      </c>
      <c r="Q285" s="3" t="str">
        <f t="shared" si="9"/>
        <v>7.5792117,-11.940245</v>
      </c>
    </row>
    <row r="286" ht="15.75" customHeight="1">
      <c r="A286" s="1" t="s">
        <v>938</v>
      </c>
      <c r="B286" s="1" t="s">
        <v>18</v>
      </c>
      <c r="C286" s="1" t="s">
        <v>939</v>
      </c>
      <c r="D286" s="1" t="s">
        <v>940</v>
      </c>
      <c r="E286" s="2">
        <v>45838.0</v>
      </c>
      <c r="F286" s="1" t="s">
        <v>21</v>
      </c>
      <c r="G286" s="1" t="s">
        <v>129</v>
      </c>
      <c r="H286" s="1" t="s">
        <v>557</v>
      </c>
      <c r="I286" s="1">
        <v>107.0</v>
      </c>
      <c r="J286" s="1" t="s">
        <v>24</v>
      </c>
      <c r="K286" s="1">
        <v>107.0</v>
      </c>
      <c r="L286" s="1">
        <v>107.0</v>
      </c>
      <c r="M286" s="1" t="s">
        <v>24</v>
      </c>
      <c r="N286" s="1" t="s">
        <v>24</v>
      </c>
      <c r="O286" s="1" t="s">
        <v>558</v>
      </c>
      <c r="P286" s="3" t="str">
        <f>HYPERLINK("https://icf.clappia.com/app/SOM165486/submission/VLO20052103/ICF247370-SOM165486-gd35g697mj9a0000000/SIG-20250703_1505kjfh4.jpeg", "SIG-20250703_1505kjfh4.jpeg")</f>
        <v>SIG-20250703_1505kjfh4.jpeg</v>
      </c>
      <c r="Q286" s="3" t="str">
        <f t="shared" si="9"/>
        <v>7.5792117,-11.940245</v>
      </c>
    </row>
    <row r="287" ht="15.75" customHeight="1">
      <c r="A287" s="1" t="s">
        <v>941</v>
      </c>
      <c r="B287" s="1" t="s">
        <v>18</v>
      </c>
      <c r="C287" s="1" t="s">
        <v>942</v>
      </c>
      <c r="D287" s="1" t="s">
        <v>940</v>
      </c>
      <c r="E287" s="2">
        <v>45841.0</v>
      </c>
      <c r="F287" s="1" t="s">
        <v>21</v>
      </c>
      <c r="G287" s="1" t="s">
        <v>129</v>
      </c>
      <c r="H287" s="1" t="s">
        <v>557</v>
      </c>
      <c r="I287" s="1">
        <v>119.0</v>
      </c>
      <c r="J287" s="1" t="s">
        <v>24</v>
      </c>
      <c r="K287" s="1">
        <v>119.0</v>
      </c>
      <c r="L287" s="1">
        <v>119.0</v>
      </c>
      <c r="M287" s="1" t="s">
        <v>24</v>
      </c>
      <c r="N287" s="1" t="s">
        <v>24</v>
      </c>
      <c r="O287" s="1" t="s">
        <v>558</v>
      </c>
      <c r="P287" s="3" t="str">
        <f>HYPERLINK("https://icf.clappia.com/app/SOM165486/submission/DJG71670050/ICF247370-SOM165486-45ga397dc07400000000/SIG-20250703_150210n0m3.jpeg", "SIG-20250703_150210n0m3.jpeg")</f>
        <v>SIG-20250703_150210n0m3.jpeg</v>
      </c>
      <c r="Q287" s="3" t="str">
        <f>HYPERLINK("https://www.google.com/maps/place/7.59081%2C-11.9406533", "7.59081,-11.9406533")</f>
        <v>7.59081,-11.9406533</v>
      </c>
    </row>
    <row r="288" ht="15.75" customHeight="1">
      <c r="A288" s="1" t="s">
        <v>943</v>
      </c>
      <c r="B288" s="1" t="s">
        <v>18</v>
      </c>
      <c r="C288" s="1" t="s">
        <v>944</v>
      </c>
      <c r="D288" s="1" t="s">
        <v>944</v>
      </c>
      <c r="E288" s="2">
        <v>45839.0</v>
      </c>
      <c r="F288" s="1" t="s">
        <v>21</v>
      </c>
      <c r="G288" s="1" t="s">
        <v>164</v>
      </c>
      <c r="H288" s="1" t="s">
        <v>945</v>
      </c>
      <c r="I288" s="1">
        <v>209.0</v>
      </c>
      <c r="J288" s="1" t="s">
        <v>24</v>
      </c>
      <c r="K288" s="1">
        <v>209.0</v>
      </c>
      <c r="L288" s="1">
        <v>159.0</v>
      </c>
      <c r="M288" s="1">
        <v>50.0</v>
      </c>
      <c r="N288" s="1">
        <v>50.0</v>
      </c>
      <c r="O288" s="1" t="s">
        <v>946</v>
      </c>
      <c r="P288" s="3" t="str">
        <f>HYPERLINK("https://icf.clappia.com/app/SOM165486/submission/HDP17307302/ICF247370-SOM165486-3n0h79664fja00000000/SIG-20250703_1524in13h.jpeg", "SIG-20250703_1524in13h.jpeg")</f>
        <v>SIG-20250703_1524in13h.jpeg</v>
      </c>
      <c r="Q288" s="3" t="str">
        <f>HYPERLINK("https://www.google.com/maps/place/7.7479634%2C-11.9431873", "7.7479634,-11.9431873")</f>
        <v>7.7479634,-11.9431873</v>
      </c>
    </row>
    <row r="289" ht="15.75" customHeight="1">
      <c r="A289" s="1" t="s">
        <v>947</v>
      </c>
      <c r="B289" s="1" t="s">
        <v>18</v>
      </c>
      <c r="C289" s="1" t="s">
        <v>948</v>
      </c>
      <c r="D289" s="1" t="s">
        <v>948</v>
      </c>
      <c r="E289" s="2">
        <v>45841.0</v>
      </c>
      <c r="F289" s="1" t="s">
        <v>21</v>
      </c>
      <c r="G289" s="1" t="s">
        <v>129</v>
      </c>
      <c r="H289" s="1" t="s">
        <v>557</v>
      </c>
      <c r="I289" s="1">
        <v>150.0</v>
      </c>
      <c r="J289" s="1" t="s">
        <v>24</v>
      </c>
      <c r="K289" s="1">
        <v>150.0</v>
      </c>
      <c r="L289" s="1">
        <v>122.0</v>
      </c>
      <c r="M289" s="1">
        <v>28.0</v>
      </c>
      <c r="N289" s="1">
        <v>28.0</v>
      </c>
      <c r="O289" s="1" t="s">
        <v>574</v>
      </c>
      <c r="P289" s="3" t="str">
        <f>HYPERLINK("https://icf.clappia.com/app/SOM165486/submission/NXZ45672576/ICF247370-SOM165486-2ioek9i36j8i00000000/SIG-20250703_1524184oa8.jpeg", "SIG-20250703_1524184oa8.jpeg")</f>
        <v>SIG-20250703_1524184oa8.jpeg</v>
      </c>
      <c r="Q289" s="3" t="str">
        <f>HYPERLINK("https://www.google.com/maps/place/7.5748717%2C-11.93802", "7.5748717,-11.93802")</f>
        <v>7.5748717,-11.93802</v>
      </c>
    </row>
    <row r="290" ht="15.75" customHeight="1">
      <c r="A290" s="1" t="s">
        <v>949</v>
      </c>
      <c r="B290" s="1" t="s">
        <v>18</v>
      </c>
      <c r="C290" s="1" t="s">
        <v>950</v>
      </c>
      <c r="D290" s="1" t="s">
        <v>950</v>
      </c>
      <c r="E290" s="2">
        <v>45840.0</v>
      </c>
      <c r="F290" s="1" t="s">
        <v>21</v>
      </c>
      <c r="G290" s="1" t="s">
        <v>129</v>
      </c>
      <c r="H290" s="1" t="s">
        <v>557</v>
      </c>
      <c r="I290" s="1">
        <v>150.0</v>
      </c>
      <c r="J290" s="1" t="s">
        <v>24</v>
      </c>
      <c r="K290" s="1">
        <v>150.0</v>
      </c>
      <c r="L290" s="1">
        <v>139.0</v>
      </c>
      <c r="M290" s="1">
        <v>11.0</v>
      </c>
      <c r="N290" s="1">
        <v>11.0</v>
      </c>
      <c r="O290" s="1" t="s">
        <v>574</v>
      </c>
      <c r="P290" s="3" t="str">
        <f>HYPERLINK("https://icf.clappia.com/app/SOM165486/submission/KZC08662830/ICF247370-SOM165486-130798dhc4m2k0000000/SIG-20250703_1523bkm5p.jpeg", "SIG-20250703_1523bkm5p.jpeg")</f>
        <v>SIG-20250703_1523bkm5p.jpeg</v>
      </c>
      <c r="Q290" s="3" t="str">
        <f>HYPERLINK("https://www.google.com/maps/place/7.5748367%2C-11.9380017", "7.5748367,-11.9380017")</f>
        <v>7.5748367,-11.9380017</v>
      </c>
    </row>
    <row r="291" ht="15.75" customHeight="1">
      <c r="A291" s="1" t="s">
        <v>951</v>
      </c>
      <c r="B291" s="1" t="s">
        <v>18</v>
      </c>
      <c r="C291" s="1" t="s">
        <v>155</v>
      </c>
      <c r="D291" s="1" t="s">
        <v>155</v>
      </c>
      <c r="E291" s="2">
        <v>45839.0</v>
      </c>
      <c r="F291" s="1" t="s">
        <v>21</v>
      </c>
      <c r="G291" s="1" t="s">
        <v>129</v>
      </c>
      <c r="H291" s="1" t="s">
        <v>557</v>
      </c>
      <c r="I291" s="1">
        <v>109.0</v>
      </c>
      <c r="J291" s="1" t="s">
        <v>24</v>
      </c>
      <c r="K291" s="1">
        <v>109.0</v>
      </c>
      <c r="L291" s="1">
        <v>109.0</v>
      </c>
      <c r="M291" s="1" t="s">
        <v>24</v>
      </c>
      <c r="N291" s="1" t="s">
        <v>24</v>
      </c>
      <c r="O291" s="1" t="s">
        <v>574</v>
      </c>
      <c r="P291" s="3" t="str">
        <f>HYPERLINK("https://icf.clappia.com/app/SOM165486/submission/HFJ13541700/ICF247370-SOM165486-4imgmjfh95io00000000/SIG-20250703_1521129pp9.jpeg", "SIG-20250703_1521129pp9.jpeg")</f>
        <v>SIG-20250703_1521129pp9.jpeg</v>
      </c>
      <c r="Q291" s="3" t="str">
        <f>HYPERLINK("https://www.google.com/maps/place/7.5750517%2C-11.93787", "7.5750517,-11.93787")</f>
        <v>7.5750517,-11.93787</v>
      </c>
    </row>
    <row r="292" ht="15.75" customHeight="1">
      <c r="A292" s="1" t="s">
        <v>952</v>
      </c>
      <c r="B292" s="1" t="s">
        <v>18</v>
      </c>
      <c r="C292" s="1" t="s">
        <v>953</v>
      </c>
      <c r="D292" s="1" t="s">
        <v>953</v>
      </c>
      <c r="E292" s="2">
        <v>45838.0</v>
      </c>
      <c r="F292" s="1" t="s">
        <v>21</v>
      </c>
      <c r="G292" s="1" t="s">
        <v>129</v>
      </c>
      <c r="H292" s="1" t="s">
        <v>557</v>
      </c>
      <c r="I292" s="1">
        <v>150.0</v>
      </c>
      <c r="J292" s="1" t="s">
        <v>24</v>
      </c>
      <c r="K292" s="1">
        <v>150.0</v>
      </c>
      <c r="L292" s="1">
        <v>150.0</v>
      </c>
      <c r="M292" s="1" t="s">
        <v>24</v>
      </c>
      <c r="N292" s="1" t="s">
        <v>24</v>
      </c>
      <c r="O292" s="1" t="s">
        <v>574</v>
      </c>
      <c r="P292" s="3" t="str">
        <f>HYPERLINK("https://icf.clappia.com/app/SOM165486/submission/NAU43741008/ICF247370-SOM165486-5j66ja4dok4a00000000/SIG-20250703_15209ibo0.jpeg", "SIG-20250703_15209ibo0.jpeg")</f>
        <v>SIG-20250703_15209ibo0.jpeg</v>
      </c>
      <c r="Q292" s="3" t="str">
        <f>HYPERLINK("https://www.google.com/maps/place/7.5751367%2C-11.9380067", "7.5751367,-11.9380067")</f>
        <v>7.5751367,-11.9380067</v>
      </c>
    </row>
    <row r="293" ht="15.75" customHeight="1">
      <c r="A293" s="1" t="s">
        <v>954</v>
      </c>
      <c r="B293" s="1" t="s">
        <v>18</v>
      </c>
      <c r="C293" s="1" t="s">
        <v>955</v>
      </c>
      <c r="D293" s="1" t="s">
        <v>955</v>
      </c>
      <c r="E293" s="2">
        <v>45841.0</v>
      </c>
      <c r="F293" s="1" t="s">
        <v>21</v>
      </c>
      <c r="G293" s="1" t="s">
        <v>95</v>
      </c>
      <c r="H293" s="1" t="s">
        <v>710</v>
      </c>
      <c r="I293" s="1">
        <v>158.0</v>
      </c>
      <c r="J293" s="1" t="s">
        <v>24</v>
      </c>
      <c r="K293" s="1">
        <v>158.0</v>
      </c>
      <c r="L293" s="1">
        <v>158.0</v>
      </c>
      <c r="M293" s="1" t="s">
        <v>24</v>
      </c>
      <c r="N293" s="1" t="s">
        <v>24</v>
      </c>
      <c r="O293" s="1" t="s">
        <v>956</v>
      </c>
      <c r="P293" s="3" t="str">
        <f>HYPERLINK("https://icf.clappia.com/app/SOM165486/submission/EOV90671676/ICF247370-SOM165486-3kfd44bk1l6400000000/SIG-20250703_151815jl0j.jpeg", "SIG-20250703_151815jl0j.jpeg")</f>
        <v>SIG-20250703_151815jl0j.jpeg</v>
      </c>
      <c r="Q293" s="3" t="str">
        <f>HYPERLINK("https://www.google.com/maps/place/7.9484991%2C-11.7112773", "7.9484991,-11.7112773")</f>
        <v>7.9484991,-11.7112773</v>
      </c>
    </row>
    <row r="294" ht="15.75" customHeight="1">
      <c r="A294" s="1" t="s">
        <v>957</v>
      </c>
      <c r="B294" s="1" t="s">
        <v>18</v>
      </c>
      <c r="C294" s="1" t="s">
        <v>958</v>
      </c>
      <c r="D294" s="1" t="s">
        <v>958</v>
      </c>
      <c r="E294" s="2">
        <v>45841.0</v>
      </c>
      <c r="F294" s="1" t="s">
        <v>21</v>
      </c>
      <c r="G294" s="1" t="s">
        <v>129</v>
      </c>
      <c r="H294" s="1" t="s">
        <v>959</v>
      </c>
      <c r="I294" s="1">
        <v>169.0</v>
      </c>
      <c r="J294" s="1" t="s">
        <v>24</v>
      </c>
      <c r="K294" s="1">
        <v>169.0</v>
      </c>
      <c r="L294" s="1">
        <v>169.0</v>
      </c>
      <c r="M294" s="1" t="s">
        <v>24</v>
      </c>
      <c r="N294" s="1" t="s">
        <v>24</v>
      </c>
      <c r="O294" s="1" t="s">
        <v>960</v>
      </c>
      <c r="P294" s="3" t="str">
        <f>HYPERLINK("https://icf.clappia.com/app/SOM165486/submission/PNW73295240/ICF247370-SOM165486-42k53k9hbmni00000000/SIG-20250703_091518c1b1.jpeg", "SIG-20250703_091518c1b1.jpeg")</f>
        <v>SIG-20250703_091518c1b1.jpeg</v>
      </c>
      <c r="Q294" s="3" t="str">
        <f>HYPERLINK("https://www.google.com/maps/place/7.5783647%2C-11.937838", "7.5783647,-11.937838")</f>
        <v>7.5783647,-11.937838</v>
      </c>
    </row>
    <row r="295" ht="15.75" customHeight="1">
      <c r="A295" s="1" t="s">
        <v>961</v>
      </c>
      <c r="B295" s="1" t="s">
        <v>18</v>
      </c>
      <c r="C295" s="1" t="s">
        <v>958</v>
      </c>
      <c r="D295" s="1" t="s">
        <v>958</v>
      </c>
      <c r="E295" s="2">
        <v>45839.0</v>
      </c>
      <c r="F295" s="1" t="s">
        <v>21</v>
      </c>
      <c r="G295" s="1" t="s">
        <v>421</v>
      </c>
      <c r="H295" s="1" t="s">
        <v>962</v>
      </c>
      <c r="I295" s="1">
        <v>200.0</v>
      </c>
      <c r="J295" s="1" t="s">
        <v>24</v>
      </c>
      <c r="K295" s="1">
        <v>200.0</v>
      </c>
      <c r="L295" s="1">
        <v>167.0</v>
      </c>
      <c r="M295" s="1">
        <v>33.0</v>
      </c>
      <c r="N295" s="1">
        <v>33.0</v>
      </c>
      <c r="O295" s="1" t="s">
        <v>963</v>
      </c>
      <c r="P295" s="3" t="str">
        <f>HYPERLINK("https://icf.clappia.com/app/SOM165486/submission/UKP36738034/ICF247370-SOM165486-2gl19jkdg35400000000/SIG-20250703_1514oig2f.jpeg", "SIG-20250703_1514oig2f.jpeg")</f>
        <v>SIG-20250703_1514oig2f.jpeg</v>
      </c>
      <c r="Q295" s="3" t="str">
        <f>HYPERLINK("https://www.google.com/maps/place/8.0197755%2C-11.5818311", "8.0197755,-11.5818311")</f>
        <v>8.0197755,-11.5818311</v>
      </c>
    </row>
    <row r="296" ht="15.75" customHeight="1">
      <c r="A296" s="1" t="s">
        <v>964</v>
      </c>
      <c r="B296" s="1" t="s">
        <v>18</v>
      </c>
      <c r="C296" s="1" t="s">
        <v>965</v>
      </c>
      <c r="D296" s="1" t="s">
        <v>965</v>
      </c>
      <c r="E296" s="2">
        <v>45840.0</v>
      </c>
      <c r="F296" s="1" t="s">
        <v>21</v>
      </c>
      <c r="G296" s="1" t="s">
        <v>164</v>
      </c>
      <c r="H296" s="1" t="s">
        <v>945</v>
      </c>
      <c r="I296" s="1">
        <v>136.0</v>
      </c>
      <c r="J296" s="1" t="s">
        <v>24</v>
      </c>
      <c r="K296" s="1">
        <v>136.0</v>
      </c>
      <c r="L296" s="1">
        <v>86.0</v>
      </c>
      <c r="M296" s="1">
        <v>50.0</v>
      </c>
      <c r="N296" s="1">
        <v>50.0</v>
      </c>
      <c r="O296" s="1" t="s">
        <v>966</v>
      </c>
      <c r="P296" s="3" t="str">
        <f>HYPERLINK("https://icf.clappia.com/app/SOM165486/submission/PBS77209410/ICF247370-SOM165486-4i3ohpi4d3oe00000000/SIG-20250703_15123gkb.jpeg", "SIG-20250703_15123gkb.jpeg")</f>
        <v>SIG-20250703_15123gkb.jpeg</v>
      </c>
      <c r="Q296" s="3" t="str">
        <f>HYPERLINK("https://www.google.com/maps/place/7.7260589%2C-11.9164436", "7.7260589,-11.9164436")</f>
        <v>7.7260589,-11.9164436</v>
      </c>
    </row>
    <row r="297" ht="15.75" customHeight="1">
      <c r="A297" s="1" t="s">
        <v>967</v>
      </c>
      <c r="B297" s="1" t="s">
        <v>18</v>
      </c>
      <c r="C297" s="1" t="s">
        <v>968</v>
      </c>
      <c r="D297" s="1" t="s">
        <v>968</v>
      </c>
      <c r="E297" s="2">
        <v>45840.0</v>
      </c>
      <c r="F297" s="1" t="s">
        <v>21</v>
      </c>
      <c r="G297" s="1" t="s">
        <v>95</v>
      </c>
      <c r="H297" s="1" t="s">
        <v>710</v>
      </c>
      <c r="I297" s="1">
        <v>342.0</v>
      </c>
      <c r="J297" s="1" t="s">
        <v>24</v>
      </c>
      <c r="K297" s="1">
        <v>342.0</v>
      </c>
      <c r="L297" s="1">
        <v>342.0</v>
      </c>
      <c r="M297" s="1" t="s">
        <v>24</v>
      </c>
      <c r="N297" s="1" t="s">
        <v>24</v>
      </c>
      <c r="O297" s="1" t="s">
        <v>956</v>
      </c>
      <c r="P297" s="3" t="str">
        <f>HYPERLINK("https://icf.clappia.com/app/SOM165486/submission/YFL65598588/ICF247370-SOM165486-45jj8jlb5pdk00000000/SIG-20250703_1513hdjhh.jpeg", "SIG-20250703_1513hdjhh.jpeg")</f>
        <v>SIG-20250703_1513hdjhh.jpeg</v>
      </c>
      <c r="Q297" s="3" t="str">
        <f>HYPERLINK("https://www.google.com/maps/place/7.9501081%2C-11.7130939", "7.9501081,-11.7130939")</f>
        <v>7.9501081,-11.7130939</v>
      </c>
    </row>
    <row r="298" ht="15.75" customHeight="1">
      <c r="A298" s="1" t="s">
        <v>969</v>
      </c>
      <c r="B298" s="1" t="s">
        <v>18</v>
      </c>
      <c r="C298" s="1" t="s">
        <v>968</v>
      </c>
      <c r="D298" s="1" t="s">
        <v>968</v>
      </c>
      <c r="E298" s="2">
        <v>45841.0</v>
      </c>
      <c r="F298" s="1" t="s">
        <v>21</v>
      </c>
      <c r="G298" s="1" t="s">
        <v>95</v>
      </c>
      <c r="H298" s="1" t="s">
        <v>216</v>
      </c>
      <c r="I298" s="1">
        <v>135.0</v>
      </c>
      <c r="J298" s="1" t="s">
        <v>24</v>
      </c>
      <c r="K298" s="1">
        <v>135.0</v>
      </c>
      <c r="L298" s="1">
        <v>135.0</v>
      </c>
      <c r="M298" s="1" t="s">
        <v>24</v>
      </c>
      <c r="N298" s="1" t="s">
        <v>24</v>
      </c>
      <c r="O298" s="1" t="s">
        <v>970</v>
      </c>
      <c r="P298" s="3" t="str">
        <f>HYPERLINK("https://icf.clappia.com/app/SOM165486/submission/KIF34699529/ICF247370-SOM165486-3d8fn100gmea00000000/SIG-20250703_1512125m0p.jpeg", "SIG-20250703_1512125m0p.jpeg")</f>
        <v>SIG-20250703_1512125m0p.jpeg</v>
      </c>
      <c r="Q298" s="3" t="str">
        <f>HYPERLINK("https://www.google.com/maps/place/7.9561113%2C-11.7493596", "7.9561113,-11.7493596")</f>
        <v>7.9561113,-11.7493596</v>
      </c>
    </row>
    <row r="299" ht="15.75" customHeight="1">
      <c r="A299" s="1" t="s">
        <v>971</v>
      </c>
      <c r="B299" s="1" t="s">
        <v>18</v>
      </c>
      <c r="C299" s="1" t="s">
        <v>934</v>
      </c>
      <c r="D299" s="1" t="s">
        <v>934</v>
      </c>
      <c r="E299" s="2">
        <v>45841.0</v>
      </c>
      <c r="F299" s="1" t="s">
        <v>21</v>
      </c>
      <c r="G299" s="1" t="s">
        <v>35</v>
      </c>
      <c r="H299" s="1" t="s">
        <v>972</v>
      </c>
      <c r="I299" s="1">
        <v>161.0</v>
      </c>
      <c r="J299" s="1">
        <v>17.0</v>
      </c>
      <c r="K299" s="1">
        <v>178.0</v>
      </c>
      <c r="L299" s="1">
        <v>178.0</v>
      </c>
      <c r="M299" s="1" t="s">
        <v>24</v>
      </c>
      <c r="N299" s="1" t="s">
        <v>24</v>
      </c>
      <c r="O299" s="1" t="s">
        <v>973</v>
      </c>
      <c r="P299" s="3" t="str">
        <f>HYPERLINK("https://icf.clappia.com/app/SOM165486/submission/HTB74340995/ICF247370-SOM165486-1a43f3mnk71jm0000000/SIG-20250703_1508icfk0.jpeg", "SIG-20250703_1508icfk0.jpeg")</f>
        <v>SIG-20250703_1508icfk0.jpeg</v>
      </c>
      <c r="Q299" s="3" t="str">
        <f>HYPERLINK("https://www.google.com/maps/place/8.23769%2C-11.6906817", "8.23769,-11.6906817")</f>
        <v>8.23769,-11.6906817</v>
      </c>
    </row>
    <row r="300" ht="15.75" customHeight="1">
      <c r="A300" s="1" t="s">
        <v>974</v>
      </c>
      <c r="B300" s="1" t="s">
        <v>18</v>
      </c>
      <c r="C300" s="1" t="s">
        <v>975</v>
      </c>
      <c r="D300" s="1" t="s">
        <v>975</v>
      </c>
      <c r="E300" s="2">
        <v>45841.0</v>
      </c>
      <c r="F300" s="1" t="s">
        <v>21</v>
      </c>
      <c r="G300" s="1" t="s">
        <v>95</v>
      </c>
      <c r="H300" s="1" t="s">
        <v>710</v>
      </c>
      <c r="I300" s="1">
        <v>78.0</v>
      </c>
      <c r="J300" s="1" t="s">
        <v>24</v>
      </c>
      <c r="K300" s="1">
        <v>78.0</v>
      </c>
      <c r="L300" s="1">
        <v>65.0</v>
      </c>
      <c r="M300" s="1">
        <v>13.0</v>
      </c>
      <c r="N300" s="1">
        <v>13.0</v>
      </c>
      <c r="O300" s="1" t="s">
        <v>976</v>
      </c>
      <c r="P300" s="3" t="str">
        <f>HYPERLINK("https://icf.clappia.com/app/SOM165486/submission/DGS58503465/ICF247370-SOM165486-4k3ko3fml59200000000/SIG-20250703_150720mp6.jpeg", "SIG-20250703_150720mp6.jpeg")</f>
        <v>SIG-20250703_150720mp6.jpeg</v>
      </c>
      <c r="Q300" s="3" t="str">
        <f>HYPERLINK("https://www.google.com/maps/place/7.94563%2C-11.70809", "7.94563,-11.70809")</f>
        <v>7.94563,-11.70809</v>
      </c>
    </row>
    <row r="301" ht="15.75" customHeight="1">
      <c r="A301" s="1" t="s">
        <v>977</v>
      </c>
      <c r="B301" s="1" t="s">
        <v>18</v>
      </c>
      <c r="C301" s="1" t="s">
        <v>975</v>
      </c>
      <c r="D301" s="1" t="s">
        <v>975</v>
      </c>
      <c r="E301" s="2">
        <v>45839.0</v>
      </c>
      <c r="F301" s="1" t="s">
        <v>21</v>
      </c>
      <c r="G301" s="1" t="s">
        <v>164</v>
      </c>
      <c r="H301" s="1" t="s">
        <v>945</v>
      </c>
      <c r="I301" s="1">
        <v>209.0</v>
      </c>
      <c r="J301" s="1" t="s">
        <v>24</v>
      </c>
      <c r="K301" s="1">
        <v>209.0</v>
      </c>
      <c r="L301" s="1">
        <v>159.0</v>
      </c>
      <c r="M301" s="1">
        <v>50.0</v>
      </c>
      <c r="N301" s="1">
        <v>50.0</v>
      </c>
      <c r="O301" s="1" t="s">
        <v>978</v>
      </c>
      <c r="P301" s="3" t="str">
        <f>HYPERLINK("https://icf.clappia.com/app/SOM165486/submission/OOS42120001/ICF247370-SOM165486-5pnlfpb6en9e00000000/SIG-20250703_1506120n35.jpeg", "SIG-20250703_1506120n35.jpeg")</f>
        <v>SIG-20250703_1506120n35.jpeg</v>
      </c>
      <c r="Q301" s="3" t="str">
        <f>HYPERLINK("https://www.google.com/maps/place/7.7260589%2C-11.9164436", "7.7260589,-11.9164436")</f>
        <v>7.7260589,-11.9164436</v>
      </c>
    </row>
    <row r="302" ht="15.75" customHeight="1">
      <c r="A302" s="1" t="s">
        <v>979</v>
      </c>
      <c r="B302" s="1" t="s">
        <v>18</v>
      </c>
      <c r="C302" s="1" t="s">
        <v>975</v>
      </c>
      <c r="D302" s="1" t="s">
        <v>975</v>
      </c>
      <c r="E302" s="2">
        <v>45839.0</v>
      </c>
      <c r="F302" s="1" t="s">
        <v>21</v>
      </c>
      <c r="G302" s="1" t="s">
        <v>35</v>
      </c>
      <c r="H302" s="1" t="s">
        <v>871</v>
      </c>
      <c r="I302" s="1">
        <v>113.0</v>
      </c>
      <c r="J302" s="1" t="s">
        <v>24</v>
      </c>
      <c r="K302" s="1">
        <v>113.0</v>
      </c>
      <c r="L302" s="1">
        <v>113.0</v>
      </c>
      <c r="M302" s="1" t="s">
        <v>24</v>
      </c>
      <c r="N302" s="1" t="s">
        <v>24</v>
      </c>
      <c r="O302" s="1" t="s">
        <v>873</v>
      </c>
      <c r="P302" s="3" t="str">
        <f>HYPERLINK("https://icf.clappia.com/app/SOM165486/submission/AZW19780925/ICF247370-SOM165486-303j7l7e5lp400000000/SIG-20250703_15079hilg.jpeg", "SIG-20250703_15079hilg.jpeg")</f>
        <v>SIG-20250703_15079hilg.jpeg</v>
      </c>
      <c r="Q302" s="3" t="str">
        <f>HYPERLINK("https://www.google.com/maps/place/8.2371733%2C-11.69018", "8.2371733,-11.69018")</f>
        <v>8.2371733,-11.69018</v>
      </c>
    </row>
    <row r="303" ht="15.75" customHeight="1">
      <c r="A303" s="1" t="s">
        <v>980</v>
      </c>
      <c r="B303" s="1" t="s">
        <v>18</v>
      </c>
      <c r="C303" s="1" t="s">
        <v>981</v>
      </c>
      <c r="D303" s="1" t="s">
        <v>981</v>
      </c>
      <c r="E303" s="2">
        <v>45841.0</v>
      </c>
      <c r="F303" s="1" t="s">
        <v>21</v>
      </c>
      <c r="G303" s="1" t="s">
        <v>95</v>
      </c>
      <c r="H303" s="1" t="s">
        <v>710</v>
      </c>
      <c r="I303" s="1">
        <v>146.0</v>
      </c>
      <c r="J303" s="1" t="s">
        <v>24</v>
      </c>
      <c r="K303" s="1">
        <v>146.0</v>
      </c>
      <c r="L303" s="1">
        <v>146.0</v>
      </c>
      <c r="M303" s="1" t="s">
        <v>24</v>
      </c>
      <c r="N303" s="1" t="s">
        <v>24</v>
      </c>
      <c r="O303" s="1" t="s">
        <v>956</v>
      </c>
      <c r="P303" s="3" t="str">
        <f>HYPERLINK("https://icf.clappia.com/app/SOM165486/submission/RLX27484347/ICF247370-SOM165486-4dpm6id12kn400000000/SIG-20250703_1504nh589.jpeg", "SIG-20250703_1504nh589.jpeg")</f>
        <v>SIG-20250703_1504nh589.jpeg</v>
      </c>
      <c r="Q303" s="3" t="str">
        <f>HYPERLINK("https://www.google.com/maps/place/7.9488234%2C-11.7116332", "7.9488234,-11.7116332")</f>
        <v>7.9488234,-11.7116332</v>
      </c>
    </row>
    <row r="304" ht="15.75" customHeight="1">
      <c r="A304" s="1" t="s">
        <v>982</v>
      </c>
      <c r="B304" s="1" t="s">
        <v>18</v>
      </c>
      <c r="C304" s="1" t="s">
        <v>983</v>
      </c>
      <c r="D304" s="1" t="s">
        <v>983</v>
      </c>
      <c r="E304" s="2">
        <v>45839.0</v>
      </c>
      <c r="F304" s="1" t="s">
        <v>21</v>
      </c>
      <c r="G304" s="1" t="s">
        <v>421</v>
      </c>
      <c r="H304" s="1" t="s">
        <v>777</v>
      </c>
      <c r="I304" s="1">
        <v>262.0</v>
      </c>
      <c r="J304" s="1" t="s">
        <v>24</v>
      </c>
      <c r="K304" s="1">
        <v>262.0</v>
      </c>
      <c r="L304" s="1">
        <v>258.0</v>
      </c>
      <c r="M304" s="1">
        <v>4.0</v>
      </c>
      <c r="N304" s="1" t="s">
        <v>24</v>
      </c>
      <c r="O304" s="1" t="s">
        <v>984</v>
      </c>
      <c r="P304" s="3" t="str">
        <f>HYPERLINK("https://icf.clappia.com/app/SOM165486/submission/XHG22356517/ICF247370-SOM165486-1pk8kb68ca74c0000000/SIG-20250703_1502ic7nn.jpeg", "SIG-20250703_1502ic7nn.jpeg")</f>
        <v>SIG-20250703_1502ic7nn.jpeg</v>
      </c>
      <c r="Q304" s="3" t="str">
        <f>HYPERLINK("https://www.google.com/maps/place/7.999485%2C-11.4982483", "7.999485,-11.4982483")</f>
        <v>7.999485,-11.4982483</v>
      </c>
    </row>
    <row r="305" ht="15.75" customHeight="1">
      <c r="A305" s="1" t="s">
        <v>985</v>
      </c>
      <c r="B305" s="1" t="s">
        <v>18</v>
      </c>
      <c r="C305" s="1" t="s">
        <v>986</v>
      </c>
      <c r="D305" s="1" t="s">
        <v>986</v>
      </c>
      <c r="E305" s="2">
        <v>45841.0</v>
      </c>
      <c r="F305" s="1" t="s">
        <v>21</v>
      </c>
      <c r="G305" s="1" t="s">
        <v>77</v>
      </c>
      <c r="H305" s="1" t="s">
        <v>561</v>
      </c>
      <c r="I305" s="1">
        <v>430.0</v>
      </c>
      <c r="J305" s="1" t="s">
        <v>24</v>
      </c>
      <c r="K305" s="1">
        <v>430.0</v>
      </c>
      <c r="L305" s="1">
        <v>430.0</v>
      </c>
      <c r="M305" s="1" t="s">
        <v>24</v>
      </c>
      <c r="N305" s="1" t="s">
        <v>24</v>
      </c>
      <c r="O305" s="1" t="s">
        <v>562</v>
      </c>
      <c r="P305" s="3" t="str">
        <f>HYPERLINK("https://icf.clappia.com/app/SOM165486/submission/HJG89574444/ICF247370-SOM165486-3p30noan4cak00000000/SIG-20250703_1503141g99.jpeg", "SIG-20250703_1503141g99.jpeg")</f>
        <v>SIG-20250703_1503141g99.jpeg</v>
      </c>
      <c r="Q305" s="3" t="str">
        <f>HYPERLINK("https://www.google.com/maps/place/7.9462303%2C-11.7322742", "7.9462303,-11.7322742")</f>
        <v>7.9462303,-11.7322742</v>
      </c>
    </row>
    <row r="306" ht="15.75" customHeight="1">
      <c r="A306" s="1" t="s">
        <v>987</v>
      </c>
      <c r="B306" s="1" t="s">
        <v>18</v>
      </c>
      <c r="C306" s="1" t="s">
        <v>988</v>
      </c>
      <c r="D306" s="1" t="s">
        <v>988</v>
      </c>
      <c r="E306" s="2">
        <v>45841.0</v>
      </c>
      <c r="F306" s="1" t="s">
        <v>21</v>
      </c>
      <c r="G306" s="1" t="s">
        <v>95</v>
      </c>
      <c r="H306" s="1" t="s">
        <v>710</v>
      </c>
      <c r="I306" s="1">
        <v>182.0</v>
      </c>
      <c r="J306" s="1" t="s">
        <v>24</v>
      </c>
      <c r="K306" s="1">
        <v>182.0</v>
      </c>
      <c r="L306" s="1">
        <v>172.0</v>
      </c>
      <c r="M306" s="1">
        <v>10.0</v>
      </c>
      <c r="N306" s="1">
        <v>10.0</v>
      </c>
      <c r="O306" s="1" t="s">
        <v>989</v>
      </c>
      <c r="P306" s="3" t="str">
        <f>HYPERLINK("https://icf.clappia.com/app/SOM165486/submission/KUH11785993/ICF247370-SOM165486-10pl8m15jdi9m0000000/SIG-20250703_1454oc362.jpeg", "SIG-20250703_1454oc362.jpeg")</f>
        <v>SIG-20250703_1454oc362.jpeg</v>
      </c>
      <c r="Q306" s="3" t="str">
        <f>HYPERLINK("https://www.google.com/maps/place/7.9483051%2C-11.7052014", "7.9483051,-11.7052014")</f>
        <v>7.9483051,-11.7052014</v>
      </c>
    </row>
    <row r="307" ht="15.75" customHeight="1">
      <c r="A307" s="1" t="s">
        <v>990</v>
      </c>
      <c r="B307" s="1" t="s">
        <v>18</v>
      </c>
      <c r="C307" s="1" t="s">
        <v>991</v>
      </c>
      <c r="D307" s="1" t="s">
        <v>991</v>
      </c>
      <c r="E307" s="2">
        <v>45841.0</v>
      </c>
      <c r="F307" s="1" t="s">
        <v>21</v>
      </c>
      <c r="G307" s="1" t="s">
        <v>95</v>
      </c>
      <c r="H307" s="1" t="s">
        <v>216</v>
      </c>
      <c r="I307" s="1">
        <v>136.0</v>
      </c>
      <c r="J307" s="1" t="s">
        <v>24</v>
      </c>
      <c r="K307" s="1">
        <v>136.0</v>
      </c>
      <c r="L307" s="1">
        <v>136.0</v>
      </c>
      <c r="M307" s="1" t="s">
        <v>24</v>
      </c>
      <c r="N307" s="1" t="s">
        <v>24</v>
      </c>
      <c r="O307" s="1" t="s">
        <v>992</v>
      </c>
      <c r="P307" s="3" t="str">
        <f>HYPERLINK("https://icf.clappia.com/app/SOM165486/submission/HFZ48060471/ICF247370-SOM165486-518187nm116200000000/SIG-20250703_1450hijh7.jpeg", "SIG-20250703_1450hijh7.jpeg")</f>
        <v>SIG-20250703_1450hijh7.jpeg</v>
      </c>
      <c r="Q307" s="3" t="str">
        <f>HYPERLINK("https://www.google.com/maps/place/7.9562867%2C-11.7607317", "7.9562867,-11.7607317")</f>
        <v>7.9562867,-11.7607317</v>
      </c>
    </row>
    <row r="308" ht="15.75" customHeight="1">
      <c r="A308" s="1" t="s">
        <v>993</v>
      </c>
      <c r="B308" s="1" t="s">
        <v>18</v>
      </c>
      <c r="C308" s="1" t="s">
        <v>994</v>
      </c>
      <c r="D308" s="1" t="s">
        <v>994</v>
      </c>
      <c r="E308" s="2">
        <v>45841.0</v>
      </c>
      <c r="F308" s="1" t="s">
        <v>21</v>
      </c>
      <c r="G308" s="1" t="s">
        <v>95</v>
      </c>
      <c r="H308" s="1" t="s">
        <v>995</v>
      </c>
      <c r="I308" s="1">
        <v>110.0</v>
      </c>
      <c r="J308" s="1" t="s">
        <v>24</v>
      </c>
      <c r="K308" s="1">
        <v>110.0</v>
      </c>
      <c r="L308" s="1">
        <v>110.0</v>
      </c>
      <c r="M308" s="1" t="s">
        <v>24</v>
      </c>
      <c r="N308" s="1" t="s">
        <v>24</v>
      </c>
      <c r="O308" s="1" t="s">
        <v>996</v>
      </c>
      <c r="P308" s="3" t="str">
        <f>HYPERLINK("https://icf.clappia.com/app/SOM165486/submission/EQD76077283/ICF247370-SOM165486-2hp67j4ej3dc00000000/SIG-20250703_14331dn7a.jpeg", "SIG-20250703_14331dn7a.jpeg")</f>
        <v>SIG-20250703_14331dn7a.jpeg</v>
      </c>
      <c r="Q308" s="3" t="str">
        <f>HYPERLINK("https://www.google.com/maps/place/7.9795767%2C-11.5914167", "7.9795767,-11.5914167")</f>
        <v>7.9795767,-11.5914167</v>
      </c>
    </row>
    <row r="309" ht="15.75" customHeight="1">
      <c r="A309" s="1" t="s">
        <v>997</v>
      </c>
      <c r="B309" s="1" t="s">
        <v>18</v>
      </c>
      <c r="C309" s="1" t="s">
        <v>998</v>
      </c>
      <c r="D309" s="1" t="s">
        <v>999</v>
      </c>
      <c r="E309" s="2">
        <v>45841.0</v>
      </c>
      <c r="F309" s="1" t="s">
        <v>21</v>
      </c>
      <c r="G309" s="1" t="s">
        <v>164</v>
      </c>
      <c r="H309" s="1" t="s">
        <v>887</v>
      </c>
      <c r="I309" s="1">
        <v>200.0</v>
      </c>
      <c r="J309" s="1" t="s">
        <v>24</v>
      </c>
      <c r="K309" s="1">
        <v>200.0</v>
      </c>
      <c r="L309" s="1">
        <v>50.0</v>
      </c>
      <c r="M309" s="1">
        <v>150.0</v>
      </c>
      <c r="N309" s="1">
        <v>150.0</v>
      </c>
      <c r="O309" s="1" t="s">
        <v>891</v>
      </c>
      <c r="P309" s="3" t="str">
        <f>HYPERLINK("https://icf.clappia.com/app/SOM165486/submission/ZWG52157518/ICF247370-SOM165486-5kna6jflb98400000000/SIG-20250703_14443h4ne.jpeg", "SIG-20250703_14443h4ne.jpeg")</f>
        <v>SIG-20250703_14443h4ne.jpeg</v>
      </c>
      <c r="Q309" s="3" t="str">
        <f>HYPERLINK("https://www.google.com/maps/place/7.9065683%2C-11.9831083", "7.9065683,-11.9831083")</f>
        <v>7.9065683,-11.9831083</v>
      </c>
    </row>
    <row r="310" ht="15.75" customHeight="1">
      <c r="A310" s="1" t="s">
        <v>1000</v>
      </c>
      <c r="B310" s="1" t="s">
        <v>18</v>
      </c>
      <c r="C310" s="1" t="s">
        <v>999</v>
      </c>
      <c r="D310" s="1" t="s">
        <v>999</v>
      </c>
      <c r="E310" s="2">
        <v>45838.0</v>
      </c>
      <c r="F310" s="1" t="s">
        <v>21</v>
      </c>
      <c r="G310" s="1" t="s">
        <v>421</v>
      </c>
      <c r="H310" s="1" t="s">
        <v>962</v>
      </c>
      <c r="I310" s="1">
        <v>100.0</v>
      </c>
      <c r="J310" s="1" t="s">
        <v>24</v>
      </c>
      <c r="K310" s="1">
        <v>100.0</v>
      </c>
      <c r="L310" s="1">
        <v>57.0</v>
      </c>
      <c r="M310" s="1">
        <v>43.0</v>
      </c>
      <c r="N310" s="1">
        <v>43.0</v>
      </c>
      <c r="O310" s="1" t="s">
        <v>963</v>
      </c>
      <c r="P310" s="3" t="str">
        <f>HYPERLINK("https://icf.clappia.com/app/SOM165486/submission/FUP84713181/ICF247370-SOM165486-46e47mgc153800000000/SIG-20250703_1322e8f03.jpeg", "SIG-20250703_1322e8f03.jpeg")</f>
        <v>SIG-20250703_1322e8f03.jpeg</v>
      </c>
      <c r="Q310" s="3" t="str">
        <f>HYPERLINK("https://www.google.com/maps/place/8.1074667%2C-11.5572867", "8.1074667,-11.5572867")</f>
        <v>8.1074667,-11.5572867</v>
      </c>
    </row>
    <row r="311" ht="15.75" customHeight="1">
      <c r="A311" s="1" t="s">
        <v>1001</v>
      </c>
      <c r="B311" s="1" t="s">
        <v>18</v>
      </c>
      <c r="C311" s="1" t="s">
        <v>998</v>
      </c>
      <c r="D311" s="1" t="s">
        <v>998</v>
      </c>
      <c r="E311" s="2">
        <v>45838.0</v>
      </c>
      <c r="F311" s="1" t="s">
        <v>68</v>
      </c>
      <c r="G311" s="1" t="s">
        <v>325</v>
      </c>
      <c r="H311" s="1" t="s">
        <v>1002</v>
      </c>
      <c r="I311" s="1">
        <v>136.0</v>
      </c>
      <c r="J311" s="1">
        <v>150.0</v>
      </c>
      <c r="K311" s="1">
        <v>286.0</v>
      </c>
      <c r="L311" s="1">
        <v>262.0</v>
      </c>
      <c r="M311" s="1">
        <v>24.0</v>
      </c>
      <c r="N311" s="1">
        <v>24.0</v>
      </c>
      <c r="O311" s="1" t="s">
        <v>1003</v>
      </c>
      <c r="P311" s="3" t="str">
        <f>HYPERLINK("https://icf.clappia.com/app/SOM165486/submission/QOG23911804/ICF247370-SOM165486-3m6hge2edikg00000000/SIG-20250703_1244oc4j5.jpeg", "SIG-20250703_1244oc4j5.jpeg")</f>
        <v>SIG-20250703_1244oc4j5.jpeg</v>
      </c>
      <c r="Q311" s="3" t="str">
        <f>HYPERLINK("https://www.google.com/maps/place/8.9114783%2C-11.899895", "8.9114783,-11.899895")</f>
        <v>8.9114783,-11.899895</v>
      </c>
    </row>
    <row r="312" ht="15.75" customHeight="1">
      <c r="A312" s="1" t="s">
        <v>1004</v>
      </c>
      <c r="B312" s="1" t="s">
        <v>18</v>
      </c>
      <c r="C312" s="1" t="s">
        <v>998</v>
      </c>
      <c r="D312" s="1" t="s">
        <v>998</v>
      </c>
      <c r="E312" s="2">
        <v>45841.0</v>
      </c>
      <c r="F312" s="1" t="s">
        <v>21</v>
      </c>
      <c r="G312" s="1" t="s">
        <v>1005</v>
      </c>
      <c r="H312" s="1" t="s">
        <v>1006</v>
      </c>
      <c r="I312" s="1">
        <v>222.0</v>
      </c>
      <c r="J312" s="1" t="s">
        <v>24</v>
      </c>
      <c r="K312" s="1">
        <v>222.0</v>
      </c>
      <c r="L312" s="1">
        <v>222.0</v>
      </c>
      <c r="M312" s="1" t="s">
        <v>24</v>
      </c>
      <c r="N312" s="1" t="s">
        <v>24</v>
      </c>
      <c r="O312" s="1" t="s">
        <v>1007</v>
      </c>
      <c r="P312" s="3" t="str">
        <f>HYPERLINK("https://icf.clappia.com/app/SOM165486/submission/YCE09874532/ICF247370-SOM165486-12ndpkica3f1i0000000/SIG-20250703_14451ah9e6.jpeg", "SIG-20250703_14451ah9e6.jpeg")</f>
        <v>SIG-20250703_14451ah9e6.jpeg</v>
      </c>
      <c r="Q312" s="3" t="str">
        <f>HYPERLINK("https://www.google.com/maps/place/7.8400462%2C-11.6635828", "7.8400462,-11.6635828")</f>
        <v>7.8400462,-11.6635828</v>
      </c>
    </row>
    <row r="313" ht="15.75" customHeight="1">
      <c r="A313" s="1" t="s">
        <v>1008</v>
      </c>
      <c r="B313" s="1" t="s">
        <v>18</v>
      </c>
      <c r="C313" s="1" t="s">
        <v>1009</v>
      </c>
      <c r="D313" s="1" t="s">
        <v>1009</v>
      </c>
      <c r="E313" s="2">
        <v>45840.0</v>
      </c>
      <c r="F313" s="1" t="s">
        <v>21</v>
      </c>
      <c r="G313" s="1" t="s">
        <v>1005</v>
      </c>
      <c r="H313" s="1" t="s">
        <v>1006</v>
      </c>
      <c r="I313" s="1">
        <v>144.0</v>
      </c>
      <c r="J313" s="1" t="s">
        <v>24</v>
      </c>
      <c r="K313" s="1">
        <v>144.0</v>
      </c>
      <c r="L313" s="1">
        <v>144.0</v>
      </c>
      <c r="M313" s="1" t="s">
        <v>24</v>
      </c>
      <c r="N313" s="1" t="s">
        <v>24</v>
      </c>
      <c r="O313" s="1" t="s">
        <v>1007</v>
      </c>
      <c r="P313" s="3" t="str">
        <f>HYPERLINK("https://icf.clappia.com/app/SOM165486/submission/BNF85536747/ICF247370-SOM165486-3nel748l6n2e00000000/SIG-20250703_1442eijb1.jpeg", "SIG-20250703_1442eijb1.jpeg")</f>
        <v>SIG-20250703_1442eijb1.jpeg</v>
      </c>
      <c r="Q313" s="3" t="str">
        <f>HYPERLINK("https://www.google.com/maps/place/7.8390565%2C-11.6627095", "7.8390565,-11.6627095")</f>
        <v>7.8390565,-11.6627095</v>
      </c>
    </row>
    <row r="314" ht="15.75" customHeight="1">
      <c r="A314" s="1" t="s">
        <v>1010</v>
      </c>
      <c r="B314" s="1" t="s">
        <v>18</v>
      </c>
      <c r="C314" s="1" t="s">
        <v>1011</v>
      </c>
      <c r="D314" s="1" t="s">
        <v>1011</v>
      </c>
      <c r="E314" s="2">
        <v>45839.0</v>
      </c>
      <c r="F314" s="1" t="s">
        <v>21</v>
      </c>
      <c r="G314" s="1" t="s">
        <v>1005</v>
      </c>
      <c r="H314" s="1" t="s">
        <v>1006</v>
      </c>
      <c r="I314" s="1">
        <v>173.0</v>
      </c>
      <c r="J314" s="1" t="s">
        <v>24</v>
      </c>
      <c r="K314" s="1">
        <v>173.0</v>
      </c>
      <c r="L314" s="1">
        <v>135.0</v>
      </c>
      <c r="M314" s="1">
        <v>38.0</v>
      </c>
      <c r="N314" s="1">
        <v>38.0</v>
      </c>
      <c r="O314" s="1" t="s">
        <v>1007</v>
      </c>
      <c r="P314" s="3" t="str">
        <f>HYPERLINK("https://icf.clappia.com/app/SOM165486/submission/ARD42166981/ICF247370-SOM165486-2dmk2ali5ii800000000/SIG-20250703_1439lc2kj.jpeg", "SIG-20250703_1439lc2kj.jpeg")</f>
        <v>SIG-20250703_1439lc2kj.jpeg</v>
      </c>
      <c r="Q314" s="3" t="str">
        <f>HYPERLINK("https://www.google.com/maps/place/7.83897%2C-11.6616233", "7.83897,-11.6616233")</f>
        <v>7.83897,-11.6616233</v>
      </c>
    </row>
    <row r="315" ht="15.75" customHeight="1">
      <c r="A315" s="1" t="s">
        <v>1012</v>
      </c>
      <c r="B315" s="1" t="s">
        <v>18</v>
      </c>
      <c r="C315" s="1" t="s">
        <v>1013</v>
      </c>
      <c r="D315" s="1" t="s">
        <v>1014</v>
      </c>
      <c r="E315" s="2">
        <v>45841.0</v>
      </c>
      <c r="F315" s="1" t="s">
        <v>68</v>
      </c>
      <c r="G315" s="1" t="s">
        <v>69</v>
      </c>
      <c r="H315" s="1" t="s">
        <v>571</v>
      </c>
      <c r="I315" s="1">
        <v>200.0</v>
      </c>
      <c r="J315" s="1" t="s">
        <v>24</v>
      </c>
      <c r="K315" s="1">
        <v>200.0</v>
      </c>
      <c r="L315" s="1">
        <v>185.0</v>
      </c>
      <c r="M315" s="1">
        <v>15.0</v>
      </c>
      <c r="N315" s="1">
        <v>15.0</v>
      </c>
      <c r="O315" s="1" t="s">
        <v>649</v>
      </c>
      <c r="P315" s="3" t="str">
        <f>HYPERLINK("https://icf.clappia.com/app/SOM165486/submission/NKZ54717967/ICF247370-SOM165486-2abi994a825ke0000000/SIG-20250703_1421necoe.jpeg", "SIG-20250703_1421necoe.jpeg")</f>
        <v>SIG-20250703_1421necoe.jpeg</v>
      </c>
      <c r="Q315" s="3" t="str">
        <f>HYPERLINK("https://www.google.com/maps/place/8.825192%2C-12.1013635", "8.825192,-12.1013635")</f>
        <v>8.825192,-12.1013635</v>
      </c>
    </row>
    <row r="316" ht="15.75" customHeight="1">
      <c r="A316" s="1" t="s">
        <v>1015</v>
      </c>
      <c r="B316" s="1" t="s">
        <v>18</v>
      </c>
      <c r="C316" s="1" t="s">
        <v>1016</v>
      </c>
      <c r="D316" s="1" t="s">
        <v>1017</v>
      </c>
      <c r="E316" s="2">
        <v>45841.0</v>
      </c>
      <c r="F316" s="1" t="s">
        <v>21</v>
      </c>
      <c r="G316" s="1" t="s">
        <v>35</v>
      </c>
      <c r="H316" s="1" t="s">
        <v>1018</v>
      </c>
      <c r="I316" s="1">
        <v>350.0</v>
      </c>
      <c r="J316" s="1" t="s">
        <v>24</v>
      </c>
      <c r="K316" s="1">
        <v>350.0</v>
      </c>
      <c r="L316" s="1">
        <v>339.0</v>
      </c>
      <c r="M316" s="1">
        <v>11.0</v>
      </c>
      <c r="N316" s="1">
        <v>11.0</v>
      </c>
      <c r="O316" s="1" t="s">
        <v>1019</v>
      </c>
      <c r="P316" s="3" t="str">
        <f>HYPERLINK("https://icf.clappia.com/app/SOM165486/submission/BDL71317324/ICF247370-SOM165486-1pgdcj0knhd6o0000000/SIG-20250703_104011a11h.jpeg", "SIG-20250703_104011a11h.jpeg")</f>
        <v>SIG-20250703_104011a11h.jpeg</v>
      </c>
      <c r="Q316" s="3" t="str">
        <f>HYPERLINK("https://www.google.com/maps/place/8.3323%2C-11.5521583", "8.3323,-11.5521583")</f>
        <v>8.3323,-11.5521583</v>
      </c>
    </row>
    <row r="317" ht="15.75" customHeight="1">
      <c r="A317" s="1" t="s">
        <v>1020</v>
      </c>
      <c r="B317" s="1" t="s">
        <v>18</v>
      </c>
      <c r="C317" s="1" t="s">
        <v>1017</v>
      </c>
      <c r="D317" s="1" t="s">
        <v>1017</v>
      </c>
      <c r="E317" s="2">
        <v>45838.0</v>
      </c>
      <c r="F317" s="1" t="s">
        <v>21</v>
      </c>
      <c r="G317" s="1" t="s">
        <v>1005</v>
      </c>
      <c r="H317" s="1" t="s">
        <v>1006</v>
      </c>
      <c r="I317" s="1">
        <v>250.0</v>
      </c>
      <c r="J317" s="1" t="s">
        <v>24</v>
      </c>
      <c r="K317" s="1">
        <v>250.0</v>
      </c>
      <c r="L317" s="1">
        <v>232.0</v>
      </c>
      <c r="M317" s="1">
        <v>18.0</v>
      </c>
      <c r="N317" s="1">
        <v>18.0</v>
      </c>
      <c r="O317" s="1" t="s">
        <v>1007</v>
      </c>
      <c r="P317" s="3" t="str">
        <f>HYPERLINK("https://icf.clappia.com/app/SOM165486/submission/UIZ20569937/ICF247370-SOM165486-2m4hbp7e1nci00000000/SIG-20250703_14361577hp.jpeg", "SIG-20250703_14361577hp.jpeg")</f>
        <v>SIG-20250703_14361577hp.jpeg</v>
      </c>
      <c r="Q317" s="3" t="str">
        <f>HYPERLINK("https://www.google.com/maps/place/7.839355%2C-11.6647183", "7.839355,-11.6647183")</f>
        <v>7.839355,-11.6647183</v>
      </c>
    </row>
    <row r="318" ht="15.75" customHeight="1">
      <c r="A318" s="1" t="s">
        <v>1021</v>
      </c>
      <c r="B318" s="1" t="s">
        <v>18</v>
      </c>
      <c r="C318" s="1" t="s">
        <v>1022</v>
      </c>
      <c r="D318" s="1" t="s">
        <v>1022</v>
      </c>
      <c r="E318" s="2">
        <v>45839.0</v>
      </c>
      <c r="F318" s="1" t="s">
        <v>21</v>
      </c>
      <c r="G318" s="1" t="s">
        <v>58</v>
      </c>
      <c r="H318" s="1" t="s">
        <v>580</v>
      </c>
      <c r="I318" s="1">
        <v>150.0</v>
      </c>
      <c r="J318" s="1" t="s">
        <v>24</v>
      </c>
      <c r="K318" s="1">
        <v>150.0</v>
      </c>
      <c r="L318" s="1">
        <v>50.0</v>
      </c>
      <c r="M318" s="1">
        <v>100.0</v>
      </c>
      <c r="N318" s="1">
        <v>100.0</v>
      </c>
      <c r="O318" s="1" t="s">
        <v>677</v>
      </c>
      <c r="P318" s="3" t="str">
        <f>HYPERLINK("https://icf.clappia.com/app/SOM165486/submission/MAX47428845/ICF247370-SOM165486-o14ik46m8dc40000000/SIG-20250703_1432j49i8.jpeg", "SIG-20250703_1432j49i8.jpeg")</f>
        <v>SIG-20250703_1432j49i8.jpeg</v>
      </c>
      <c r="Q318" s="3" t="str">
        <f>HYPERLINK("https://www.google.com/maps/place/7.780285%2C-11.72444", "7.780285,-11.72444")</f>
        <v>7.780285,-11.72444</v>
      </c>
    </row>
    <row r="319" ht="15.75" customHeight="1">
      <c r="A319" s="1" t="s">
        <v>1023</v>
      </c>
      <c r="B319" s="1" t="s">
        <v>18</v>
      </c>
      <c r="C319" s="1" t="s">
        <v>1024</v>
      </c>
      <c r="D319" s="1" t="s">
        <v>1024</v>
      </c>
      <c r="E319" s="2">
        <v>45841.0</v>
      </c>
      <c r="F319" s="1" t="s">
        <v>21</v>
      </c>
      <c r="G319" s="1" t="s">
        <v>58</v>
      </c>
      <c r="H319" s="1" t="s">
        <v>580</v>
      </c>
      <c r="I319" s="1">
        <v>150.0</v>
      </c>
      <c r="J319" s="1" t="s">
        <v>24</v>
      </c>
      <c r="K319" s="1">
        <v>150.0</v>
      </c>
      <c r="L319" s="1">
        <v>148.0</v>
      </c>
      <c r="M319" s="1">
        <v>2.0</v>
      </c>
      <c r="N319" s="1">
        <v>2.0</v>
      </c>
      <c r="O319" s="1" t="s">
        <v>1025</v>
      </c>
      <c r="P319" s="3" t="str">
        <f>HYPERLINK("https://icf.clappia.com/app/SOM165486/submission/XEH74777039/ICF247370-SOM165486-3bijj3fkj0l400000000/SIG-20250703_1431184l66.jpeg", "SIG-20250703_1431184l66.jpeg")</f>
        <v>SIG-20250703_1431184l66.jpeg</v>
      </c>
      <c r="Q319" s="3" t="str">
        <f>HYPERLINK("https://www.google.com/maps/place/7.7802867%2C-11.7242183", "7.7802867,-11.7242183")</f>
        <v>7.7802867,-11.7242183</v>
      </c>
    </row>
    <row r="320" ht="15.75" customHeight="1">
      <c r="A320" s="1" t="s">
        <v>1026</v>
      </c>
      <c r="B320" s="1" t="s">
        <v>18</v>
      </c>
      <c r="C320" s="1" t="s">
        <v>1027</v>
      </c>
      <c r="D320" s="1" t="s">
        <v>1027</v>
      </c>
      <c r="E320" s="2">
        <v>45841.0</v>
      </c>
      <c r="F320" s="1" t="s">
        <v>68</v>
      </c>
      <c r="G320" s="1" t="s">
        <v>69</v>
      </c>
      <c r="H320" s="1" t="s">
        <v>571</v>
      </c>
      <c r="I320" s="1">
        <v>100.0</v>
      </c>
      <c r="J320" s="1" t="s">
        <v>24</v>
      </c>
      <c r="K320" s="1">
        <v>100.0</v>
      </c>
      <c r="L320" s="1">
        <v>100.0</v>
      </c>
      <c r="M320" s="1" t="s">
        <v>24</v>
      </c>
      <c r="N320" s="1" t="s">
        <v>24</v>
      </c>
      <c r="O320" s="1" t="s">
        <v>572</v>
      </c>
      <c r="P320" s="3" t="str">
        <f>HYPERLINK("https://icf.clappia.com/app/SOM165486/submission/GZH73647658/ICF247370-SOM165486-2d5o77mfgdm200000000/SIG-20250703_1428125b08.jpeg", "SIG-20250703_1428125b08.jpeg")</f>
        <v>SIG-20250703_1428125b08.jpeg</v>
      </c>
      <c r="Q320" s="3" t="str">
        <f>HYPERLINK("https://www.google.com/maps/place/8.8530677%2C-12.0520134", "8.8530677,-12.0520134")</f>
        <v>8.8530677,-12.0520134</v>
      </c>
    </row>
    <row r="321" ht="15.75" customHeight="1">
      <c r="A321" s="1" t="s">
        <v>1028</v>
      </c>
      <c r="B321" s="1" t="s">
        <v>18</v>
      </c>
      <c r="C321" s="1" t="s">
        <v>1029</v>
      </c>
      <c r="D321" s="1" t="s">
        <v>1029</v>
      </c>
      <c r="E321" s="2">
        <v>45841.0</v>
      </c>
      <c r="F321" s="1" t="s">
        <v>21</v>
      </c>
      <c r="G321" s="1" t="s">
        <v>164</v>
      </c>
      <c r="H321" s="1" t="s">
        <v>887</v>
      </c>
      <c r="I321" s="1">
        <v>198.0</v>
      </c>
      <c r="J321" s="1" t="s">
        <v>24</v>
      </c>
      <c r="K321" s="1">
        <v>198.0</v>
      </c>
      <c r="L321" s="1">
        <v>50.0</v>
      </c>
      <c r="M321" s="1">
        <v>148.0</v>
      </c>
      <c r="N321" s="1">
        <v>148.0</v>
      </c>
      <c r="O321" s="1" t="s">
        <v>888</v>
      </c>
      <c r="P321" s="3" t="str">
        <f>HYPERLINK("https://icf.clappia.com/app/SOM165486/submission/FTY47901770/ICF247370-SOM165486-1pm54mbl68mf20000000/SIG-20250703_1427153ca7.jpeg", "SIG-20250703_1427153ca7.jpeg")</f>
        <v>SIG-20250703_1427153ca7.jpeg</v>
      </c>
      <c r="Q321" s="3" t="str">
        <f>HYPERLINK("https://www.google.com/maps/place/7.8893357%2C-11.9029948", "7.8893357,-11.9029948")</f>
        <v>7.8893357,-11.9029948</v>
      </c>
    </row>
    <row r="322" ht="15.75" customHeight="1">
      <c r="A322" s="1" t="s">
        <v>1030</v>
      </c>
      <c r="B322" s="1" t="s">
        <v>18</v>
      </c>
      <c r="C322" s="1" t="s">
        <v>41</v>
      </c>
      <c r="D322" s="1" t="s">
        <v>41</v>
      </c>
      <c r="E322" s="2">
        <v>45841.0</v>
      </c>
      <c r="F322" s="1" t="s">
        <v>21</v>
      </c>
      <c r="G322" s="1" t="s">
        <v>781</v>
      </c>
      <c r="H322" s="1" t="s">
        <v>1031</v>
      </c>
      <c r="I322" s="1">
        <v>401.0</v>
      </c>
      <c r="J322" s="1" t="s">
        <v>24</v>
      </c>
      <c r="K322" s="1">
        <v>401.0</v>
      </c>
      <c r="L322" s="1">
        <v>274.0</v>
      </c>
      <c r="M322" s="1">
        <v>127.0</v>
      </c>
      <c r="N322" s="1" t="s">
        <v>24</v>
      </c>
      <c r="O322" s="1" t="s">
        <v>1032</v>
      </c>
      <c r="P322" s="3" t="str">
        <f>HYPERLINK("https://icf.clappia.com/app/SOM165486/submission/LCN58181232/ICF247370-SOM165486-2dgp567a2lni00000000/SIG-20250703_142716lg44.jpeg", "SIG-20250703_142716lg44.jpeg")</f>
        <v>SIG-20250703_142716lg44.jpeg</v>
      </c>
      <c r="Q322" s="3" t="str">
        <f>HYPERLINK("https://www.google.com/maps/place/7.934205%2C-11.489735", "7.934205,-11.489735")</f>
        <v>7.934205,-11.489735</v>
      </c>
    </row>
    <row r="323" ht="15.75" customHeight="1">
      <c r="A323" s="1" t="s">
        <v>1033</v>
      </c>
      <c r="B323" s="1" t="s">
        <v>283</v>
      </c>
      <c r="C323" s="1" t="s">
        <v>1034</v>
      </c>
      <c r="D323" s="1" t="s">
        <v>1034</v>
      </c>
      <c r="E323" s="2">
        <v>45841.0</v>
      </c>
      <c r="F323" s="1" t="s">
        <v>21</v>
      </c>
      <c r="G323" s="1" t="s">
        <v>95</v>
      </c>
      <c r="H323" s="1" t="s">
        <v>216</v>
      </c>
      <c r="I323" s="1">
        <v>140.0</v>
      </c>
      <c r="J323" s="1" t="s">
        <v>24</v>
      </c>
      <c r="K323" s="1">
        <v>140.0</v>
      </c>
      <c r="L323" s="1">
        <v>140.0</v>
      </c>
      <c r="M323" s="1" t="s">
        <v>24</v>
      </c>
      <c r="N323" s="1" t="s">
        <v>24</v>
      </c>
      <c r="O323" s="1" t="s">
        <v>1035</v>
      </c>
      <c r="P323" s="3" t="str">
        <f>HYPERLINK("https://icf.clappia.com/app/SOM165486/submission/JOY37438263/ICF247370-SOM165486-38hm2jep684400000000/SIG-20250703_1424d436c.jpeg", "SIG-20250703_1424d436c.jpeg")</f>
        <v>SIG-20250703_1424d436c.jpeg</v>
      </c>
      <c r="Q323" s="3" t="str">
        <f>HYPERLINK("https://www.google.com/maps/place/7.9562933%2C-11.760755", "7.9562933,-11.760755")</f>
        <v>7.9562933,-11.760755</v>
      </c>
    </row>
    <row r="324" ht="15.75" customHeight="1">
      <c r="A324" s="1" t="s">
        <v>1036</v>
      </c>
      <c r="B324" s="1" t="s">
        <v>18</v>
      </c>
      <c r="C324" s="1" t="s">
        <v>1034</v>
      </c>
      <c r="D324" s="1" t="s">
        <v>1034</v>
      </c>
      <c r="E324" s="2">
        <v>45841.0</v>
      </c>
      <c r="F324" s="1" t="s">
        <v>21</v>
      </c>
      <c r="G324" s="1" t="s">
        <v>95</v>
      </c>
      <c r="H324" s="1" t="s">
        <v>615</v>
      </c>
      <c r="I324" s="1">
        <v>211.0</v>
      </c>
      <c r="J324" s="1" t="s">
        <v>24</v>
      </c>
      <c r="K324" s="1">
        <v>211.0</v>
      </c>
      <c r="L324" s="1">
        <v>211.0</v>
      </c>
      <c r="M324" s="1" t="s">
        <v>24</v>
      </c>
      <c r="N324" s="1" t="s">
        <v>24</v>
      </c>
      <c r="O324" s="1" t="s">
        <v>1037</v>
      </c>
      <c r="P324" s="3" t="str">
        <f>HYPERLINK("https://icf.clappia.com/app/SOM165486/submission/DZS58741305/ICF247370-SOM165486-3aga0ghlbaho00000000/SIG-20250703_1424102fhd.jpeg", "SIG-20250703_1424102fhd.jpeg")</f>
        <v>SIG-20250703_1424102fhd.jpeg</v>
      </c>
    </row>
    <row r="325" ht="15.75" customHeight="1">
      <c r="A325" s="1" t="s">
        <v>1038</v>
      </c>
      <c r="B325" s="1" t="s">
        <v>18</v>
      </c>
      <c r="C325" s="1" t="s">
        <v>1039</v>
      </c>
      <c r="D325" s="1" t="s">
        <v>1039</v>
      </c>
      <c r="E325" s="2">
        <v>45841.0</v>
      </c>
      <c r="F325" s="1" t="s">
        <v>21</v>
      </c>
      <c r="G325" s="1" t="s">
        <v>95</v>
      </c>
      <c r="H325" s="1" t="s">
        <v>995</v>
      </c>
      <c r="I325" s="1">
        <v>263.0</v>
      </c>
      <c r="J325" s="1" t="s">
        <v>24</v>
      </c>
      <c r="K325" s="1">
        <v>263.0</v>
      </c>
      <c r="L325" s="1">
        <v>263.0</v>
      </c>
      <c r="M325" s="1" t="s">
        <v>24</v>
      </c>
      <c r="N325" s="1" t="s">
        <v>24</v>
      </c>
      <c r="O325" s="1" t="s">
        <v>1040</v>
      </c>
      <c r="P325" s="3" t="str">
        <f>HYPERLINK("https://icf.clappia.com/app/SOM165486/submission/ZGP79035652/ICF247370-SOM165486-2j52mp74jk9a00000000/SIG-20250703_1420i54j6.jpeg", "SIG-20250703_1420i54j6.jpeg")</f>
        <v>SIG-20250703_1420i54j6.jpeg</v>
      </c>
      <c r="Q325" s="3" t="str">
        <f>HYPERLINK("https://www.google.com/maps/place/7.9775851%2C-11.5935517", "7.9775851,-11.5935517")</f>
        <v>7.9775851,-11.5935517</v>
      </c>
    </row>
    <row r="326" ht="15.75" customHeight="1">
      <c r="A326" s="1" t="s">
        <v>1041</v>
      </c>
      <c r="B326" s="1" t="s">
        <v>18</v>
      </c>
      <c r="C326" s="1" t="s">
        <v>1039</v>
      </c>
      <c r="D326" s="1" t="s">
        <v>1039</v>
      </c>
      <c r="E326" s="2">
        <v>45838.0</v>
      </c>
      <c r="F326" s="1" t="s">
        <v>21</v>
      </c>
      <c r="G326" s="1" t="s">
        <v>77</v>
      </c>
      <c r="H326" s="1" t="s">
        <v>1042</v>
      </c>
      <c r="I326" s="1">
        <v>229.0</v>
      </c>
      <c r="J326" s="1" t="s">
        <v>24</v>
      </c>
      <c r="K326" s="1">
        <v>229.0</v>
      </c>
      <c r="L326" s="1">
        <v>229.0</v>
      </c>
      <c r="M326" s="1" t="s">
        <v>24</v>
      </c>
      <c r="N326" s="1" t="s">
        <v>24</v>
      </c>
      <c r="O326" s="1" t="s">
        <v>1043</v>
      </c>
      <c r="P326" s="3" t="str">
        <f>HYPERLINK("https://icf.clappia.com/app/SOM165486/submission/LYR59848883/ICF247370-SOM165486-5l36m45cnjla00000000/SIG-20250703_14235nm8a.jpeg", "SIG-20250703_14235nm8a.jpeg")</f>
        <v>SIG-20250703_14235nm8a.jpeg</v>
      </c>
      <c r="Q326" s="3" t="str">
        <f>HYPERLINK("https://www.google.com/maps/place/7.9632817%2C-11.752605", "7.9632817,-11.752605")</f>
        <v>7.9632817,-11.752605</v>
      </c>
    </row>
    <row r="327" ht="15.75" customHeight="1">
      <c r="A327" s="1" t="s">
        <v>1044</v>
      </c>
      <c r="B327" s="1" t="s">
        <v>18</v>
      </c>
      <c r="C327" s="1" t="s">
        <v>1045</v>
      </c>
      <c r="D327" s="1" t="s">
        <v>1045</v>
      </c>
      <c r="E327" s="2">
        <v>45841.0</v>
      </c>
      <c r="F327" s="1" t="s">
        <v>21</v>
      </c>
      <c r="G327" s="1" t="s">
        <v>95</v>
      </c>
      <c r="H327" s="1" t="s">
        <v>995</v>
      </c>
      <c r="I327" s="1">
        <v>100.0</v>
      </c>
      <c r="J327" s="1" t="s">
        <v>24</v>
      </c>
      <c r="K327" s="1">
        <v>100.0</v>
      </c>
      <c r="L327" s="1">
        <v>99.0</v>
      </c>
      <c r="M327" s="1">
        <v>1.0</v>
      </c>
      <c r="N327" s="1">
        <v>1.0</v>
      </c>
      <c r="O327" s="1" t="s">
        <v>1046</v>
      </c>
      <c r="P327" s="3" t="str">
        <f>HYPERLINK("https://icf.clappia.com/app/SOM165486/submission/DRJ53132699/ICF247370-SOM165486-203kio67k67200000000/SIG-20250703_142199bmd.jpeg", "SIG-20250703_142199bmd.jpeg")</f>
        <v>SIG-20250703_142199bmd.jpeg</v>
      </c>
      <c r="Q327" s="3" t="str">
        <f>HYPERLINK("https://www.google.com/maps/place/7.934597%2C-11.5112485", "7.934597,-11.5112485")</f>
        <v>7.934597,-11.5112485</v>
      </c>
    </row>
    <row r="328" ht="15.75" customHeight="1">
      <c r="A328" s="1" t="s">
        <v>1047</v>
      </c>
      <c r="B328" s="1" t="s">
        <v>18</v>
      </c>
      <c r="C328" s="1" t="s">
        <v>1048</v>
      </c>
      <c r="D328" s="1" t="s">
        <v>1013</v>
      </c>
      <c r="E328" s="2">
        <v>45840.0</v>
      </c>
      <c r="F328" s="1" t="s">
        <v>21</v>
      </c>
      <c r="G328" s="1" t="s">
        <v>95</v>
      </c>
      <c r="H328" s="1" t="s">
        <v>615</v>
      </c>
      <c r="I328" s="1">
        <v>33.0</v>
      </c>
      <c r="J328" s="1" t="s">
        <v>24</v>
      </c>
      <c r="K328" s="1">
        <v>33.0</v>
      </c>
      <c r="L328" s="1">
        <v>30.0</v>
      </c>
      <c r="M328" s="1">
        <v>3.0</v>
      </c>
      <c r="N328" s="1" t="s">
        <v>24</v>
      </c>
      <c r="O328" s="1" t="s">
        <v>1037</v>
      </c>
      <c r="P328" s="3" t="str">
        <f>HYPERLINK("https://icf.clappia.com/app/SOM165486/submission/NRL38193982/ICF247370-SOM165486-1h3f12pijlh1a0000000/SIG-20250702_125087d7p.jpeg", "SIG-20250702_125087d7p.jpeg")</f>
        <v>SIG-20250702_125087d7p.jpeg</v>
      </c>
      <c r="Q328" s="3" t="str">
        <f>HYPERLINK("https://www.google.com/maps/place/7.969795%2C-11.7614317", "7.969795,-11.7614317")</f>
        <v>7.969795,-11.7614317</v>
      </c>
    </row>
    <row r="329" ht="15.75" customHeight="1">
      <c r="A329" s="1" t="s">
        <v>1049</v>
      </c>
      <c r="B329" s="1" t="s">
        <v>18</v>
      </c>
      <c r="C329" s="1" t="s">
        <v>1050</v>
      </c>
      <c r="D329" s="1" t="s">
        <v>1050</v>
      </c>
      <c r="E329" s="2">
        <v>45841.0</v>
      </c>
      <c r="F329" s="1" t="s">
        <v>68</v>
      </c>
      <c r="G329" s="1" t="s">
        <v>286</v>
      </c>
      <c r="H329" s="1" t="s">
        <v>1051</v>
      </c>
      <c r="I329" s="1">
        <v>200.0</v>
      </c>
      <c r="J329" s="1" t="s">
        <v>24</v>
      </c>
      <c r="K329" s="1">
        <v>200.0</v>
      </c>
      <c r="L329" s="1">
        <v>200.0</v>
      </c>
      <c r="M329" s="1" t="s">
        <v>24</v>
      </c>
      <c r="N329" s="1" t="s">
        <v>24</v>
      </c>
      <c r="O329" s="1" t="s">
        <v>1052</v>
      </c>
      <c r="P329" s="3" t="str">
        <f>HYPERLINK("https://icf.clappia.com/app/SOM165486/submission/TVV23603346/ICF247370-SOM165486-52kd5ak3gp0o00000000/SIG-20250703_1420holpc.jpeg", "SIG-20250703_1420holpc.jpeg")</f>
        <v>SIG-20250703_1420holpc.jpeg</v>
      </c>
      <c r="Q329" s="3" t="str">
        <f>HYPERLINK("https://www.google.com/maps/place/8.9408683%2C-12.2391133", "8.9408683,-12.2391133")</f>
        <v>8.9408683,-12.2391133</v>
      </c>
    </row>
    <row r="330" ht="15.75" customHeight="1">
      <c r="A330" s="1" t="s">
        <v>1053</v>
      </c>
      <c r="B330" s="1" t="s">
        <v>18</v>
      </c>
      <c r="C330" s="1" t="s">
        <v>1050</v>
      </c>
      <c r="D330" s="1" t="s">
        <v>1050</v>
      </c>
      <c r="E330" s="2">
        <v>45841.0</v>
      </c>
      <c r="F330" s="1" t="s">
        <v>21</v>
      </c>
      <c r="G330" s="1" t="s">
        <v>58</v>
      </c>
      <c r="H330" s="1" t="s">
        <v>1054</v>
      </c>
      <c r="I330" s="1">
        <v>120.0</v>
      </c>
      <c r="J330" s="1" t="s">
        <v>24</v>
      </c>
      <c r="K330" s="1">
        <v>120.0</v>
      </c>
      <c r="L330" s="1">
        <v>120.0</v>
      </c>
      <c r="M330" s="1" t="s">
        <v>24</v>
      </c>
      <c r="N330" s="1" t="s">
        <v>24</v>
      </c>
      <c r="O330" s="1" t="s">
        <v>1055</v>
      </c>
      <c r="P330" s="3" t="str">
        <f>HYPERLINK("https://icf.clappia.com/app/SOM165486/submission/QLN67655294/ICF247370-SOM165486-3negahdklhh600000000/SIG-20250703_1419fehgg.jpeg", "SIG-20250703_1419fehgg.jpeg")</f>
        <v>SIG-20250703_1419fehgg.jpeg</v>
      </c>
      <c r="Q330" s="3" t="str">
        <f>HYPERLINK("https://www.google.com/maps/place/7.9609983%2C-11.7734117", "7.9609983,-11.7734117")</f>
        <v>7.9609983,-11.7734117</v>
      </c>
    </row>
    <row r="331" ht="15.75" customHeight="1">
      <c r="A331" s="1" t="s">
        <v>1056</v>
      </c>
      <c r="B331" s="1" t="s">
        <v>18</v>
      </c>
      <c r="C331" s="1" t="s">
        <v>1057</v>
      </c>
      <c r="D331" s="1" t="s">
        <v>1057</v>
      </c>
      <c r="E331" s="2">
        <v>45838.0</v>
      </c>
      <c r="F331" s="1" t="s">
        <v>21</v>
      </c>
      <c r="G331" s="1" t="s">
        <v>164</v>
      </c>
      <c r="H331" s="1" t="s">
        <v>1058</v>
      </c>
      <c r="I331" s="1">
        <v>185.0</v>
      </c>
      <c r="J331" s="1" t="s">
        <v>24</v>
      </c>
      <c r="K331" s="1">
        <v>185.0</v>
      </c>
      <c r="L331" s="1">
        <v>185.0</v>
      </c>
      <c r="M331" s="1" t="s">
        <v>24</v>
      </c>
      <c r="N331" s="1" t="s">
        <v>24</v>
      </c>
      <c r="O331" s="1" t="s">
        <v>1059</v>
      </c>
      <c r="P331" s="3" t="str">
        <f>HYPERLINK("https://icf.clappia.com/app/SOM165486/submission/AXG57373282/ICF247370-SOM165486-35c03dld333a00000000/SIG-20250703_1418nj8nk.jpeg", "SIG-20250703_1418nj8nk.jpeg")</f>
        <v>SIG-20250703_1418nj8nk.jpeg</v>
      </c>
      <c r="Q331" s="3" t="str">
        <f>HYPERLINK("https://www.google.com/maps/place/7.7723865%2C-11.9861182", "7.7723865,-11.9861182")</f>
        <v>7.7723865,-11.9861182</v>
      </c>
    </row>
    <row r="332" ht="15.75" customHeight="1">
      <c r="A332" s="1" t="s">
        <v>1060</v>
      </c>
      <c r="B332" s="1" t="s">
        <v>18</v>
      </c>
      <c r="C332" s="1" t="s">
        <v>1061</v>
      </c>
      <c r="D332" s="1" t="s">
        <v>1061</v>
      </c>
      <c r="E332" s="2">
        <v>45841.0</v>
      </c>
      <c r="F332" s="1" t="s">
        <v>21</v>
      </c>
      <c r="G332" s="1" t="s">
        <v>58</v>
      </c>
      <c r="H332" s="1" t="s">
        <v>1062</v>
      </c>
      <c r="I332" s="1">
        <v>400.0</v>
      </c>
      <c r="J332" s="1" t="s">
        <v>24</v>
      </c>
      <c r="K332" s="1">
        <v>400.0</v>
      </c>
      <c r="L332" s="1">
        <v>400.0</v>
      </c>
      <c r="M332" s="1" t="s">
        <v>24</v>
      </c>
      <c r="N332" s="1" t="s">
        <v>24</v>
      </c>
      <c r="O332" s="1" t="s">
        <v>1063</v>
      </c>
      <c r="P332" s="3" t="str">
        <f>HYPERLINK("https://icf.clappia.com/app/SOM165486/submission/DJF77955490/ICF247370-SOM165486-3ll70oana4ag00000000/SIG-20250703_125432m6i.jpeg", "SIG-20250703_125432m6i.jpeg")</f>
        <v>SIG-20250703_125432m6i.jpeg</v>
      </c>
      <c r="Q332" s="3" t="str">
        <f>HYPERLINK("https://www.google.com/maps/place/7.9609983%2C-11.7734117", "7.9609983,-11.7734117")</f>
        <v>7.9609983,-11.7734117</v>
      </c>
    </row>
    <row r="333" ht="15.75" customHeight="1">
      <c r="A333" s="1" t="s">
        <v>1064</v>
      </c>
      <c r="B333" s="1" t="s">
        <v>18</v>
      </c>
      <c r="C333" s="1" t="s">
        <v>1065</v>
      </c>
      <c r="D333" s="1" t="s">
        <v>1065</v>
      </c>
      <c r="E333" s="2">
        <v>45841.0</v>
      </c>
      <c r="F333" s="1" t="s">
        <v>21</v>
      </c>
      <c r="G333" s="1" t="s">
        <v>781</v>
      </c>
      <c r="H333" s="1" t="s">
        <v>1031</v>
      </c>
      <c r="I333" s="1">
        <v>224.0</v>
      </c>
      <c r="J333" s="1" t="s">
        <v>24</v>
      </c>
      <c r="K333" s="1">
        <v>224.0</v>
      </c>
      <c r="L333" s="1">
        <v>220.0</v>
      </c>
      <c r="M333" s="1">
        <v>4.0</v>
      </c>
      <c r="N333" s="1">
        <v>4.0</v>
      </c>
      <c r="O333" s="1" t="s">
        <v>1066</v>
      </c>
      <c r="P333" s="3" t="str">
        <f>HYPERLINK("https://icf.clappia.com/app/SOM165486/submission/SVG62241933/ICF247370-SOM165486-1omk4ne6kpkf20000000/SIG-20250703_141410fmak.jpeg", "SIG-20250703_141410fmak.jpeg")</f>
        <v>SIG-20250703_141410fmak.jpeg</v>
      </c>
      <c r="Q333" s="3" t="str">
        <f>HYPERLINK("https://www.google.com/maps/place/7.9342883%2C-11.4896783", "7.9342883,-11.4896783")</f>
        <v>7.9342883,-11.4896783</v>
      </c>
    </row>
    <row r="334" ht="15.75" customHeight="1">
      <c r="A334" s="1" t="s">
        <v>1067</v>
      </c>
      <c r="B334" s="1" t="s">
        <v>18</v>
      </c>
      <c r="C334" s="1" t="s">
        <v>1068</v>
      </c>
      <c r="D334" s="1" t="s">
        <v>1068</v>
      </c>
      <c r="E334" s="2">
        <v>45841.0</v>
      </c>
      <c r="F334" s="1" t="s">
        <v>21</v>
      </c>
      <c r="G334" s="1" t="s">
        <v>164</v>
      </c>
      <c r="H334" s="1" t="s">
        <v>887</v>
      </c>
      <c r="I334" s="1">
        <v>100.0</v>
      </c>
      <c r="J334" s="1" t="s">
        <v>24</v>
      </c>
      <c r="K334" s="1">
        <v>100.0</v>
      </c>
      <c r="L334" s="1">
        <v>99.0</v>
      </c>
      <c r="M334" s="1">
        <v>1.0</v>
      </c>
      <c r="N334" s="1">
        <v>1.0</v>
      </c>
      <c r="O334" s="1" t="s">
        <v>1069</v>
      </c>
      <c r="P334" s="3" t="str">
        <f>HYPERLINK("https://icf.clappia.com/app/SOM165486/submission/OKH10852750/ICF247370-SOM165486-3k0n4h5igllm00000000/SIG-20250703_1413k24no.jpeg", "SIG-20250703_1413k24no.jpeg")</f>
        <v>SIG-20250703_1413k24no.jpeg</v>
      </c>
      <c r="Q334" s="3" t="str">
        <f>HYPERLINK("https://www.google.com/maps/place/7.8898626%2C-11.9030102", "7.8898626,-11.9030102")</f>
        <v>7.8898626,-11.9030102</v>
      </c>
    </row>
    <row r="335" ht="15.75" customHeight="1">
      <c r="A335" s="1" t="s">
        <v>1070</v>
      </c>
      <c r="B335" s="1" t="s">
        <v>18</v>
      </c>
      <c r="C335" s="1" t="s">
        <v>1071</v>
      </c>
      <c r="D335" s="1" t="s">
        <v>1071</v>
      </c>
      <c r="E335" s="2">
        <v>45841.0</v>
      </c>
      <c r="F335" s="1" t="s">
        <v>21</v>
      </c>
      <c r="G335" s="1" t="s">
        <v>421</v>
      </c>
      <c r="H335" s="1" t="s">
        <v>1072</v>
      </c>
      <c r="I335" s="1">
        <v>65.0</v>
      </c>
      <c r="J335" s="1" t="s">
        <v>24</v>
      </c>
      <c r="K335" s="1">
        <v>65.0</v>
      </c>
      <c r="L335" s="1">
        <v>57.0</v>
      </c>
      <c r="M335" s="1">
        <v>8.0</v>
      </c>
      <c r="N335" s="1" t="s">
        <v>24</v>
      </c>
      <c r="O335" s="1" t="s">
        <v>1073</v>
      </c>
      <c r="P335" s="3" t="str">
        <f>HYPERLINK("https://icf.clappia.com/app/SOM165486/submission/MWZ44863452/ICF247370-SOM165486-1km48fl693kf20000000/SIG-20250703_1405hj257.jpeg", "SIG-20250703_1405hj257.jpeg")</f>
        <v>SIG-20250703_1405hj257.jpeg</v>
      </c>
      <c r="Q335" s="3" t="str">
        <f>HYPERLINK("https://www.google.com/maps/place/8.0194917%2C-11.58584", "8.0194917,-11.58584")</f>
        <v>8.0194917,-11.58584</v>
      </c>
    </row>
    <row r="336" ht="15.75" customHeight="1">
      <c r="A336" s="1" t="s">
        <v>1074</v>
      </c>
      <c r="B336" s="1" t="s">
        <v>283</v>
      </c>
      <c r="C336" s="1" t="s">
        <v>1075</v>
      </c>
      <c r="D336" s="1" t="s">
        <v>1075</v>
      </c>
      <c r="E336" s="2">
        <v>45841.0</v>
      </c>
      <c r="F336" s="1" t="s">
        <v>21</v>
      </c>
      <c r="G336" s="1" t="s">
        <v>164</v>
      </c>
      <c r="H336" s="1" t="s">
        <v>191</v>
      </c>
      <c r="I336" s="1">
        <v>130.0</v>
      </c>
      <c r="J336" s="1" t="s">
        <v>24</v>
      </c>
      <c r="K336" s="1">
        <v>130.0</v>
      </c>
      <c r="L336" s="1">
        <v>63.0</v>
      </c>
      <c r="M336" s="1">
        <v>67.0</v>
      </c>
      <c r="N336" s="1">
        <v>67.0</v>
      </c>
      <c r="O336" s="1" t="s">
        <v>192</v>
      </c>
      <c r="P336" s="3" t="str">
        <f>HYPERLINK("https://icf.clappia.com/app/SOM165486/submission/DXT15711265/ICF247370-SOM165486-3cfhb1idjh2m00000000/SIG-20250703_140415kkjb.jpeg", "SIG-20250703_140415kkjb.jpeg")</f>
        <v>SIG-20250703_140415kkjb.jpeg</v>
      </c>
      <c r="Q336" s="3" t="str">
        <f>HYPERLINK("https://www.google.com/maps/place/7.7681888%2C-12.0918027", "7.7681888,-12.0918027")</f>
        <v>7.7681888,-12.0918027</v>
      </c>
    </row>
    <row r="337" ht="15.75" customHeight="1">
      <c r="A337" s="1" t="s">
        <v>1076</v>
      </c>
      <c r="B337" s="1" t="s">
        <v>18</v>
      </c>
      <c r="C337" s="1" t="s">
        <v>1077</v>
      </c>
      <c r="D337" s="1" t="s">
        <v>1077</v>
      </c>
      <c r="E337" s="2">
        <v>45838.0</v>
      </c>
      <c r="F337" s="1" t="s">
        <v>68</v>
      </c>
      <c r="G337" s="1" t="s">
        <v>286</v>
      </c>
      <c r="H337" s="1" t="s">
        <v>1051</v>
      </c>
      <c r="I337" s="1">
        <v>300.0</v>
      </c>
      <c r="J337" s="1" t="s">
        <v>24</v>
      </c>
      <c r="K337" s="1">
        <v>300.0</v>
      </c>
      <c r="L337" s="1">
        <v>270.0</v>
      </c>
      <c r="M337" s="1">
        <v>30.0</v>
      </c>
      <c r="N337" s="1">
        <v>30.0</v>
      </c>
      <c r="O337" s="1" t="s">
        <v>1078</v>
      </c>
      <c r="P337" s="3" t="str">
        <f>HYPERLINK("https://icf.clappia.com/app/SOM165486/submission/NMY17088582/ICF247370-SOM165486-4j9p8j95lb5200000000/SIG-20250703_1404gf5i2.jpeg", "SIG-20250703_1404gf5i2.jpeg")</f>
        <v>SIG-20250703_1404gf5i2.jpeg</v>
      </c>
      <c r="Q337" s="3" t="str">
        <f>HYPERLINK("https://www.google.com/maps/place/8.9409317%2C-12.2390717", "8.9409317,-12.2390717")</f>
        <v>8.9409317,-12.2390717</v>
      </c>
    </row>
    <row r="338" ht="15.75" customHeight="1">
      <c r="A338" s="1" t="s">
        <v>1079</v>
      </c>
      <c r="B338" s="1" t="s">
        <v>18</v>
      </c>
      <c r="C338" s="1" t="s">
        <v>1077</v>
      </c>
      <c r="D338" s="1" t="s">
        <v>1077</v>
      </c>
      <c r="E338" s="2">
        <v>45841.0</v>
      </c>
      <c r="F338" s="1" t="s">
        <v>21</v>
      </c>
      <c r="G338" s="1" t="s">
        <v>95</v>
      </c>
      <c r="H338" s="1" t="s">
        <v>615</v>
      </c>
      <c r="I338" s="1">
        <v>511.0</v>
      </c>
      <c r="J338" s="1" t="s">
        <v>24</v>
      </c>
      <c r="K338" s="1">
        <v>511.0</v>
      </c>
      <c r="L338" s="1">
        <v>312.0</v>
      </c>
      <c r="M338" s="1">
        <v>199.0</v>
      </c>
      <c r="N338" s="1" t="s">
        <v>24</v>
      </c>
      <c r="O338" s="1" t="s">
        <v>616</v>
      </c>
      <c r="P338" s="3" t="str">
        <f>HYPERLINK("https://icf.clappia.com/app/SOM165486/submission/ZRT28032073/ICF247370-SOM165486-49agfngf598o00000000/SIG-20250703_1403jp001.jpeg", "SIG-20250703_1403jp001.jpeg")</f>
        <v>SIG-20250703_1403jp001.jpeg</v>
      </c>
      <c r="Q338" s="3" t="str">
        <f>HYPERLINK("https://www.google.com/maps/place/7.9698914%2C-11.7614365", "7.9698914,-11.7614365")</f>
        <v>7.9698914,-11.7614365</v>
      </c>
    </row>
    <row r="339" ht="15.75" customHeight="1">
      <c r="A339" s="1" t="s">
        <v>1080</v>
      </c>
      <c r="B339" s="1" t="s">
        <v>18</v>
      </c>
      <c r="C339" s="1" t="s">
        <v>1077</v>
      </c>
      <c r="D339" s="1" t="s">
        <v>1077</v>
      </c>
      <c r="E339" s="2">
        <v>45839.0</v>
      </c>
      <c r="F339" s="1" t="s">
        <v>21</v>
      </c>
      <c r="G339" s="1" t="s">
        <v>35</v>
      </c>
      <c r="H339" s="1" t="s">
        <v>871</v>
      </c>
      <c r="I339" s="1">
        <v>215.0</v>
      </c>
      <c r="J339" s="1" t="s">
        <v>24</v>
      </c>
      <c r="K339" s="1">
        <v>215.0</v>
      </c>
      <c r="L339" s="1">
        <v>215.0</v>
      </c>
      <c r="M339" s="1" t="s">
        <v>24</v>
      </c>
      <c r="N339" s="1" t="s">
        <v>24</v>
      </c>
      <c r="O339" s="1" t="s">
        <v>873</v>
      </c>
      <c r="P339" s="3" t="str">
        <f>HYPERLINK("https://icf.clappia.com/app/SOM165486/submission/SRS33957268/ICF247370-SOM165486-3k8fd6peih6o00000000/SIG-20250703_14025nn5p.jpeg", "SIG-20250703_14025nn5p.jpeg")</f>
        <v>SIG-20250703_14025nn5p.jpeg</v>
      </c>
      <c r="Q339" s="3" t="str">
        <f>HYPERLINK("https://www.google.com/maps/place/8.2164017%2C-11.6493983", "8.2164017,-11.6493983")</f>
        <v>8.2164017,-11.6493983</v>
      </c>
    </row>
    <row r="340" ht="15.75" customHeight="1">
      <c r="A340" s="1" t="s">
        <v>1081</v>
      </c>
      <c r="B340" s="1" t="s">
        <v>18</v>
      </c>
      <c r="C340" s="1" t="s">
        <v>1082</v>
      </c>
      <c r="D340" s="1" t="s">
        <v>1082</v>
      </c>
      <c r="E340" s="2">
        <v>45841.0</v>
      </c>
      <c r="F340" s="1" t="s">
        <v>21</v>
      </c>
      <c r="G340" s="1" t="s">
        <v>58</v>
      </c>
      <c r="H340" s="1" t="s">
        <v>147</v>
      </c>
      <c r="I340" s="1">
        <v>125.0</v>
      </c>
      <c r="J340" s="1" t="s">
        <v>24</v>
      </c>
      <c r="K340" s="1">
        <v>125.0</v>
      </c>
      <c r="L340" s="1">
        <v>125.0</v>
      </c>
      <c r="M340" s="1" t="s">
        <v>24</v>
      </c>
      <c r="N340" s="1" t="s">
        <v>24</v>
      </c>
      <c r="O340" s="1" t="s">
        <v>1083</v>
      </c>
      <c r="P340" s="3" t="str">
        <f>HYPERLINK("https://icf.clappia.com/app/SOM165486/submission/NAC99675401/ICF247370-SOM165486-gm0fie9mafcc0000000/SIG-20250703_1403cif6f.jpeg", "SIG-20250703_1403cif6f.jpeg")</f>
        <v>SIG-20250703_1403cif6f.jpeg</v>
      </c>
      <c r="Q340" s="3" t="str">
        <f>HYPERLINK("https://www.google.com/maps/place/7.8783964%2C-11.7814122", "7.8783964,-11.7814122")</f>
        <v>7.8783964,-11.7814122</v>
      </c>
    </row>
    <row r="341" ht="15.75" customHeight="1">
      <c r="A341" s="1" t="s">
        <v>1084</v>
      </c>
      <c r="B341" s="1" t="s">
        <v>18</v>
      </c>
      <c r="C341" s="1" t="s">
        <v>1085</v>
      </c>
      <c r="D341" s="1" t="s">
        <v>1086</v>
      </c>
      <c r="E341" s="2">
        <v>45841.0</v>
      </c>
      <c r="F341" s="1" t="s">
        <v>21</v>
      </c>
      <c r="G341" s="1" t="s">
        <v>35</v>
      </c>
      <c r="H341" s="1" t="s">
        <v>871</v>
      </c>
      <c r="I341" s="1">
        <v>215.0</v>
      </c>
      <c r="J341" s="1">
        <v>215.0</v>
      </c>
      <c r="K341" s="1">
        <v>430.0</v>
      </c>
      <c r="L341" s="1">
        <v>215.0</v>
      </c>
      <c r="M341" s="1">
        <v>215.0</v>
      </c>
      <c r="N341" s="1" t="s">
        <v>24</v>
      </c>
      <c r="O341" s="1" t="s">
        <v>873</v>
      </c>
      <c r="P341" s="3" t="str">
        <f>HYPERLINK("https://icf.clappia.com/app/SOM165486/submission/QRG45484763/ICF247370-SOM165486-5o85k5i7bkko00000000/SIG-20250703_133112h7c0.jpeg", "SIG-20250703_133112h7c0.jpeg")</f>
        <v>SIG-20250703_133112h7c0.jpeg</v>
      </c>
    </row>
    <row r="342" ht="15.75" customHeight="1">
      <c r="A342" s="1" t="s">
        <v>1087</v>
      </c>
      <c r="B342" s="1" t="s">
        <v>18</v>
      </c>
      <c r="C342" s="1" t="s">
        <v>1088</v>
      </c>
      <c r="D342" s="1" t="s">
        <v>1086</v>
      </c>
      <c r="E342" s="2">
        <v>45841.0</v>
      </c>
      <c r="F342" s="1" t="s">
        <v>21</v>
      </c>
      <c r="G342" s="1" t="s">
        <v>35</v>
      </c>
      <c r="H342" s="1" t="s">
        <v>871</v>
      </c>
      <c r="I342" s="1">
        <v>215.0</v>
      </c>
      <c r="J342" s="1" t="s">
        <v>24</v>
      </c>
      <c r="K342" s="1">
        <v>215.0</v>
      </c>
      <c r="L342" s="1">
        <v>215.0</v>
      </c>
      <c r="M342" s="1" t="s">
        <v>24</v>
      </c>
      <c r="N342" s="1" t="s">
        <v>24</v>
      </c>
      <c r="O342" s="1" t="s">
        <v>873</v>
      </c>
      <c r="P342" s="3" t="str">
        <f>HYPERLINK("https://icf.clappia.com/app/SOM165486/submission/TNE28290939/ICF247370-SOM165486-12g081gjm6ncc0000000/SIG-20250703_132915e2np.jpeg", "SIG-20250703_132915e2np.jpeg")</f>
        <v>SIG-20250703_132915e2np.jpeg</v>
      </c>
    </row>
    <row r="343" ht="15.75" customHeight="1">
      <c r="A343" s="1" t="s">
        <v>1089</v>
      </c>
      <c r="B343" s="1" t="s">
        <v>18</v>
      </c>
      <c r="C343" s="1" t="s">
        <v>1090</v>
      </c>
      <c r="D343" s="1" t="s">
        <v>1086</v>
      </c>
      <c r="E343" s="2">
        <v>45841.0</v>
      </c>
      <c r="F343" s="1" t="s">
        <v>21</v>
      </c>
      <c r="G343" s="1" t="s">
        <v>35</v>
      </c>
      <c r="H343" s="1" t="s">
        <v>871</v>
      </c>
      <c r="I343" s="1">
        <v>215.0</v>
      </c>
      <c r="J343" s="1">
        <v>215.0</v>
      </c>
      <c r="K343" s="1">
        <v>430.0</v>
      </c>
      <c r="L343" s="1">
        <v>215.0</v>
      </c>
      <c r="M343" s="1">
        <v>215.0</v>
      </c>
      <c r="N343" s="1" t="s">
        <v>24</v>
      </c>
      <c r="O343" s="1" t="s">
        <v>873</v>
      </c>
      <c r="P343" s="3" t="str">
        <f>HYPERLINK("https://icf.clappia.com/app/SOM165486/submission/TTF75340215/ICF247370-SOM165486-b5i27e4i5cpm0000000/SIG-20250703_132644cia.jpeg", "SIG-20250703_132644cia.jpeg")</f>
        <v>SIG-20250703_132644cia.jpeg</v>
      </c>
    </row>
    <row r="344" ht="15.75" customHeight="1">
      <c r="A344" s="1" t="s">
        <v>1091</v>
      </c>
      <c r="B344" s="1" t="s">
        <v>18</v>
      </c>
      <c r="C344" s="1" t="s">
        <v>1092</v>
      </c>
      <c r="D344" s="1" t="s">
        <v>1086</v>
      </c>
      <c r="E344" s="2">
        <v>45839.0</v>
      </c>
      <c r="F344" s="1" t="s">
        <v>21</v>
      </c>
      <c r="G344" s="1" t="s">
        <v>35</v>
      </c>
      <c r="H344" s="1" t="s">
        <v>871</v>
      </c>
      <c r="I344" s="1">
        <v>230.0</v>
      </c>
      <c r="J344" s="1" t="s">
        <v>24</v>
      </c>
      <c r="K344" s="1">
        <v>230.0</v>
      </c>
      <c r="L344" s="1">
        <v>173.0</v>
      </c>
      <c r="M344" s="1">
        <v>57.0</v>
      </c>
      <c r="N344" s="1">
        <v>57.0</v>
      </c>
      <c r="O344" s="1" t="s">
        <v>873</v>
      </c>
      <c r="P344" s="3" t="str">
        <f>HYPERLINK("https://icf.clappia.com/app/SOM165486/submission/RYW38825606/ICF247370-SOM165486-e7d4d9f7gale0000000/SIG-20250701_1524b5oc9.jpeg", "SIG-20250701_1524b5oc9.jpeg")</f>
        <v>SIG-20250701_1524b5oc9.jpeg</v>
      </c>
      <c r="Q344" s="3" t="str">
        <f>HYPERLINK("https://www.google.com/maps/place/8.213575%2C-11.6037133", "8.213575,-11.6037133")</f>
        <v>8.213575,-11.6037133</v>
      </c>
    </row>
    <row r="345" ht="15.75" customHeight="1">
      <c r="A345" s="1" t="s">
        <v>1093</v>
      </c>
      <c r="B345" s="1" t="s">
        <v>18</v>
      </c>
      <c r="C345" s="1" t="s">
        <v>1094</v>
      </c>
      <c r="D345" s="1" t="s">
        <v>1095</v>
      </c>
      <c r="E345" s="2">
        <v>45838.0</v>
      </c>
      <c r="F345" s="1" t="s">
        <v>21</v>
      </c>
      <c r="G345" s="1" t="s">
        <v>35</v>
      </c>
      <c r="H345" s="1" t="s">
        <v>871</v>
      </c>
      <c r="I345" s="1">
        <v>215.0</v>
      </c>
      <c r="J345" s="1" t="s">
        <v>24</v>
      </c>
      <c r="K345" s="1">
        <v>215.0</v>
      </c>
      <c r="L345" s="1">
        <v>215.0</v>
      </c>
      <c r="M345" s="1" t="s">
        <v>24</v>
      </c>
      <c r="N345" s="1" t="s">
        <v>24</v>
      </c>
      <c r="O345" s="1" t="s">
        <v>873</v>
      </c>
      <c r="P345" s="3" t="str">
        <f>HYPERLINK("https://icf.clappia.com/app/SOM165486/submission/VCU47666807/ICF247370-SOM165486-3h11hf06fhni00000000/SIG-20250630_16177f6c1.jpeg", "SIG-20250630_16177f6c1.jpeg")</f>
        <v>SIG-20250630_16177f6c1.jpeg</v>
      </c>
      <c r="Q345" s="3" t="str">
        <f>HYPERLINK("https://www.google.com/maps/place/8.2164917%2C-11.602045", "8.2164917,-11.602045")</f>
        <v>8.2164917,-11.602045</v>
      </c>
    </row>
    <row r="346" ht="15.75" customHeight="1">
      <c r="A346" s="1" t="s">
        <v>1096</v>
      </c>
      <c r="B346" s="1" t="s">
        <v>18</v>
      </c>
      <c r="C346" s="1" t="s">
        <v>1095</v>
      </c>
      <c r="D346" s="1" t="s">
        <v>1095</v>
      </c>
      <c r="E346" s="2">
        <v>45841.0</v>
      </c>
      <c r="F346" s="1" t="s">
        <v>68</v>
      </c>
      <c r="G346" s="1" t="s">
        <v>83</v>
      </c>
      <c r="H346" s="1" t="s">
        <v>1097</v>
      </c>
      <c r="I346" s="1">
        <v>75.0</v>
      </c>
      <c r="J346" s="1" t="s">
        <v>24</v>
      </c>
      <c r="K346" s="1">
        <v>75.0</v>
      </c>
      <c r="L346" s="1">
        <v>75.0</v>
      </c>
      <c r="M346" s="1" t="s">
        <v>24</v>
      </c>
      <c r="N346" s="1" t="s">
        <v>24</v>
      </c>
      <c r="O346" s="1" t="s">
        <v>1098</v>
      </c>
      <c r="P346" s="3" t="str">
        <f>HYPERLINK("https://icf.clappia.com/app/SOM165486/submission/LES99511058/ICF247370-SOM165486-5225m58ip4io00000000/SIG-20250703_135819n49h.jpeg", "SIG-20250703_135819n49h.jpeg")</f>
        <v>SIG-20250703_135819n49h.jpeg</v>
      </c>
      <c r="Q346" s="3" t="str">
        <f>HYPERLINK("https://www.google.com/maps/place/8.8403133%2C-12.029895", "8.8403133,-12.029895")</f>
        <v>8.8403133,-12.029895</v>
      </c>
    </row>
    <row r="347" ht="15.75" customHeight="1">
      <c r="A347" s="1" t="s">
        <v>1099</v>
      </c>
      <c r="B347" s="1" t="s">
        <v>18</v>
      </c>
      <c r="C347" s="1" t="s">
        <v>1100</v>
      </c>
      <c r="D347" s="1" t="s">
        <v>1100</v>
      </c>
      <c r="E347" s="2">
        <v>45841.0</v>
      </c>
      <c r="F347" s="1" t="s">
        <v>21</v>
      </c>
      <c r="G347" s="1" t="s">
        <v>58</v>
      </c>
      <c r="H347" s="1" t="s">
        <v>580</v>
      </c>
      <c r="I347" s="1">
        <v>150.0</v>
      </c>
      <c r="J347" s="1" t="s">
        <v>24</v>
      </c>
      <c r="K347" s="1">
        <v>150.0</v>
      </c>
      <c r="L347" s="1">
        <v>150.0</v>
      </c>
      <c r="M347" s="1" t="s">
        <v>24</v>
      </c>
      <c r="N347" s="1" t="s">
        <v>24</v>
      </c>
      <c r="O347" s="1" t="s">
        <v>581</v>
      </c>
      <c r="P347" s="3" t="str">
        <f>HYPERLINK("https://icf.clappia.com/app/SOM165486/submission/RIT59778240/ICF247370-SOM165486-2ah8nkl74l5ci0000000/SIG-20250703_134218hfg3.jpeg", "SIG-20250703_134218hfg3.jpeg")</f>
        <v>SIG-20250703_134218hfg3.jpeg</v>
      </c>
      <c r="Q347" s="3" t="str">
        <f>HYPERLINK("https://www.google.com/maps/place/7.7805%2C-11.7238033", "7.7805,-11.7238033")</f>
        <v>7.7805,-11.7238033</v>
      </c>
    </row>
    <row r="348" ht="15.75" customHeight="1">
      <c r="A348" s="1" t="s">
        <v>1101</v>
      </c>
      <c r="B348" s="1" t="s">
        <v>18</v>
      </c>
      <c r="C348" s="1" t="s">
        <v>1102</v>
      </c>
      <c r="D348" s="1" t="s">
        <v>1102</v>
      </c>
      <c r="E348" s="2">
        <v>45841.0</v>
      </c>
      <c r="F348" s="1" t="s">
        <v>68</v>
      </c>
      <c r="G348" s="1" t="s">
        <v>88</v>
      </c>
      <c r="H348" s="1" t="s">
        <v>634</v>
      </c>
      <c r="I348" s="1">
        <v>300.0</v>
      </c>
      <c r="J348" s="1" t="s">
        <v>24</v>
      </c>
      <c r="K348" s="1">
        <v>300.0</v>
      </c>
      <c r="L348" s="1">
        <v>251.0</v>
      </c>
      <c r="M348" s="1">
        <v>49.0</v>
      </c>
      <c r="N348" s="1">
        <v>49.0</v>
      </c>
      <c r="O348" s="1" t="s">
        <v>1103</v>
      </c>
      <c r="P348" s="3" t="str">
        <f>HYPERLINK("https://icf.clappia.com/app/SOM165486/submission/EGH69479585/ICF247370-SOM165486-246ee4jk11f920000000/SIG-20250703_13508jaa1.jpeg", "SIG-20250703_13508jaa1.jpeg")</f>
        <v>SIG-20250703_13508jaa1.jpeg</v>
      </c>
      <c r="Q348" s="3" t="str">
        <f>HYPERLINK("https://www.google.com/maps/place/8.8917179%2C-12.0365732", "8.8917179,-12.0365732")</f>
        <v>8.8917179,-12.0365732</v>
      </c>
    </row>
    <row r="349" ht="15.75" customHeight="1">
      <c r="A349" s="1" t="s">
        <v>1104</v>
      </c>
      <c r="B349" s="1" t="s">
        <v>18</v>
      </c>
      <c r="C349" s="1" t="s">
        <v>1105</v>
      </c>
      <c r="D349" s="1" t="s">
        <v>1105</v>
      </c>
      <c r="E349" s="2">
        <v>45841.0</v>
      </c>
      <c r="F349" s="1" t="s">
        <v>21</v>
      </c>
      <c r="G349" s="1" t="s">
        <v>164</v>
      </c>
      <c r="H349" s="1" t="s">
        <v>887</v>
      </c>
      <c r="I349" s="1">
        <v>165.0</v>
      </c>
      <c r="J349" s="1" t="s">
        <v>24</v>
      </c>
      <c r="K349" s="1">
        <v>165.0</v>
      </c>
      <c r="L349" s="1">
        <v>100.0</v>
      </c>
      <c r="M349" s="1">
        <v>65.0</v>
      </c>
      <c r="N349" s="1">
        <v>65.0</v>
      </c>
      <c r="O349" s="1" t="s">
        <v>1106</v>
      </c>
      <c r="P349" s="3" t="str">
        <f>HYPERLINK("https://icf.clappia.com/app/SOM165486/submission/KXX18367267/ICF247370-SOM165486-mj40fg19l50k0000000/SIG-20250703_1342a6ki0.jpeg", "SIG-20250703_1342a6ki0.jpeg")</f>
        <v>SIG-20250703_1342a6ki0.jpeg</v>
      </c>
      <c r="Q349" s="3" t="str">
        <f>HYPERLINK("https://www.google.com/maps/place/7.8925244%2C-11.9043221", "7.8925244,-11.9043221")</f>
        <v>7.8925244,-11.9043221</v>
      </c>
    </row>
    <row r="350" ht="15.75" customHeight="1">
      <c r="A350" s="1" t="s">
        <v>1107</v>
      </c>
      <c r="B350" s="1" t="s">
        <v>18</v>
      </c>
      <c r="C350" s="1" t="s">
        <v>1108</v>
      </c>
      <c r="D350" s="1" t="s">
        <v>1105</v>
      </c>
      <c r="E350" s="2">
        <v>45838.0</v>
      </c>
      <c r="F350" s="1" t="s">
        <v>21</v>
      </c>
      <c r="G350" s="1" t="s">
        <v>35</v>
      </c>
      <c r="H350" s="1" t="s">
        <v>46</v>
      </c>
      <c r="I350" s="1">
        <v>240.0</v>
      </c>
      <c r="J350" s="1" t="s">
        <v>24</v>
      </c>
      <c r="K350" s="1">
        <v>240.0</v>
      </c>
      <c r="L350" s="1">
        <v>172.0</v>
      </c>
      <c r="M350" s="1">
        <v>68.0</v>
      </c>
      <c r="N350" s="1">
        <v>68.0</v>
      </c>
      <c r="O350" s="1" t="s">
        <v>1109</v>
      </c>
      <c r="P350" s="3" t="str">
        <f>HYPERLINK("https://icf.clappia.com/app/SOM165486/submission/COB58974355/ICF247370-SOM165486-227873ddc9i320000000/SIG-20250630_2035g4klg.jpeg", "SIG-20250630_2035g4klg.jpeg")</f>
        <v>SIG-20250630_2035g4klg.jpeg</v>
      </c>
    </row>
    <row r="351" ht="15.75" customHeight="1">
      <c r="A351" s="1" t="s">
        <v>1110</v>
      </c>
      <c r="B351" s="1" t="s">
        <v>18</v>
      </c>
      <c r="C351" s="1" t="s">
        <v>1111</v>
      </c>
      <c r="D351" s="1" t="s">
        <v>1111</v>
      </c>
      <c r="E351" s="2">
        <v>45841.0</v>
      </c>
      <c r="F351" s="1" t="s">
        <v>68</v>
      </c>
      <c r="G351" s="1" t="s">
        <v>385</v>
      </c>
      <c r="H351" s="1" t="s">
        <v>1112</v>
      </c>
      <c r="I351" s="1">
        <v>200.0</v>
      </c>
      <c r="J351" s="1" t="s">
        <v>24</v>
      </c>
      <c r="K351" s="1">
        <v>200.0</v>
      </c>
      <c r="L351" s="1">
        <v>199.0</v>
      </c>
      <c r="M351" s="1">
        <v>1.0</v>
      </c>
      <c r="N351" s="1">
        <v>1.0</v>
      </c>
      <c r="O351" s="1" t="s">
        <v>1113</v>
      </c>
      <c r="P351" s="3" t="str">
        <f>HYPERLINK("https://icf.clappia.com/app/SOM165486/submission/GZI24340669/ICF247370-SOM165486-4ee9kijfc25a00000000/SIG-20250703_13396lleg.jpeg", "SIG-20250703_13396lleg.jpeg")</f>
        <v>SIG-20250703_13396lleg.jpeg</v>
      </c>
      <c r="Q351" s="3" t="str">
        <f>HYPERLINK("https://www.google.com/maps/place/9.0702517%2C-12.0731583", "9.0702517,-12.0731583")</f>
        <v>9.0702517,-12.0731583</v>
      </c>
    </row>
    <row r="352" ht="15.75" customHeight="1">
      <c r="A352" s="1" t="s">
        <v>1114</v>
      </c>
      <c r="B352" s="1" t="s">
        <v>18</v>
      </c>
      <c r="C352" s="1" t="s">
        <v>1115</v>
      </c>
      <c r="D352" s="1" t="s">
        <v>1115</v>
      </c>
      <c r="E352" s="2">
        <v>45841.0</v>
      </c>
      <c r="F352" s="1" t="s">
        <v>21</v>
      </c>
      <c r="G352" s="1" t="s">
        <v>1005</v>
      </c>
      <c r="H352" s="1" t="s">
        <v>1116</v>
      </c>
      <c r="I352" s="1">
        <v>206.0</v>
      </c>
      <c r="J352" s="1" t="s">
        <v>24</v>
      </c>
      <c r="K352" s="1">
        <v>206.0</v>
      </c>
      <c r="L352" s="1">
        <v>150.0</v>
      </c>
      <c r="M352" s="1">
        <v>56.0</v>
      </c>
      <c r="N352" s="1">
        <v>56.0</v>
      </c>
      <c r="O352" s="1" t="s">
        <v>1117</v>
      </c>
      <c r="P352" s="3" t="str">
        <f>HYPERLINK("https://icf.clappia.com/app/SOM165486/submission/RIR50450664/ICF247370-SOM165486-2ega3ji8298000000000/SIG-20250703_133963lin.jpeg", "SIG-20250703_133963lin.jpeg")</f>
        <v>SIG-20250703_133963lin.jpeg</v>
      </c>
      <c r="Q352" s="3" t="str">
        <f>HYPERLINK("https://www.google.com/maps/place/7.8026649%2C-11.638605", "7.8026649,-11.638605")</f>
        <v>7.8026649,-11.638605</v>
      </c>
    </row>
    <row r="353" ht="15.75" customHeight="1">
      <c r="A353" s="1" t="s">
        <v>1118</v>
      </c>
      <c r="B353" s="1" t="s">
        <v>18</v>
      </c>
      <c r="C353" s="1" t="s">
        <v>1119</v>
      </c>
      <c r="D353" s="1" t="s">
        <v>1119</v>
      </c>
      <c r="E353" s="2">
        <v>45841.0</v>
      </c>
      <c r="F353" s="1" t="s">
        <v>21</v>
      </c>
      <c r="G353" s="1" t="s">
        <v>1005</v>
      </c>
      <c r="H353" s="1" t="s">
        <v>1116</v>
      </c>
      <c r="I353" s="1">
        <v>255.0</v>
      </c>
      <c r="J353" s="1" t="s">
        <v>24</v>
      </c>
      <c r="K353" s="1">
        <v>255.0</v>
      </c>
      <c r="L353" s="1">
        <v>150.0</v>
      </c>
      <c r="M353" s="1">
        <v>105.0</v>
      </c>
      <c r="N353" s="1">
        <v>105.0</v>
      </c>
      <c r="O353" s="1" t="s">
        <v>1120</v>
      </c>
      <c r="P353" s="3" t="str">
        <f>HYPERLINK("https://icf.clappia.com/app/SOM165486/submission/ICY86380736/ICF247370-SOM165486-1ne1gfcc369i80000000/SIG-20250703_1334e7ik0.jpeg", "SIG-20250703_1334e7ik0.jpeg")</f>
        <v>SIG-20250703_1334e7ik0.jpeg</v>
      </c>
      <c r="Q353" s="3" t="str">
        <f>HYPERLINK("https://www.google.com/maps/place/7.8025917%2C-11.6386167", "7.8025917,-11.6386167")</f>
        <v>7.8025917,-11.6386167</v>
      </c>
    </row>
    <row r="354" ht="15.75" customHeight="1">
      <c r="A354" s="1" t="s">
        <v>1121</v>
      </c>
      <c r="B354" s="1" t="s">
        <v>18</v>
      </c>
      <c r="C354" s="1" t="s">
        <v>1122</v>
      </c>
      <c r="D354" s="1" t="s">
        <v>1123</v>
      </c>
      <c r="E354" s="2">
        <v>45841.0</v>
      </c>
      <c r="F354" s="1" t="s">
        <v>21</v>
      </c>
      <c r="G354" s="1" t="s">
        <v>269</v>
      </c>
      <c r="H354" s="1" t="s">
        <v>540</v>
      </c>
      <c r="I354" s="1">
        <v>87.0</v>
      </c>
      <c r="J354" s="1" t="s">
        <v>24</v>
      </c>
      <c r="K354" s="1">
        <v>87.0</v>
      </c>
      <c r="L354" s="1">
        <v>79.0</v>
      </c>
      <c r="M354" s="1">
        <v>8.0</v>
      </c>
      <c r="N354" s="1">
        <v>8.0</v>
      </c>
      <c r="O354" s="1" t="s">
        <v>541</v>
      </c>
      <c r="P354" s="3" t="str">
        <f>HYPERLINK("https://icf.clappia.com/app/SOM165486/submission/FAN35547290/ICF247370-SOM165486-c704fabm4n6o0000000/SIG-20250703_13351283f5.jpeg", "SIG-20250703_13351283f5.jpeg")</f>
        <v>SIG-20250703_13351283f5.jpeg</v>
      </c>
      <c r="Q354" s="3" t="str">
        <f>HYPERLINK("https://www.google.com/maps/place/7.7772467%2C-11.5257833", "7.7772467,-11.5257833")</f>
        <v>7.7772467,-11.5257833</v>
      </c>
    </row>
    <row r="355" ht="15.75" customHeight="1">
      <c r="A355" s="1" t="s">
        <v>1124</v>
      </c>
      <c r="B355" s="1" t="s">
        <v>18</v>
      </c>
      <c r="C355" s="1" t="s">
        <v>1125</v>
      </c>
      <c r="D355" s="1" t="s">
        <v>1126</v>
      </c>
      <c r="E355" s="2">
        <v>45841.0</v>
      </c>
      <c r="F355" s="1" t="s">
        <v>68</v>
      </c>
      <c r="G355" s="1" t="s">
        <v>69</v>
      </c>
      <c r="H355" s="1" t="s">
        <v>1127</v>
      </c>
      <c r="I355" s="1">
        <v>250.0</v>
      </c>
      <c r="J355" s="1" t="s">
        <v>24</v>
      </c>
      <c r="K355" s="1">
        <v>250.0</v>
      </c>
      <c r="L355" s="1">
        <v>240.0</v>
      </c>
      <c r="M355" s="1">
        <v>10.0</v>
      </c>
      <c r="N355" s="1">
        <v>10.0</v>
      </c>
      <c r="O355" s="1" t="s">
        <v>1128</v>
      </c>
      <c r="P355" s="3" t="str">
        <f>HYPERLINK("https://icf.clappia.com/app/SOM165486/submission/BNQ49870814/ICF247370-SOM165486-3e3n941g22k200000000/SIG-20250703_13323in6l.jpeg", "SIG-20250703_13323in6l.jpeg")</f>
        <v>SIG-20250703_13323in6l.jpeg</v>
      </c>
      <c r="Q355" s="3" t="str">
        <f>HYPERLINK("https://www.google.com/maps/place/8.8410617%2C-12.222787", "8.8410617,-12.222787")</f>
        <v>8.8410617,-12.222787</v>
      </c>
    </row>
    <row r="356" ht="15.75" customHeight="1">
      <c r="A356" s="1" t="s">
        <v>1129</v>
      </c>
      <c r="B356" s="1" t="s">
        <v>18</v>
      </c>
      <c r="C356" s="1" t="s">
        <v>1130</v>
      </c>
      <c r="D356" s="1" t="s">
        <v>1131</v>
      </c>
      <c r="E356" s="2">
        <v>45841.0</v>
      </c>
      <c r="F356" s="1" t="s">
        <v>21</v>
      </c>
      <c r="G356" s="1" t="s">
        <v>269</v>
      </c>
      <c r="H356" s="1" t="s">
        <v>540</v>
      </c>
      <c r="I356" s="1">
        <v>87.0</v>
      </c>
      <c r="J356" s="1" t="s">
        <v>24</v>
      </c>
      <c r="K356" s="1">
        <v>87.0</v>
      </c>
      <c r="L356" s="1">
        <v>79.0</v>
      </c>
      <c r="M356" s="1">
        <v>8.0</v>
      </c>
      <c r="N356" s="1">
        <v>8.0</v>
      </c>
      <c r="O356" s="1" t="s">
        <v>541</v>
      </c>
      <c r="P356" s="3" t="str">
        <f>HYPERLINK("https://icf.clappia.com/app/SOM165486/submission/YOX39484156/ICF247370-SOM165486-5m538i16ij8g00000000/SIG-20250703_1258pnnl0.jpeg", "SIG-20250703_1258pnnl0.jpeg")</f>
        <v>SIG-20250703_1258pnnl0.jpeg</v>
      </c>
    </row>
    <row r="357" ht="15.75" customHeight="1">
      <c r="A357" s="1" t="s">
        <v>1132</v>
      </c>
      <c r="B357" s="1" t="s">
        <v>18</v>
      </c>
      <c r="C357" s="1" t="s">
        <v>1090</v>
      </c>
      <c r="D357" s="1" t="s">
        <v>1090</v>
      </c>
      <c r="E357" s="2">
        <v>45841.0</v>
      </c>
      <c r="F357" s="1" t="s">
        <v>21</v>
      </c>
      <c r="G357" s="1" t="s">
        <v>77</v>
      </c>
      <c r="H357" s="1" t="s">
        <v>568</v>
      </c>
      <c r="I357" s="1">
        <v>200.0</v>
      </c>
      <c r="J357" s="1" t="s">
        <v>24</v>
      </c>
      <c r="K357" s="1">
        <v>200.0</v>
      </c>
      <c r="L357" s="1">
        <v>200.0</v>
      </c>
      <c r="M357" s="1" t="s">
        <v>24</v>
      </c>
      <c r="N357" s="1" t="s">
        <v>24</v>
      </c>
      <c r="O357" s="1" t="s">
        <v>569</v>
      </c>
      <c r="P357" s="3" t="str">
        <f>HYPERLINK("https://icf.clappia.com/app/SOM165486/submission/KDC01632764/ICF247370-SOM165486-h7gb6l3epmn20000000/SIG-20250703_1239c5a71.jpeg", "SIG-20250703_1239c5a71.jpeg")</f>
        <v>SIG-20250703_1239c5a71.jpeg</v>
      </c>
      <c r="Q357" s="3" t="str">
        <f>HYPERLINK("https://www.google.com/maps/place/7.972425%2C-11.7161049", "7.972425,-11.7161049")</f>
        <v>7.972425,-11.7161049</v>
      </c>
    </row>
    <row r="358" ht="15.75" customHeight="1">
      <c r="A358" s="1" t="s">
        <v>1133</v>
      </c>
      <c r="B358" s="1" t="s">
        <v>18</v>
      </c>
      <c r="C358" s="1" t="s">
        <v>1134</v>
      </c>
      <c r="D358" s="1" t="s">
        <v>1135</v>
      </c>
      <c r="E358" s="2">
        <v>45840.0</v>
      </c>
      <c r="F358" s="1" t="s">
        <v>21</v>
      </c>
      <c r="G358" s="1" t="s">
        <v>35</v>
      </c>
      <c r="H358" s="1" t="s">
        <v>871</v>
      </c>
      <c r="I358" s="1">
        <v>227.0</v>
      </c>
      <c r="J358" s="1" t="s">
        <v>24</v>
      </c>
      <c r="K358" s="1">
        <v>227.0</v>
      </c>
      <c r="L358" s="1">
        <v>114.0</v>
      </c>
      <c r="M358" s="1">
        <v>113.0</v>
      </c>
      <c r="N358" s="1">
        <v>113.0</v>
      </c>
      <c r="O358" s="1" t="s">
        <v>873</v>
      </c>
      <c r="P358" s="3" t="str">
        <f>HYPERLINK("https://icf.clappia.com/app/SOM165486/submission/ATV57835640/ICF247370-SOM165486-1de303fm9h8bg0000000/SIG-20250702_15305c5fo.jpeg", "SIG-20250702_15305c5fo.jpeg")</f>
        <v>SIG-20250702_15305c5fo.jpeg</v>
      </c>
      <c r="Q358" s="3" t="str">
        <f>HYPERLINK("https://www.google.com/maps/place/8.21643%2C-11.6019517", "8.21643,-11.6019517")</f>
        <v>8.21643,-11.6019517</v>
      </c>
    </row>
    <row r="359" ht="15.75" customHeight="1">
      <c r="A359" s="1" t="s">
        <v>1136</v>
      </c>
      <c r="B359" s="1" t="s">
        <v>18</v>
      </c>
      <c r="C359" s="1" t="s">
        <v>1137</v>
      </c>
      <c r="D359" s="1" t="s">
        <v>1137</v>
      </c>
      <c r="E359" s="2">
        <v>45841.0</v>
      </c>
      <c r="F359" s="1" t="s">
        <v>68</v>
      </c>
      <c r="G359" s="1" t="s">
        <v>88</v>
      </c>
      <c r="H359" s="1" t="s">
        <v>1138</v>
      </c>
      <c r="I359" s="1">
        <v>231.0</v>
      </c>
      <c r="J359" s="1" t="s">
        <v>24</v>
      </c>
      <c r="K359" s="1">
        <v>231.0</v>
      </c>
      <c r="L359" s="1">
        <v>229.0</v>
      </c>
      <c r="M359" s="1">
        <v>2.0</v>
      </c>
      <c r="N359" s="1">
        <v>2.0</v>
      </c>
      <c r="O359" s="1" t="s">
        <v>1139</v>
      </c>
      <c r="P359" s="3" t="str">
        <f>HYPERLINK("https://icf.clappia.com/app/SOM165486/submission/EKY81364627/ICF247370-SOM165486-49p6kjh2dk9800000000/SIG-20250703_1321jpp8g.jpeg", "SIG-20250703_1321jpp8g.jpeg")</f>
        <v>SIG-20250703_1321jpp8g.jpeg</v>
      </c>
      <c r="Q359" s="3" t="str">
        <f>HYPERLINK("https://www.google.com/maps/place/8.8889933%2C-12.0325368", "8.8889933,-12.0325368")</f>
        <v>8.8889933,-12.0325368</v>
      </c>
    </row>
    <row r="360" ht="15.75" customHeight="1">
      <c r="A360" s="1" t="s">
        <v>1140</v>
      </c>
      <c r="B360" s="1" t="s">
        <v>18</v>
      </c>
      <c r="C360" s="1" t="s">
        <v>1141</v>
      </c>
      <c r="D360" s="1" t="s">
        <v>1141</v>
      </c>
      <c r="E360" s="2">
        <v>45841.0</v>
      </c>
      <c r="F360" s="1" t="s">
        <v>68</v>
      </c>
      <c r="G360" s="1" t="s">
        <v>83</v>
      </c>
      <c r="H360" s="1" t="s">
        <v>1142</v>
      </c>
      <c r="I360" s="1">
        <v>345.0</v>
      </c>
      <c r="J360" s="1">
        <v>345.0</v>
      </c>
      <c r="K360" s="1">
        <v>690.0</v>
      </c>
      <c r="L360" s="1">
        <v>350.0</v>
      </c>
      <c r="M360" s="1">
        <v>340.0</v>
      </c>
      <c r="N360" s="1" t="s">
        <v>24</v>
      </c>
      <c r="O360" s="1" t="s">
        <v>1143</v>
      </c>
      <c r="P360" s="3" t="str">
        <f>HYPERLINK("https://icf.clappia.com/app/SOM165486/submission/FDV71781489/ICF247370-SOM165486-bl4l8c2k1p8c0000000/SIG-20250703_1318bee98.jpeg", "SIG-20250703_1318bee98.jpeg")</f>
        <v>SIG-20250703_1318bee98.jpeg</v>
      </c>
      <c r="Q360" s="3" t="str">
        <f>HYPERLINK("https://www.google.com/maps/place/8.8408583%2C-12.0575367", "8.8408583,-12.0575367")</f>
        <v>8.8408583,-12.0575367</v>
      </c>
    </row>
    <row r="361" ht="15.75" customHeight="1">
      <c r="A361" s="1" t="s">
        <v>1144</v>
      </c>
      <c r="B361" s="1" t="s">
        <v>283</v>
      </c>
      <c r="C361" s="1" t="s">
        <v>1145</v>
      </c>
      <c r="D361" s="1" t="s">
        <v>1145</v>
      </c>
      <c r="E361" s="2">
        <v>45839.0</v>
      </c>
      <c r="F361" s="1" t="s">
        <v>21</v>
      </c>
      <c r="G361" s="1" t="s">
        <v>95</v>
      </c>
      <c r="H361" s="1" t="s">
        <v>929</v>
      </c>
      <c r="I361" s="1">
        <v>350.0</v>
      </c>
      <c r="J361" s="1" t="s">
        <v>24</v>
      </c>
      <c r="K361" s="1">
        <v>350.0</v>
      </c>
      <c r="L361" s="1">
        <v>337.0</v>
      </c>
      <c r="M361" s="1">
        <v>13.0</v>
      </c>
      <c r="N361" s="1">
        <v>13.0</v>
      </c>
      <c r="O361" s="1" t="s">
        <v>930</v>
      </c>
      <c r="P361" s="3" t="str">
        <f>HYPERLINK("https://icf.clappia.com/app/SOM165486/submission/NFK85765532/ICF247370-SOM165486-2pdc08ohn87k00000000/SIG-20250703_1316181dh1.jpeg", "SIG-20250703_1316181dh1.jpeg")</f>
        <v>SIG-20250703_1316181dh1.jpeg</v>
      </c>
    </row>
    <row r="362" ht="15.75" customHeight="1">
      <c r="A362" s="1" t="s">
        <v>1146</v>
      </c>
      <c r="B362" s="1" t="s">
        <v>18</v>
      </c>
      <c r="C362" s="1" t="s">
        <v>1147</v>
      </c>
      <c r="D362" s="1" t="s">
        <v>1147</v>
      </c>
      <c r="E362" s="2">
        <v>45841.0</v>
      </c>
      <c r="F362" s="1" t="s">
        <v>68</v>
      </c>
      <c r="G362" s="1" t="s">
        <v>248</v>
      </c>
      <c r="H362" s="1" t="s">
        <v>1148</v>
      </c>
      <c r="I362" s="1">
        <v>107.0</v>
      </c>
      <c r="J362" s="1" t="s">
        <v>24</v>
      </c>
      <c r="K362" s="1">
        <v>107.0</v>
      </c>
      <c r="L362" s="1">
        <v>107.0</v>
      </c>
      <c r="M362" s="1" t="s">
        <v>24</v>
      </c>
      <c r="N362" s="1" t="s">
        <v>24</v>
      </c>
      <c r="O362" s="1" t="s">
        <v>1149</v>
      </c>
      <c r="P362" s="3" t="str">
        <f>HYPERLINK("https://icf.clappia.com/app/SOM165486/submission/VSV26396521/ICF247370-SOM165486-20a7dne4kfpoe000000/SIG-20250703_114316i7pj.jpeg", "SIG-20250703_114316i7pj.jpeg")</f>
        <v>SIG-20250703_114316i7pj.jpeg</v>
      </c>
      <c r="Q362" s="3" t="str">
        <f>HYPERLINK("https://www.google.com/maps/place/9.1849627%2C-12.147957", "9.1849627,-12.147957")</f>
        <v>9.1849627,-12.147957</v>
      </c>
    </row>
    <row r="363" ht="15.75" customHeight="1">
      <c r="A363" s="1" t="s">
        <v>1150</v>
      </c>
      <c r="B363" s="1" t="s">
        <v>283</v>
      </c>
      <c r="C363" s="1" t="s">
        <v>1151</v>
      </c>
      <c r="D363" s="1" t="s">
        <v>1151</v>
      </c>
      <c r="E363" s="2">
        <v>45839.0</v>
      </c>
      <c r="F363" s="1" t="s">
        <v>21</v>
      </c>
      <c r="G363" s="1" t="s">
        <v>95</v>
      </c>
      <c r="H363" s="1" t="s">
        <v>929</v>
      </c>
      <c r="I363" s="1">
        <v>501.0</v>
      </c>
      <c r="J363" s="1" t="s">
        <v>24</v>
      </c>
      <c r="K363" s="1">
        <v>501.0</v>
      </c>
      <c r="L363" s="1">
        <v>452.0</v>
      </c>
      <c r="M363" s="1">
        <v>49.0</v>
      </c>
      <c r="N363" s="1">
        <v>49.0</v>
      </c>
      <c r="O363" s="1" t="s">
        <v>930</v>
      </c>
      <c r="P363" s="3" t="str">
        <f>HYPERLINK("https://icf.clappia.com/app/SOM165486/submission/OXW26424209/ICF247370-SOM165486-61o74n5p53c000000000/SIG-20250703_1310imec7.jpeg", "SIG-20250703_1310imec7.jpeg")</f>
        <v>SIG-20250703_1310imec7.jpeg</v>
      </c>
    </row>
    <row r="364" ht="15.75" customHeight="1">
      <c r="A364" s="1" t="s">
        <v>1152</v>
      </c>
      <c r="B364" s="1" t="s">
        <v>18</v>
      </c>
      <c r="C364" s="1" t="s">
        <v>1153</v>
      </c>
      <c r="D364" s="1" t="s">
        <v>1153</v>
      </c>
      <c r="E364" s="2">
        <v>45839.0</v>
      </c>
      <c r="F364" s="1" t="s">
        <v>21</v>
      </c>
      <c r="G364" s="1" t="s">
        <v>58</v>
      </c>
      <c r="H364" s="1" t="s">
        <v>1154</v>
      </c>
      <c r="I364" s="1">
        <v>200.0</v>
      </c>
      <c r="J364" s="1" t="s">
        <v>24</v>
      </c>
      <c r="K364" s="1">
        <v>200.0</v>
      </c>
      <c r="L364" s="1">
        <v>164.0</v>
      </c>
      <c r="M364" s="1">
        <v>36.0</v>
      </c>
      <c r="N364" s="1">
        <v>36.0</v>
      </c>
      <c r="O364" s="1" t="s">
        <v>1155</v>
      </c>
      <c r="P364" s="3" t="str">
        <f>HYPERLINK("https://icf.clappia.com/app/SOM165486/submission/QKB34173607/ICF247370-SOM165486-5jlf1693nnkg00000000/SIG-20250703_131114bc20.jpeg", "SIG-20250703_131114bc20.jpeg")</f>
        <v>SIG-20250703_131114bc20.jpeg</v>
      </c>
      <c r="Q364" s="3" t="str">
        <f>HYPERLINK("https://www.google.com/maps/place/8.0131345%2C-11.7792656", "8.0131345,-11.7792656")</f>
        <v>8.0131345,-11.7792656</v>
      </c>
    </row>
    <row r="365" ht="15.75" customHeight="1">
      <c r="A365" s="1" t="s">
        <v>1156</v>
      </c>
      <c r="B365" s="1" t="s">
        <v>18</v>
      </c>
      <c r="C365" s="1" t="s">
        <v>1157</v>
      </c>
      <c r="D365" s="1" t="s">
        <v>1157</v>
      </c>
      <c r="E365" s="2">
        <v>45841.0</v>
      </c>
      <c r="F365" s="1" t="s">
        <v>21</v>
      </c>
      <c r="G365" s="1" t="s">
        <v>722</v>
      </c>
      <c r="H365" s="1" t="s">
        <v>723</v>
      </c>
      <c r="I365" s="1">
        <v>200.0</v>
      </c>
      <c r="J365" s="1" t="s">
        <v>24</v>
      </c>
      <c r="K365" s="1">
        <v>200.0</v>
      </c>
      <c r="L365" s="1">
        <v>110.0</v>
      </c>
      <c r="M365" s="1">
        <v>90.0</v>
      </c>
      <c r="N365" s="1">
        <v>90.0</v>
      </c>
      <c r="O365" s="1" t="s">
        <v>724</v>
      </c>
      <c r="P365" s="3" t="str">
        <f>HYPERLINK("https://icf.clappia.com/app/SOM165486/submission/TWE28130583/ICF247370-SOM165486-5ih2081b768e00000000/SIG-20250703_13066cb8a.jpeg", "SIG-20250703_13066cb8a.jpeg")</f>
        <v>SIG-20250703_13066cb8a.jpeg</v>
      </c>
      <c r="Q365" s="3" t="str">
        <f>HYPERLINK("https://www.google.com/maps/place/8.0724733%2C-11.719235", "8.0724733,-11.719235")</f>
        <v>8.0724733,-11.719235</v>
      </c>
    </row>
    <row r="366" ht="15.75" customHeight="1">
      <c r="A366" s="1" t="s">
        <v>1158</v>
      </c>
      <c r="B366" s="1" t="s">
        <v>18</v>
      </c>
      <c r="C366" s="1" t="s">
        <v>1159</v>
      </c>
      <c r="D366" s="1" t="s">
        <v>1159</v>
      </c>
      <c r="E366" s="2">
        <v>45841.0</v>
      </c>
      <c r="F366" s="1" t="s">
        <v>21</v>
      </c>
      <c r="G366" s="1" t="s">
        <v>129</v>
      </c>
      <c r="H366" s="1" t="s">
        <v>607</v>
      </c>
      <c r="I366" s="1">
        <v>150.0</v>
      </c>
      <c r="J366" s="1" t="s">
        <v>24</v>
      </c>
      <c r="K366" s="1">
        <v>150.0</v>
      </c>
      <c r="L366" s="1">
        <v>123.0</v>
      </c>
      <c r="M366" s="1">
        <v>27.0</v>
      </c>
      <c r="N366" s="1">
        <v>27.0</v>
      </c>
      <c r="O366" s="1" t="s">
        <v>1160</v>
      </c>
      <c r="P366" s="3" t="str">
        <f>HYPERLINK("https://icf.clappia.com/app/SOM165486/submission/MNQ02337036/ICF247370-SOM165486-47174bb419pm00000000/SIG-20250703_1301cb4lk.jpeg", "SIG-20250703_1301cb4lk.jpeg")</f>
        <v>SIG-20250703_1301cb4lk.jpeg</v>
      </c>
      <c r="Q366" s="3" t="str">
        <f>HYPERLINK("https://www.google.com/maps/place/7.5727333%2C-11.9371248", "7.5727333,-11.9371248")</f>
        <v>7.5727333,-11.9371248</v>
      </c>
    </row>
    <row r="367" ht="15.75" customHeight="1">
      <c r="A367" s="1" t="s">
        <v>1161</v>
      </c>
      <c r="B367" s="1" t="s">
        <v>18</v>
      </c>
      <c r="C367" s="1" t="s">
        <v>1162</v>
      </c>
      <c r="D367" s="1" t="s">
        <v>1162</v>
      </c>
      <c r="E367" s="2">
        <v>45841.0</v>
      </c>
      <c r="F367" s="1" t="s">
        <v>68</v>
      </c>
      <c r="G367" s="1" t="s">
        <v>672</v>
      </c>
      <c r="H367" s="1" t="s">
        <v>1163</v>
      </c>
      <c r="I367" s="1">
        <v>110.0</v>
      </c>
      <c r="J367" s="1" t="s">
        <v>24</v>
      </c>
      <c r="K367" s="1">
        <v>110.0</v>
      </c>
      <c r="L367" s="1">
        <v>102.0</v>
      </c>
      <c r="M367" s="1">
        <v>8.0</v>
      </c>
      <c r="N367" s="1">
        <v>8.0</v>
      </c>
      <c r="O367" s="1" t="s">
        <v>1164</v>
      </c>
      <c r="P367" s="3" t="str">
        <f>HYPERLINK("https://icf.clappia.com/app/SOM165486/submission/JED32337496/ICF247370-SOM165486-3m3dleloaog600000000/SIG-20250703_125219m7nh.jpeg", "SIG-20250703_125219m7nh.jpeg")</f>
        <v>SIG-20250703_125219m7nh.jpeg</v>
      </c>
      <c r="Q367" s="3" t="str">
        <f>HYPERLINK("https://www.google.com/maps/place/9.0001467%2C-11.9119367", "9.0001467,-11.9119367")</f>
        <v>9.0001467,-11.9119367</v>
      </c>
    </row>
    <row r="368" ht="15.75" customHeight="1">
      <c r="A368" s="1" t="s">
        <v>1165</v>
      </c>
      <c r="B368" s="1" t="s">
        <v>283</v>
      </c>
      <c r="C368" s="1" t="s">
        <v>1166</v>
      </c>
      <c r="D368" s="1" t="s">
        <v>1166</v>
      </c>
      <c r="E368" s="2">
        <v>45838.0</v>
      </c>
      <c r="F368" s="1" t="s">
        <v>21</v>
      </c>
      <c r="G368" s="1" t="s">
        <v>95</v>
      </c>
      <c r="H368" s="1" t="s">
        <v>929</v>
      </c>
      <c r="I368" s="1">
        <v>1811.0</v>
      </c>
      <c r="J368" s="1" t="s">
        <v>24</v>
      </c>
      <c r="K368" s="1">
        <v>1811.0</v>
      </c>
      <c r="L368" s="1">
        <v>289.0</v>
      </c>
      <c r="M368" s="1">
        <v>1522.0</v>
      </c>
      <c r="N368" s="1">
        <v>261.0</v>
      </c>
      <c r="O368" s="1" t="s">
        <v>1167</v>
      </c>
      <c r="P368" s="3" t="str">
        <f>HYPERLINK("https://icf.clappia.com/app/SOM165486/submission/BRS45131287/ICF247370-SOM165486-22aa032bnnod60000000/SIG-20250703_125218ced8.jpeg", "SIG-20250703_125218ced8.jpeg")</f>
        <v>SIG-20250703_125218ced8.jpeg</v>
      </c>
    </row>
    <row r="369" ht="15.75" customHeight="1">
      <c r="A369" s="1" t="s">
        <v>1168</v>
      </c>
      <c r="B369" s="1" t="s">
        <v>18</v>
      </c>
      <c r="C369" s="1" t="s">
        <v>1169</v>
      </c>
      <c r="D369" s="1" t="s">
        <v>1169</v>
      </c>
      <c r="E369" s="2">
        <v>45840.0</v>
      </c>
      <c r="F369" s="1" t="s">
        <v>68</v>
      </c>
      <c r="G369" s="1" t="s">
        <v>325</v>
      </c>
      <c r="H369" s="1" t="s">
        <v>718</v>
      </c>
      <c r="I369" s="1">
        <v>150.0</v>
      </c>
      <c r="J369" s="1" t="s">
        <v>24</v>
      </c>
      <c r="K369" s="1">
        <v>150.0</v>
      </c>
      <c r="L369" s="1">
        <v>106.0</v>
      </c>
      <c r="M369" s="1">
        <v>44.0</v>
      </c>
      <c r="N369" s="1">
        <v>44.0</v>
      </c>
      <c r="O369" s="1" t="s">
        <v>1170</v>
      </c>
      <c r="P369" s="3" t="str">
        <f>HYPERLINK("https://icf.clappia.com/app/SOM165486/submission/BPX75354068/ICF247370-SOM165486-17f079lc2c4pm0000000/SIG-20250703_1249kh0ik.jpeg", "SIG-20250703_1249kh0ik.jpeg")</f>
        <v>SIG-20250703_1249kh0ik.jpeg</v>
      </c>
      <c r="Q369" s="3" t="str">
        <f>HYPERLINK("https://www.google.com/maps/place/8.7408183%2C-11.9970833", "8.7408183,-11.9970833")</f>
        <v>8.7408183,-11.9970833</v>
      </c>
    </row>
    <row r="370" ht="15.75" customHeight="1">
      <c r="A370" s="1" t="s">
        <v>1171</v>
      </c>
      <c r="B370" s="1" t="s">
        <v>18</v>
      </c>
      <c r="C370" s="1" t="s">
        <v>1172</v>
      </c>
      <c r="D370" s="1" t="s">
        <v>1172</v>
      </c>
      <c r="E370" s="2">
        <v>45841.0</v>
      </c>
      <c r="F370" s="1" t="s">
        <v>21</v>
      </c>
      <c r="G370" s="1" t="s">
        <v>331</v>
      </c>
      <c r="H370" s="1" t="s">
        <v>332</v>
      </c>
      <c r="I370" s="1">
        <v>199.0</v>
      </c>
      <c r="J370" s="1" t="s">
        <v>24</v>
      </c>
      <c r="K370" s="1">
        <v>199.0</v>
      </c>
      <c r="L370" s="1">
        <v>185.0</v>
      </c>
      <c r="M370" s="1">
        <v>14.0</v>
      </c>
      <c r="N370" s="1">
        <v>14.0</v>
      </c>
      <c r="O370" s="1" t="s">
        <v>333</v>
      </c>
      <c r="P370" s="3" t="str">
        <f>HYPERLINK("https://icf.clappia.com/app/SOM165486/submission/YCI66161583/ICF247370-SOM165486-2ph2oe9352f600000000/SIG-20250703_1248d1pfo.jpeg", "SIG-20250703_1248d1pfo.jpeg")</f>
        <v>SIG-20250703_1248d1pfo.jpeg</v>
      </c>
      <c r="Q370" s="3" t="str">
        <f>HYPERLINK("https://www.google.com/maps/place/7.6098483%2C-11.6642833", "7.6098483,-11.6642833")</f>
        <v>7.6098483,-11.6642833</v>
      </c>
    </row>
    <row r="371" ht="15.75" customHeight="1">
      <c r="A371" s="1" t="s">
        <v>1173</v>
      </c>
      <c r="B371" s="1" t="s">
        <v>18</v>
      </c>
      <c r="C371" s="1" t="s">
        <v>1172</v>
      </c>
      <c r="D371" s="1" t="s">
        <v>1172</v>
      </c>
      <c r="E371" s="2">
        <v>45841.0</v>
      </c>
      <c r="F371" s="1" t="s">
        <v>21</v>
      </c>
      <c r="G371" s="1" t="s">
        <v>58</v>
      </c>
      <c r="H371" s="1" t="s">
        <v>147</v>
      </c>
      <c r="I371" s="1">
        <v>150.0</v>
      </c>
      <c r="J371" s="1" t="s">
        <v>24</v>
      </c>
      <c r="K371" s="1">
        <v>150.0</v>
      </c>
      <c r="L371" s="1">
        <v>125.0</v>
      </c>
      <c r="M371" s="1">
        <v>25.0</v>
      </c>
      <c r="N371" s="1">
        <v>25.0</v>
      </c>
      <c r="O371" s="1" t="s">
        <v>1174</v>
      </c>
      <c r="P371" s="3" t="str">
        <f>HYPERLINK("https://icf.clappia.com/app/SOM165486/submission/WDC14874978/ICF247370-SOM165486-1947d31mia1oc0000000/SIG-20250703_1248c2lam.jpeg", "SIG-20250703_1248c2lam.jpeg")</f>
        <v>SIG-20250703_1248c2lam.jpeg</v>
      </c>
      <c r="Q371" s="3" t="str">
        <f>HYPERLINK("https://www.google.com/maps/place/7.8783967%2C-11.7814124", "7.8783967,-11.7814124")</f>
        <v>7.8783967,-11.7814124</v>
      </c>
    </row>
    <row r="372" ht="15.75" customHeight="1">
      <c r="A372" s="1" t="s">
        <v>1175</v>
      </c>
      <c r="B372" s="1" t="s">
        <v>283</v>
      </c>
      <c r="C372" s="1" t="s">
        <v>1176</v>
      </c>
      <c r="D372" s="1" t="s">
        <v>1176</v>
      </c>
      <c r="E372" s="2">
        <v>45841.0</v>
      </c>
      <c r="F372" s="1" t="s">
        <v>68</v>
      </c>
      <c r="G372" s="1" t="s">
        <v>69</v>
      </c>
      <c r="H372" s="1" t="s">
        <v>1177</v>
      </c>
      <c r="I372" s="1">
        <v>50.0</v>
      </c>
      <c r="J372" s="1" t="s">
        <v>24</v>
      </c>
      <c r="K372" s="1">
        <v>50.0</v>
      </c>
      <c r="L372" s="1">
        <v>50.0</v>
      </c>
      <c r="M372" s="1" t="s">
        <v>24</v>
      </c>
      <c r="N372" s="1" t="s">
        <v>24</v>
      </c>
      <c r="O372" s="1" t="s">
        <v>1178</v>
      </c>
      <c r="P372" s="3" t="str">
        <f>HYPERLINK("https://icf.clappia.com/app/SOM165486/submission/SGZ63094619/ICF247370-SOM165486-3j7ja706honm00000000/SIG-20250703_123355bk5.jpeg", "SIG-20250703_123355bk5.jpeg")</f>
        <v>SIG-20250703_123355bk5.jpeg</v>
      </c>
      <c r="Q372" s="3" t="str">
        <f>HYPERLINK("https://www.google.com/maps/place/8.7461783%2C-12.2640017", "8.7461783,-12.2640017")</f>
        <v>8.7461783,-12.2640017</v>
      </c>
    </row>
    <row r="373" ht="15.75" customHeight="1">
      <c r="A373" s="1" t="s">
        <v>1179</v>
      </c>
      <c r="B373" s="1" t="s">
        <v>283</v>
      </c>
      <c r="C373" s="1" t="s">
        <v>1180</v>
      </c>
      <c r="D373" s="1" t="s">
        <v>1180</v>
      </c>
      <c r="E373" s="2">
        <v>45840.0</v>
      </c>
      <c r="F373" s="1" t="s">
        <v>68</v>
      </c>
      <c r="G373" s="1" t="s">
        <v>69</v>
      </c>
      <c r="H373" s="1" t="s">
        <v>1177</v>
      </c>
      <c r="I373" s="1">
        <v>50.0</v>
      </c>
      <c r="J373" s="1" t="s">
        <v>24</v>
      </c>
      <c r="K373" s="1">
        <v>50.0</v>
      </c>
      <c r="L373" s="1">
        <v>40.0</v>
      </c>
      <c r="M373" s="1">
        <v>10.0</v>
      </c>
      <c r="N373" s="1">
        <v>10.0</v>
      </c>
      <c r="O373" s="1" t="s">
        <v>1178</v>
      </c>
      <c r="P373" s="3" t="str">
        <f>HYPERLINK("https://icf.clappia.com/app/SOM165486/submission/WZH14926269/ICF247370-SOM165486-4codceja5peg00000000/SIG-20250703_1229b2495.jpeg", "SIG-20250703_1229b2495.jpeg")</f>
        <v>SIG-20250703_1229b2495.jpeg</v>
      </c>
      <c r="Q373" s="3" t="str">
        <f>HYPERLINK("https://www.google.com/maps/place/8.7459233%2C-12.2639233", "8.7459233,-12.2639233")</f>
        <v>8.7459233,-12.2639233</v>
      </c>
    </row>
    <row r="374" ht="15.75" customHeight="1">
      <c r="A374" s="1" t="s">
        <v>1181</v>
      </c>
      <c r="B374" s="1" t="s">
        <v>18</v>
      </c>
      <c r="C374" s="1" t="s">
        <v>1180</v>
      </c>
      <c r="D374" s="1" t="s">
        <v>1180</v>
      </c>
      <c r="E374" s="2">
        <v>45840.0</v>
      </c>
      <c r="F374" s="1" t="s">
        <v>21</v>
      </c>
      <c r="G374" s="1" t="s">
        <v>95</v>
      </c>
      <c r="H374" s="1" t="s">
        <v>547</v>
      </c>
      <c r="I374" s="1">
        <v>179.0</v>
      </c>
      <c r="J374" s="1" t="s">
        <v>24</v>
      </c>
      <c r="K374" s="1">
        <v>179.0</v>
      </c>
      <c r="L374" s="1">
        <v>179.0</v>
      </c>
      <c r="M374" s="1" t="s">
        <v>24</v>
      </c>
      <c r="N374" s="1" t="s">
        <v>24</v>
      </c>
      <c r="O374" s="1" t="s">
        <v>1182</v>
      </c>
      <c r="P374" s="3" t="str">
        <f>HYPERLINK("https://icf.clappia.com/app/SOM165486/submission/WEQ60827978/ICF247370-SOM165486-5246o5a9hbh600000000/SIG-20250703_1229kfpid.jpeg", "SIG-20250703_1229kfpid.jpeg")</f>
        <v>SIG-20250703_1229kfpid.jpeg</v>
      </c>
      <c r="Q374" s="3" t="str">
        <f>HYPERLINK("https://www.google.com/maps/place/7.9577532%2C-11.7418158", "7.9577532,-11.7418158")</f>
        <v>7.9577532,-11.7418158</v>
      </c>
    </row>
    <row r="375" ht="15.75" customHeight="1">
      <c r="A375" s="1" t="s">
        <v>1183</v>
      </c>
      <c r="B375" s="1" t="s">
        <v>283</v>
      </c>
      <c r="C375" s="1" t="s">
        <v>1184</v>
      </c>
      <c r="D375" s="1" t="s">
        <v>1184</v>
      </c>
      <c r="E375" s="2">
        <v>45839.0</v>
      </c>
      <c r="F375" s="1" t="s">
        <v>68</v>
      </c>
      <c r="G375" s="1" t="s">
        <v>69</v>
      </c>
      <c r="H375" s="1" t="s">
        <v>1177</v>
      </c>
      <c r="I375" s="1">
        <v>100.0</v>
      </c>
      <c r="J375" s="1" t="s">
        <v>24</v>
      </c>
      <c r="K375" s="1">
        <v>100.0</v>
      </c>
      <c r="L375" s="1">
        <v>83.0</v>
      </c>
      <c r="M375" s="1">
        <v>17.0</v>
      </c>
      <c r="N375" s="1">
        <v>17.0</v>
      </c>
      <c r="O375" s="1" t="s">
        <v>1178</v>
      </c>
      <c r="P375" s="3" t="str">
        <f>HYPERLINK("https://icf.clappia.com/app/SOM165486/submission/PZN80709273/ICF247370-SOM165486-3mn09g2lkhmk00000000/SIG-20250703_12262nopi.jpeg", "SIG-20250703_12262nopi.jpeg")</f>
        <v>SIG-20250703_12262nopi.jpeg</v>
      </c>
      <c r="Q375" s="3" t="str">
        <f>HYPERLINK("https://www.google.com/maps/place/8.7456651%2C-12.263895", "8.7456651,-12.263895")</f>
        <v>8.7456651,-12.263895</v>
      </c>
    </row>
    <row r="376" ht="15.75" customHeight="1">
      <c r="A376" s="1" t="s">
        <v>1185</v>
      </c>
      <c r="B376" s="1" t="s">
        <v>18</v>
      </c>
      <c r="C376" s="1" t="s">
        <v>1186</v>
      </c>
      <c r="D376" s="1" t="s">
        <v>1187</v>
      </c>
      <c r="E376" s="2">
        <v>45840.0</v>
      </c>
      <c r="F376" s="1" t="s">
        <v>68</v>
      </c>
      <c r="G376" s="1" t="s">
        <v>672</v>
      </c>
      <c r="H376" s="1" t="s">
        <v>1163</v>
      </c>
      <c r="I376" s="1">
        <v>150.0</v>
      </c>
      <c r="J376" s="1" t="s">
        <v>24</v>
      </c>
      <c r="K376" s="1">
        <v>150.0</v>
      </c>
      <c r="L376" s="1">
        <v>150.0</v>
      </c>
      <c r="M376" s="1" t="s">
        <v>24</v>
      </c>
      <c r="N376" s="1" t="s">
        <v>24</v>
      </c>
      <c r="O376" s="1" t="s">
        <v>1188</v>
      </c>
      <c r="P376" s="3" t="str">
        <f>HYPERLINK("https://icf.clappia.com/app/SOM165486/submission/JRX80045350/ICF247370-SOM165486-57dn4jaknio600000000/SIG-20250702_095085d0.jpeg", "SIG-20250702_095085d0.jpeg")</f>
        <v>SIG-20250702_095085d0.jpeg</v>
      </c>
      <c r="Q376" s="3" t="str">
        <f>HYPERLINK("https://www.google.com/maps/place/9.000195%2C-11.9117767", "9.000195,-11.9117767")</f>
        <v>9.000195,-11.9117767</v>
      </c>
    </row>
    <row r="377" ht="15.75" customHeight="1">
      <c r="A377" s="1" t="s">
        <v>1189</v>
      </c>
      <c r="B377" s="1" t="s">
        <v>18</v>
      </c>
      <c r="C377" s="1" t="s">
        <v>1190</v>
      </c>
      <c r="D377" s="1" t="s">
        <v>1190</v>
      </c>
      <c r="E377" s="2">
        <v>45840.0</v>
      </c>
      <c r="F377" s="1" t="s">
        <v>21</v>
      </c>
      <c r="G377" s="1" t="s">
        <v>95</v>
      </c>
      <c r="H377" s="1" t="s">
        <v>547</v>
      </c>
      <c r="I377" s="1">
        <v>150.0</v>
      </c>
      <c r="J377" s="1" t="s">
        <v>24</v>
      </c>
      <c r="K377" s="1">
        <v>150.0</v>
      </c>
      <c r="L377" s="1">
        <v>140.0</v>
      </c>
      <c r="M377" s="1">
        <v>10.0</v>
      </c>
      <c r="N377" s="1">
        <v>10.0</v>
      </c>
      <c r="O377" s="1" t="s">
        <v>551</v>
      </c>
      <c r="P377" s="3" t="str">
        <f>HYPERLINK("https://icf.clappia.com/app/SOM165486/submission/DEJ44056614/ICF247370-SOM165486-67ljm26jc0mo00000000/SIG-20250703_1225ikcg7.jpeg", "SIG-20250703_1225ikcg7.jpeg")</f>
        <v>SIG-20250703_1225ikcg7.jpeg</v>
      </c>
      <c r="Q377" s="3" t="str">
        <f>HYPERLINK("https://www.google.com/maps/place/7.9577618%2C-11.741828", "7.9577618,-11.741828")</f>
        <v>7.9577618,-11.741828</v>
      </c>
    </row>
    <row r="378" ht="15.75" customHeight="1">
      <c r="A378" s="1" t="s">
        <v>1191</v>
      </c>
      <c r="B378" s="1" t="s">
        <v>283</v>
      </c>
      <c r="C378" s="1" t="s">
        <v>1192</v>
      </c>
      <c r="D378" s="1" t="s">
        <v>1192</v>
      </c>
      <c r="E378" s="2">
        <v>45838.0</v>
      </c>
      <c r="F378" s="1" t="s">
        <v>68</v>
      </c>
      <c r="G378" s="1" t="s">
        <v>69</v>
      </c>
      <c r="H378" s="1" t="s">
        <v>1177</v>
      </c>
      <c r="I378" s="1">
        <v>120.0</v>
      </c>
      <c r="J378" s="1" t="s">
        <v>24</v>
      </c>
      <c r="K378" s="1">
        <v>120.0</v>
      </c>
      <c r="L378" s="1">
        <v>118.0</v>
      </c>
      <c r="M378" s="1">
        <v>2.0</v>
      </c>
      <c r="N378" s="1">
        <v>2.0</v>
      </c>
      <c r="O378" s="1" t="s">
        <v>1178</v>
      </c>
      <c r="P378" s="3" t="str">
        <f>HYPERLINK("https://icf.clappia.com/app/SOM165486/submission/SLL63475699/ICF247370-SOM165486-38lbb7nnmpje00000000/SIG-20250703_1222ie2dc.jpeg", "SIG-20250703_1222ie2dc.jpeg")</f>
        <v>SIG-20250703_1222ie2dc.jpeg</v>
      </c>
      <c r="Q378" s="3" t="str">
        <f>HYPERLINK("https://www.google.com/maps/place/8.7461017%2C-12.2639333", "8.7461017,-12.2639333")</f>
        <v>8.7461017,-12.2639333</v>
      </c>
    </row>
    <row r="379" ht="15.75" customHeight="1">
      <c r="A379" s="1" t="s">
        <v>1193</v>
      </c>
      <c r="B379" s="1" t="s">
        <v>18</v>
      </c>
      <c r="C379" s="1" t="s">
        <v>1194</v>
      </c>
      <c r="D379" s="1" t="s">
        <v>1194</v>
      </c>
      <c r="E379" s="2">
        <v>45841.0</v>
      </c>
      <c r="F379" s="1" t="s">
        <v>21</v>
      </c>
      <c r="G379" s="1" t="s">
        <v>77</v>
      </c>
      <c r="H379" s="1" t="s">
        <v>120</v>
      </c>
      <c r="I379" s="1">
        <v>24.0</v>
      </c>
      <c r="J379" s="1" t="s">
        <v>24</v>
      </c>
      <c r="K379" s="1">
        <v>24.0</v>
      </c>
      <c r="L379" s="1">
        <v>24.0</v>
      </c>
      <c r="M379" s="1" t="s">
        <v>24</v>
      </c>
      <c r="N379" s="1" t="s">
        <v>24</v>
      </c>
      <c r="O379" s="1" t="s">
        <v>1195</v>
      </c>
      <c r="P379" s="3" t="str">
        <f>HYPERLINK("https://icf.clappia.com/app/SOM165486/submission/AZA93286296/ICF247370-SOM165486-1i1p93d1i4f8e0000000/SIG-20250703_1222pckfi.jpeg", "SIG-20250703_1222pckfi.jpeg")</f>
        <v>SIG-20250703_1222pckfi.jpeg</v>
      </c>
      <c r="Q379" s="3" t="str">
        <f>HYPERLINK("https://www.google.com/maps/place/7.9472083%2C-11.7214983", "7.9472083,-11.7214983")</f>
        <v>7.9472083,-11.7214983</v>
      </c>
    </row>
    <row r="380" ht="15.75" customHeight="1">
      <c r="A380" s="1" t="s">
        <v>1196</v>
      </c>
      <c r="B380" s="1" t="s">
        <v>18</v>
      </c>
      <c r="C380" s="1" t="s">
        <v>1197</v>
      </c>
      <c r="D380" s="1" t="s">
        <v>1197</v>
      </c>
      <c r="E380" s="2">
        <v>45839.0</v>
      </c>
      <c r="F380" s="1" t="s">
        <v>21</v>
      </c>
      <c r="G380" s="1" t="s">
        <v>95</v>
      </c>
      <c r="H380" s="1" t="s">
        <v>547</v>
      </c>
      <c r="I380" s="1">
        <v>224.0</v>
      </c>
      <c r="J380" s="1" t="s">
        <v>24</v>
      </c>
      <c r="K380" s="1">
        <v>224.0</v>
      </c>
      <c r="L380" s="1">
        <v>224.0</v>
      </c>
      <c r="M380" s="1" t="s">
        <v>24</v>
      </c>
      <c r="N380" s="1" t="s">
        <v>24</v>
      </c>
      <c r="O380" s="1" t="s">
        <v>1182</v>
      </c>
      <c r="P380" s="3" t="str">
        <f>HYPERLINK("https://icf.clappia.com/app/SOM165486/submission/UJH59882661/ICF247370-SOM165486-5lnc2klmai0a00000000/SIG-20250703_1221730p8.jpeg", "SIG-20250703_1221730p8.jpeg")</f>
        <v>SIG-20250703_1221730p8.jpeg</v>
      </c>
      <c r="Q380" s="3" t="str">
        <f>HYPERLINK("https://www.google.com/maps/place/7.9577691%2C-11.741809", "7.9577691,-11.741809")</f>
        <v>7.9577691,-11.741809</v>
      </c>
    </row>
    <row r="381" ht="15.75" customHeight="1">
      <c r="A381" s="1" t="s">
        <v>1198</v>
      </c>
      <c r="B381" s="1" t="s">
        <v>283</v>
      </c>
      <c r="C381" s="1" t="s">
        <v>1199</v>
      </c>
      <c r="D381" s="1" t="s">
        <v>1199</v>
      </c>
      <c r="E381" s="2">
        <v>45841.0</v>
      </c>
      <c r="F381" s="1" t="s">
        <v>68</v>
      </c>
      <c r="G381" s="1" t="s">
        <v>385</v>
      </c>
      <c r="H381" s="1" t="s">
        <v>1200</v>
      </c>
      <c r="I381" s="1">
        <v>150.0</v>
      </c>
      <c r="J381" s="1" t="s">
        <v>24</v>
      </c>
      <c r="K381" s="1">
        <v>150.0</v>
      </c>
      <c r="L381" s="1">
        <v>150.0</v>
      </c>
      <c r="M381" s="1" t="s">
        <v>24</v>
      </c>
      <c r="N381" s="1" t="s">
        <v>24</v>
      </c>
      <c r="O381" s="1" t="s">
        <v>1201</v>
      </c>
      <c r="P381" s="3" t="str">
        <f>HYPERLINK("https://icf.clappia.com/app/SOM165486/submission/CRM75460412/ICF247370-SOM165486-ep131o41921m0000000/SIG-20250703_1220cbnei.jpeg", "SIG-20250703_1220cbnei.jpeg")</f>
        <v>SIG-20250703_1220cbnei.jpeg</v>
      </c>
      <c r="Q381" s="3" t="str">
        <f>HYPERLINK("https://www.google.com/maps/place/9.1765568%2C-12.0389082", "9.1765568,-12.0389082")</f>
        <v>9.1765568,-12.0389082</v>
      </c>
    </row>
    <row r="382" ht="15.75" customHeight="1">
      <c r="A382" s="1" t="s">
        <v>1202</v>
      </c>
      <c r="B382" s="1" t="s">
        <v>18</v>
      </c>
      <c r="C382" s="1" t="s">
        <v>1199</v>
      </c>
      <c r="D382" s="1" t="s">
        <v>1199</v>
      </c>
      <c r="E382" s="2">
        <v>45838.0</v>
      </c>
      <c r="F382" s="1" t="s">
        <v>21</v>
      </c>
      <c r="G382" s="1" t="s">
        <v>164</v>
      </c>
      <c r="H382" s="1" t="s">
        <v>887</v>
      </c>
      <c r="I382" s="1">
        <v>190.0</v>
      </c>
      <c r="J382" s="1" t="s">
        <v>24</v>
      </c>
      <c r="K382" s="1">
        <v>190.0</v>
      </c>
      <c r="L382" s="1">
        <v>139.0</v>
      </c>
      <c r="M382" s="1">
        <v>51.0</v>
      </c>
      <c r="N382" s="1">
        <v>51.0</v>
      </c>
      <c r="O382" s="1" t="s">
        <v>898</v>
      </c>
      <c r="P382" s="3" t="str">
        <f>HYPERLINK("https://icf.clappia.com/app/SOM165486/submission/PBE80954035/ICF247370-SOM165486-5ie86h30h5mg00000000/SIG-20250703_1219174nkn.jpeg", "SIG-20250703_1219174nkn.jpeg")</f>
        <v>SIG-20250703_1219174nkn.jpeg</v>
      </c>
      <c r="Q382" s="3" t="str">
        <f>HYPERLINK("https://www.google.com/maps/place/7.8895504%2C-11.9032116", "7.8895504,-11.9032116")</f>
        <v>7.8895504,-11.9032116</v>
      </c>
    </row>
    <row r="383" ht="15.75" customHeight="1">
      <c r="A383" s="1" t="s">
        <v>1203</v>
      </c>
      <c r="B383" s="1" t="s">
        <v>18</v>
      </c>
      <c r="C383" s="1" t="s">
        <v>1204</v>
      </c>
      <c r="D383" s="1" t="s">
        <v>1204</v>
      </c>
      <c r="E383" s="2">
        <v>45839.0</v>
      </c>
      <c r="F383" s="1" t="s">
        <v>21</v>
      </c>
      <c r="G383" s="1" t="s">
        <v>95</v>
      </c>
      <c r="H383" s="1" t="s">
        <v>547</v>
      </c>
      <c r="I383" s="1">
        <v>300.0</v>
      </c>
      <c r="J383" s="1" t="s">
        <v>24</v>
      </c>
      <c r="K383" s="1">
        <v>300.0</v>
      </c>
      <c r="L383" s="1">
        <v>282.0</v>
      </c>
      <c r="M383" s="1">
        <v>18.0</v>
      </c>
      <c r="N383" s="1">
        <v>18.0</v>
      </c>
      <c r="O383" s="1" t="s">
        <v>551</v>
      </c>
      <c r="P383" s="3" t="str">
        <f>HYPERLINK("https://icf.clappia.com/app/SOM165486/submission/BNI04092907/ICF247370-SOM165486-2b6i6nf7749gi0000000/SIG-20250703_12191802f0.jpeg", "SIG-20250703_12191802f0.jpeg")</f>
        <v>SIG-20250703_12191802f0.jpeg</v>
      </c>
      <c r="Q383" s="3" t="str">
        <f>HYPERLINK("https://www.google.com/maps/place/7.9577605%2C-11.7418329", "7.9577605,-11.7418329")</f>
        <v>7.9577605,-11.7418329</v>
      </c>
    </row>
    <row r="384" ht="15.75" customHeight="1">
      <c r="A384" s="1" t="s">
        <v>1205</v>
      </c>
      <c r="B384" s="1" t="s">
        <v>18</v>
      </c>
      <c r="C384" s="1" t="s">
        <v>1206</v>
      </c>
      <c r="D384" s="1" t="s">
        <v>1206</v>
      </c>
      <c r="E384" s="2">
        <v>45838.0</v>
      </c>
      <c r="F384" s="1" t="s">
        <v>21</v>
      </c>
      <c r="G384" s="1" t="s">
        <v>95</v>
      </c>
      <c r="H384" s="1" t="s">
        <v>547</v>
      </c>
      <c r="I384" s="1">
        <v>300.0</v>
      </c>
      <c r="J384" s="1" t="s">
        <v>24</v>
      </c>
      <c r="K384" s="1">
        <v>300.0</v>
      </c>
      <c r="L384" s="1">
        <v>300.0</v>
      </c>
      <c r="M384" s="1" t="s">
        <v>24</v>
      </c>
      <c r="N384" s="1" t="s">
        <v>24</v>
      </c>
      <c r="O384" s="1" t="s">
        <v>1207</v>
      </c>
      <c r="P384" s="3" t="str">
        <f>HYPERLINK("https://icf.clappia.com/app/SOM165486/submission/CDA91308830/ICF247370-SOM165486-1efajmnj4gc800000000/SIG-20250703_121674knh.jpeg", "SIG-20250703_121674knh.jpeg")</f>
        <v>SIG-20250703_121674knh.jpeg</v>
      </c>
      <c r="Q384" s="3" t="str">
        <f>HYPERLINK("https://www.google.com/maps/place/7.9577623%2C-11.7418271", "7.9577623,-11.7418271")</f>
        <v>7.9577623,-11.7418271</v>
      </c>
    </row>
    <row r="385" ht="15.75" customHeight="1">
      <c r="A385" s="1" t="s">
        <v>1208</v>
      </c>
      <c r="B385" s="1" t="s">
        <v>18</v>
      </c>
      <c r="C385" s="1" t="s">
        <v>1209</v>
      </c>
      <c r="D385" s="1" t="s">
        <v>1209</v>
      </c>
      <c r="E385" s="2">
        <v>45838.0</v>
      </c>
      <c r="F385" s="1" t="s">
        <v>21</v>
      </c>
      <c r="G385" s="1" t="s">
        <v>95</v>
      </c>
      <c r="H385" s="1" t="s">
        <v>547</v>
      </c>
      <c r="I385" s="1">
        <v>300.0</v>
      </c>
      <c r="J385" s="1" t="s">
        <v>24</v>
      </c>
      <c r="K385" s="1">
        <v>300.0</v>
      </c>
      <c r="L385" s="1">
        <v>244.0</v>
      </c>
      <c r="M385" s="1">
        <v>56.0</v>
      </c>
      <c r="N385" s="1">
        <v>56.0</v>
      </c>
      <c r="O385" s="1" t="s">
        <v>1210</v>
      </c>
      <c r="P385" s="3" t="str">
        <f>HYPERLINK("https://icf.clappia.com/app/SOM165486/submission/LQH59344690/ICF247370-SOM165486-6bk37jc37h6000000000/SIG-20250703_1214mogc8.jpeg", "SIG-20250703_1214mogc8.jpeg")</f>
        <v>SIG-20250703_1214mogc8.jpeg</v>
      </c>
      <c r="Q385" s="3" t="str">
        <f>HYPERLINK("https://www.google.com/maps/place/7.9577713%2C-11.7418076", "7.9577713,-11.7418076")</f>
        <v>7.9577713,-11.7418076</v>
      </c>
    </row>
    <row r="386" ht="15.75" customHeight="1">
      <c r="A386" s="1" t="s">
        <v>1211</v>
      </c>
      <c r="B386" s="1" t="s">
        <v>18</v>
      </c>
      <c r="C386" s="1" t="s">
        <v>1212</v>
      </c>
      <c r="D386" s="1" t="s">
        <v>1212</v>
      </c>
      <c r="E386" s="2">
        <v>45841.0</v>
      </c>
      <c r="F386" s="1" t="s">
        <v>21</v>
      </c>
      <c r="G386" s="1" t="s">
        <v>77</v>
      </c>
      <c r="H386" s="1" t="s">
        <v>1213</v>
      </c>
      <c r="I386" s="1">
        <v>100.0</v>
      </c>
      <c r="J386" s="1" t="s">
        <v>24</v>
      </c>
      <c r="K386" s="1">
        <v>100.0</v>
      </c>
      <c r="L386" s="1">
        <v>58.0</v>
      </c>
      <c r="M386" s="1">
        <v>42.0</v>
      </c>
      <c r="N386" s="1">
        <v>42.0</v>
      </c>
      <c r="O386" s="1" t="s">
        <v>1214</v>
      </c>
      <c r="P386" s="3" t="str">
        <f>HYPERLINK("https://icf.clappia.com/app/SOM165486/submission/XMI01918408/ICF247370-SOM165486-3hoblb4dlhk400000000/SIG-20250703_121098l84.jpeg", "SIG-20250703_121098l84.jpeg")</f>
        <v>SIG-20250703_121098l84.jpeg</v>
      </c>
      <c r="Q386" s="3" t="str">
        <f>HYPERLINK("https://www.google.com/maps/place/7.9650149%2C-11.7004833", "7.9650149,-11.7004833")</f>
        <v>7.9650149,-11.7004833</v>
      </c>
    </row>
    <row r="387" ht="15.75" customHeight="1">
      <c r="A387" s="1" t="s">
        <v>1215</v>
      </c>
      <c r="B387" s="1" t="s">
        <v>18</v>
      </c>
      <c r="C387" s="1" t="s">
        <v>1216</v>
      </c>
      <c r="D387" s="1" t="s">
        <v>1216</v>
      </c>
      <c r="E387" s="2">
        <v>45841.0</v>
      </c>
      <c r="F387" s="1" t="s">
        <v>68</v>
      </c>
      <c r="G387" s="1" t="s">
        <v>340</v>
      </c>
      <c r="H387" s="1" t="s">
        <v>742</v>
      </c>
      <c r="I387" s="1">
        <v>100.0</v>
      </c>
      <c r="J387" s="1">
        <v>100.0</v>
      </c>
      <c r="K387" s="1">
        <v>200.0</v>
      </c>
      <c r="L387" s="1">
        <v>178.0</v>
      </c>
      <c r="M387" s="1">
        <v>22.0</v>
      </c>
      <c r="N387" s="1">
        <v>22.0</v>
      </c>
      <c r="O387" s="1" t="s">
        <v>1217</v>
      </c>
      <c r="P387" s="3" t="str">
        <f>HYPERLINK("https://icf.clappia.com/app/SOM165486/submission/ADY02619360/ICF247370-SOM165486-1hgldl04g4k800000000/SIG-20250703_12117co8l.jpeg", "SIG-20250703_12117co8l.jpeg")</f>
        <v>SIG-20250703_12117co8l.jpeg</v>
      </c>
      <c r="Q387" s="3" t="str">
        <f>HYPERLINK("https://www.google.com/maps/place/9.1479517%2C-11.958225", "9.1479517,-11.958225")</f>
        <v>9.1479517,-11.958225</v>
      </c>
    </row>
    <row r="388" ht="15.75" customHeight="1">
      <c r="A388" s="1" t="s">
        <v>1218</v>
      </c>
      <c r="B388" s="1" t="s">
        <v>18</v>
      </c>
      <c r="C388" s="1" t="s">
        <v>1219</v>
      </c>
      <c r="D388" s="1" t="s">
        <v>1219</v>
      </c>
      <c r="E388" s="2">
        <v>45841.0</v>
      </c>
      <c r="F388" s="1" t="s">
        <v>21</v>
      </c>
      <c r="G388" s="1" t="s">
        <v>275</v>
      </c>
      <c r="H388" s="1" t="s">
        <v>1220</v>
      </c>
      <c r="I388" s="1">
        <v>186.0</v>
      </c>
      <c r="J388" s="1" t="s">
        <v>24</v>
      </c>
      <c r="K388" s="1">
        <v>186.0</v>
      </c>
      <c r="L388" s="1">
        <v>186.0</v>
      </c>
      <c r="M388" s="1" t="s">
        <v>24</v>
      </c>
      <c r="N388" s="1" t="s">
        <v>24</v>
      </c>
      <c r="O388" s="1" t="s">
        <v>1221</v>
      </c>
      <c r="P388" s="3" t="str">
        <f>HYPERLINK("https://icf.clappia.com/app/SOM165486/submission/UNE31654535/ICF247370-SOM165486-1al5gjn9p7f0c0000000/SIG-20250703_1210jbka0.jpeg", "SIG-20250703_1210jbka0.jpeg")</f>
        <v>SIG-20250703_1210jbka0.jpeg</v>
      </c>
      <c r="Q388" s="3" t="str">
        <f>HYPERLINK("https://www.google.com/maps/place/7.6526763%2C-11.9639061", "7.6526763,-11.9639061")</f>
        <v>7.6526763,-11.9639061</v>
      </c>
    </row>
    <row r="389" ht="15.75" customHeight="1">
      <c r="A389" s="1" t="s">
        <v>1222</v>
      </c>
      <c r="B389" s="1" t="s">
        <v>18</v>
      </c>
      <c r="C389" s="1" t="s">
        <v>1219</v>
      </c>
      <c r="D389" s="1" t="s">
        <v>1219</v>
      </c>
      <c r="E389" s="2">
        <v>45841.0</v>
      </c>
      <c r="F389" s="1" t="s">
        <v>21</v>
      </c>
      <c r="G389" s="1" t="s">
        <v>95</v>
      </c>
      <c r="H389" s="1" t="s">
        <v>615</v>
      </c>
      <c r="I389" s="1">
        <v>511.0</v>
      </c>
      <c r="J389" s="1" t="s">
        <v>24</v>
      </c>
      <c r="K389" s="1">
        <v>511.0</v>
      </c>
      <c r="L389" s="1">
        <v>398.0</v>
      </c>
      <c r="M389" s="1">
        <v>113.0</v>
      </c>
      <c r="N389" s="1">
        <v>113.0</v>
      </c>
      <c r="O389" s="1" t="s">
        <v>616</v>
      </c>
      <c r="P389" s="3" t="str">
        <f>HYPERLINK("https://icf.clappia.com/app/SOM165486/submission/QQK00589683/ICF247370-SOM165486-p05o19dfo01m0000000/SIG-20250703_1210fhia9.jpeg", "SIG-20250703_1210fhia9.jpeg")</f>
        <v>SIG-20250703_1210fhia9.jpeg</v>
      </c>
      <c r="Q389" s="3" t="str">
        <f>HYPERLINK("https://www.google.com/maps/place/7.9733013%2C-11.7679525", "7.9733013,-11.7679525")</f>
        <v>7.9733013,-11.7679525</v>
      </c>
    </row>
    <row r="390" ht="15.75" customHeight="1">
      <c r="A390" s="1" t="s">
        <v>1223</v>
      </c>
      <c r="B390" s="1" t="s">
        <v>18</v>
      </c>
      <c r="C390" s="1" t="s">
        <v>1224</v>
      </c>
      <c r="D390" s="1" t="s">
        <v>1224</v>
      </c>
      <c r="E390" s="2">
        <v>45840.0</v>
      </c>
      <c r="F390" s="1" t="s">
        <v>21</v>
      </c>
      <c r="G390" s="1" t="s">
        <v>58</v>
      </c>
      <c r="H390" s="1" t="s">
        <v>152</v>
      </c>
      <c r="I390" s="1">
        <v>250.0</v>
      </c>
      <c r="J390" s="1" t="s">
        <v>24</v>
      </c>
      <c r="K390" s="1">
        <v>250.0</v>
      </c>
      <c r="L390" s="1">
        <v>235.0</v>
      </c>
      <c r="M390" s="1">
        <v>15.0</v>
      </c>
      <c r="N390" s="1">
        <v>5.0</v>
      </c>
      <c r="O390" s="1" t="s">
        <v>1225</v>
      </c>
      <c r="P390" s="3" t="str">
        <f>HYPERLINK("https://icf.clappia.com/app/SOM165486/submission/WYA03415477/ICF247370-SOM165486-25gho9gn93la00000000/SIG-20250702_12145j3hl.jpeg", "SIG-20250702_12145j3hl.jpeg")</f>
        <v>SIG-20250702_12145j3hl.jpeg</v>
      </c>
      <c r="Q390" s="3" t="str">
        <f>HYPERLINK("https://www.google.com/maps/place/7.83338%2C-11.727285", "7.83338,-11.727285")</f>
        <v>7.83338,-11.727285</v>
      </c>
    </row>
    <row r="391" ht="15.75" customHeight="1">
      <c r="A391" s="1" t="s">
        <v>1226</v>
      </c>
      <c r="B391" s="1" t="s">
        <v>18</v>
      </c>
      <c r="C391" s="1" t="s">
        <v>1224</v>
      </c>
      <c r="D391" s="1" t="s">
        <v>1224</v>
      </c>
      <c r="E391" s="2">
        <v>45841.0</v>
      </c>
      <c r="F391" s="1" t="s">
        <v>21</v>
      </c>
      <c r="G391" s="1" t="s">
        <v>164</v>
      </c>
      <c r="H391" s="1" t="s">
        <v>887</v>
      </c>
      <c r="I391" s="1">
        <v>100.0</v>
      </c>
      <c r="J391" s="1" t="s">
        <v>24</v>
      </c>
      <c r="K391" s="1">
        <v>100.0</v>
      </c>
      <c r="L391" s="1">
        <v>99.0</v>
      </c>
      <c r="M391" s="1">
        <v>1.0</v>
      </c>
      <c r="N391" s="1">
        <v>1.0</v>
      </c>
      <c r="O391" s="1" t="s">
        <v>1227</v>
      </c>
      <c r="P391" s="3" t="str">
        <f>HYPERLINK("https://icf.clappia.com/app/SOM165486/submission/SPT36084140/ICF247370-SOM165486-14jc83e74nl200000000/SIG-20250703_12053fmpf.jpeg", "SIG-20250703_12053fmpf.jpeg")</f>
        <v>SIG-20250703_12053fmpf.jpeg</v>
      </c>
      <c r="Q391" s="3" t="str">
        <f>HYPERLINK("https://www.google.com/maps/place/7.9072467%2C-11.9845067", "7.9072467,-11.9845067")</f>
        <v>7.9072467,-11.9845067</v>
      </c>
    </row>
    <row r="392" ht="15.75" customHeight="1">
      <c r="A392" s="1" t="s">
        <v>1228</v>
      </c>
      <c r="B392" s="1" t="s">
        <v>18</v>
      </c>
      <c r="C392" s="1" t="s">
        <v>1229</v>
      </c>
      <c r="D392" s="1" t="s">
        <v>1230</v>
      </c>
      <c r="E392" s="2">
        <v>45840.0</v>
      </c>
      <c r="F392" s="1" t="s">
        <v>21</v>
      </c>
      <c r="G392" s="1" t="s">
        <v>77</v>
      </c>
      <c r="H392" s="1" t="s">
        <v>611</v>
      </c>
      <c r="I392" s="1">
        <v>413.0</v>
      </c>
      <c r="J392" s="1" t="s">
        <v>24</v>
      </c>
      <c r="K392" s="1">
        <v>413.0</v>
      </c>
      <c r="L392" s="1">
        <v>354.0</v>
      </c>
      <c r="M392" s="1">
        <v>59.0</v>
      </c>
      <c r="N392" s="1">
        <v>59.0</v>
      </c>
      <c r="O392" s="1" t="s">
        <v>612</v>
      </c>
      <c r="P392" s="3" t="str">
        <f>HYPERLINK("https://icf.clappia.com/app/SOM165486/submission/OPV71330545/ICF247370-SOM165486-1odhg9me5hab2000000/SIG-20250702_161615m7ch.jpeg", "SIG-20250702_161615m7ch.jpeg")</f>
        <v>SIG-20250702_161615m7ch.jpeg</v>
      </c>
      <c r="Q392" s="3" t="str">
        <f>HYPERLINK("https://www.google.com/maps/place/7.9662698%2C-11.7405968", "7.9662698,-11.7405968")</f>
        <v>7.9662698,-11.7405968</v>
      </c>
    </row>
    <row r="393" ht="15.75" customHeight="1">
      <c r="A393" s="1" t="s">
        <v>1231</v>
      </c>
      <c r="B393" s="1" t="s">
        <v>18</v>
      </c>
      <c r="C393" s="1" t="s">
        <v>1232</v>
      </c>
      <c r="D393" s="1" t="s">
        <v>1232</v>
      </c>
      <c r="E393" s="2">
        <v>45841.0</v>
      </c>
      <c r="F393" s="1" t="s">
        <v>21</v>
      </c>
      <c r="G393" s="1" t="s">
        <v>58</v>
      </c>
      <c r="H393" s="1" t="s">
        <v>732</v>
      </c>
      <c r="I393" s="1">
        <v>115.0</v>
      </c>
      <c r="J393" s="1" t="s">
        <v>24</v>
      </c>
      <c r="K393" s="1">
        <v>115.0</v>
      </c>
      <c r="L393" s="1">
        <v>115.0</v>
      </c>
      <c r="M393" s="1" t="s">
        <v>24</v>
      </c>
      <c r="N393" s="1" t="s">
        <v>24</v>
      </c>
      <c r="O393" s="1" t="s">
        <v>1233</v>
      </c>
      <c r="P393" s="3" t="str">
        <f>HYPERLINK("https://icf.clappia.com/app/SOM165486/submission/VWR47028774/ICF247370-SOM165486-565djec8bhm800000000/SIG-20250703_1200ogg5n.jpeg", "SIG-20250703_1200ogg5n.jpeg")</f>
        <v>SIG-20250703_1200ogg5n.jpeg</v>
      </c>
      <c r="Q393" s="3" t="str">
        <f>HYPERLINK("https://www.google.com/maps/place/7.92818%2C-11.731725", "7.92818,-11.731725")</f>
        <v>7.92818,-11.731725</v>
      </c>
    </row>
    <row r="394" ht="15.75" customHeight="1">
      <c r="A394" s="1" t="s">
        <v>1234</v>
      </c>
      <c r="B394" s="1" t="s">
        <v>18</v>
      </c>
      <c r="C394" s="1" t="s">
        <v>1235</v>
      </c>
      <c r="D394" s="1" t="s">
        <v>1235</v>
      </c>
      <c r="E394" s="2">
        <v>45841.0</v>
      </c>
      <c r="F394" s="1" t="s">
        <v>21</v>
      </c>
      <c r="G394" s="1" t="s">
        <v>77</v>
      </c>
      <c r="H394" s="1" t="s">
        <v>568</v>
      </c>
      <c r="I394" s="1">
        <v>200.0</v>
      </c>
      <c r="J394" s="1">
        <v>100.0</v>
      </c>
      <c r="K394" s="1">
        <v>300.0</v>
      </c>
      <c r="L394" s="1">
        <v>300.0</v>
      </c>
      <c r="M394" s="1" t="s">
        <v>24</v>
      </c>
      <c r="N394" s="1" t="s">
        <v>24</v>
      </c>
      <c r="O394" s="1" t="s">
        <v>690</v>
      </c>
      <c r="P394" s="3" t="str">
        <f>HYPERLINK("https://icf.clappia.com/app/SOM165486/submission/MRU83137234/ICF247370-SOM165486-3dl2ja7i23om0000000/SIG-20250703_1157dpi74.jpeg", "SIG-20250703_1157dpi74.jpeg")</f>
        <v>SIG-20250703_1157dpi74.jpeg</v>
      </c>
      <c r="Q394" s="3" t="str">
        <f>HYPERLINK("https://www.google.com/maps/place/7.9691867%2C-11.72185", "7.9691867,-11.72185")</f>
        <v>7.9691867,-11.72185</v>
      </c>
    </row>
    <row r="395" ht="15.75" customHeight="1">
      <c r="A395" s="1" t="s">
        <v>1236</v>
      </c>
      <c r="B395" s="1" t="s">
        <v>18</v>
      </c>
      <c r="C395" s="1" t="s">
        <v>1235</v>
      </c>
      <c r="D395" s="1" t="s">
        <v>1235</v>
      </c>
      <c r="E395" s="2">
        <v>45841.0</v>
      </c>
      <c r="F395" s="1" t="s">
        <v>68</v>
      </c>
      <c r="G395" s="1" t="s">
        <v>325</v>
      </c>
      <c r="H395" s="1" t="s">
        <v>718</v>
      </c>
      <c r="I395" s="1">
        <v>200.0</v>
      </c>
      <c r="J395" s="1">
        <v>100.0</v>
      </c>
      <c r="K395" s="1">
        <v>300.0</v>
      </c>
      <c r="L395" s="1">
        <v>296.0</v>
      </c>
      <c r="M395" s="1">
        <v>4.0</v>
      </c>
      <c r="N395" s="1" t="s">
        <v>24</v>
      </c>
      <c r="O395" s="1" t="s">
        <v>1237</v>
      </c>
      <c r="P395" s="3" t="str">
        <f>HYPERLINK("https://icf.clappia.com/app/SOM165486/submission/HRA53802531/ICF247370-SOM165486-12ml73970j98k0000000/SIG-20250703_115716koad.jpeg", "SIG-20250703_115716koad.jpeg")</f>
        <v>SIG-20250703_115716koad.jpeg</v>
      </c>
      <c r="Q395" s="3" t="str">
        <f>HYPERLINK("https://www.google.com/maps/place/8.740845%2C-11.997115", "8.740845,-11.997115")</f>
        <v>8.740845,-11.997115</v>
      </c>
    </row>
    <row r="396" ht="15.75" customHeight="1">
      <c r="A396" s="1" t="s">
        <v>1238</v>
      </c>
      <c r="B396" s="1" t="s">
        <v>18</v>
      </c>
      <c r="C396" s="1" t="s">
        <v>800</v>
      </c>
      <c r="D396" s="1" t="s">
        <v>800</v>
      </c>
      <c r="E396" s="2">
        <v>45841.0</v>
      </c>
      <c r="F396" s="1" t="s">
        <v>21</v>
      </c>
      <c r="G396" s="1" t="s">
        <v>58</v>
      </c>
      <c r="H396" s="1" t="s">
        <v>732</v>
      </c>
      <c r="I396" s="1">
        <v>280.0</v>
      </c>
      <c r="J396" s="1" t="s">
        <v>24</v>
      </c>
      <c r="K396" s="1">
        <v>280.0</v>
      </c>
      <c r="L396" s="1">
        <v>280.0</v>
      </c>
      <c r="M396" s="1" t="s">
        <v>24</v>
      </c>
      <c r="N396" s="1" t="s">
        <v>24</v>
      </c>
      <c r="O396" s="1" t="s">
        <v>733</v>
      </c>
      <c r="P396" s="3" t="str">
        <f>HYPERLINK("https://icf.clappia.com/app/SOM165486/submission/PBN18946838/ICF247370-SOM165486-3bkjl2j33f2m00000000/SIG-20250703_0956eaon9.jpeg", "SIG-20250703_0956eaon9.jpeg")</f>
        <v>SIG-20250703_0956eaon9.jpeg</v>
      </c>
      <c r="Q396" s="3" t="str">
        <f>HYPERLINK("https://www.google.com/maps/place/7.9243842%2C-11.7244444", "7.9243842,-11.7244444")</f>
        <v>7.9243842,-11.7244444</v>
      </c>
    </row>
    <row r="397" ht="15.75" customHeight="1">
      <c r="A397" s="1" t="s">
        <v>1239</v>
      </c>
      <c r="B397" s="1" t="s">
        <v>18</v>
      </c>
      <c r="C397" s="1" t="s">
        <v>1240</v>
      </c>
      <c r="D397" s="1" t="s">
        <v>1240</v>
      </c>
      <c r="E397" s="2">
        <v>45841.0</v>
      </c>
      <c r="F397" s="1" t="s">
        <v>21</v>
      </c>
      <c r="G397" s="1" t="s">
        <v>164</v>
      </c>
      <c r="H397" s="1" t="s">
        <v>887</v>
      </c>
      <c r="I397" s="1">
        <v>198.0</v>
      </c>
      <c r="J397" s="1" t="s">
        <v>24</v>
      </c>
      <c r="K397" s="1">
        <v>198.0</v>
      </c>
      <c r="L397" s="1">
        <v>50.0</v>
      </c>
      <c r="M397" s="1">
        <v>148.0</v>
      </c>
      <c r="N397" s="1">
        <v>148.0</v>
      </c>
      <c r="O397" s="1" t="s">
        <v>1106</v>
      </c>
      <c r="P397" s="3" t="str">
        <f>HYPERLINK("https://icf.clappia.com/app/SOM165486/submission/HVQ20748875/ICF247370-SOM165486-i2bp3l2325fe0000000/SIG-20250703_110189ecn.jpeg", "SIG-20250703_110189ecn.jpeg")</f>
        <v>SIG-20250703_110189ecn.jpeg</v>
      </c>
      <c r="Q397" s="3" t="str">
        <f>HYPERLINK("https://www.google.com/maps/place/7.911775%2C-11.9823167", "7.911775,-11.9823167")</f>
        <v>7.911775,-11.9823167</v>
      </c>
    </row>
    <row r="398" ht="15.75" customHeight="1">
      <c r="A398" s="1" t="s">
        <v>1241</v>
      </c>
      <c r="B398" s="1" t="s">
        <v>18</v>
      </c>
      <c r="C398" s="1" t="s">
        <v>1242</v>
      </c>
      <c r="D398" s="1" t="s">
        <v>1242</v>
      </c>
      <c r="E398" s="2">
        <v>45841.0</v>
      </c>
      <c r="F398" s="1" t="s">
        <v>68</v>
      </c>
      <c r="G398" s="1" t="s">
        <v>340</v>
      </c>
      <c r="H398" s="1" t="s">
        <v>476</v>
      </c>
      <c r="I398" s="1">
        <v>245.0</v>
      </c>
      <c r="J398" s="1" t="s">
        <v>24</v>
      </c>
      <c r="K398" s="1">
        <v>245.0</v>
      </c>
      <c r="L398" s="1">
        <v>245.0</v>
      </c>
      <c r="M398" s="1" t="s">
        <v>24</v>
      </c>
      <c r="N398" s="1" t="s">
        <v>24</v>
      </c>
      <c r="O398" s="1" t="s">
        <v>477</v>
      </c>
      <c r="P398" s="3" t="str">
        <f>HYPERLINK("https://icf.clappia.com/app/SOM165486/submission/ZRX66705507/ICF247370-SOM165486-2og5b8lpjkeg00000000/SIG-20250703_1148kaoge.jpeg", "SIG-20250703_1148kaoge.jpeg")</f>
        <v>SIG-20250703_1148kaoge.jpeg</v>
      </c>
      <c r="Q398" s="3" t="str">
        <f>HYPERLINK("https://www.google.com/maps/place/9.0675567%2C-11.9541667", "9.0675567,-11.9541667")</f>
        <v>9.0675567,-11.9541667</v>
      </c>
    </row>
    <row r="399" ht="15.75" customHeight="1">
      <c r="A399" s="1" t="s">
        <v>1243</v>
      </c>
      <c r="B399" s="1" t="s">
        <v>18</v>
      </c>
      <c r="C399" s="1" t="s">
        <v>1244</v>
      </c>
      <c r="D399" s="1" t="s">
        <v>1244</v>
      </c>
      <c r="E399" s="2">
        <v>45841.0</v>
      </c>
      <c r="F399" s="1" t="s">
        <v>68</v>
      </c>
      <c r="G399" s="1" t="s">
        <v>248</v>
      </c>
      <c r="H399" s="1" t="s">
        <v>1148</v>
      </c>
      <c r="I399" s="1">
        <v>400.0</v>
      </c>
      <c r="J399" s="1" t="s">
        <v>24</v>
      </c>
      <c r="K399" s="1">
        <v>400.0</v>
      </c>
      <c r="L399" s="1">
        <v>365.0</v>
      </c>
      <c r="M399" s="1">
        <v>35.0</v>
      </c>
      <c r="N399" s="1">
        <v>35.0</v>
      </c>
      <c r="O399" s="1" t="s">
        <v>1245</v>
      </c>
      <c r="P399" s="3" t="str">
        <f>HYPERLINK("https://icf.clappia.com/app/SOM165486/submission/DGZ78938956/ICF247370-SOM165486-2h93j5pmdhf000000000/SIG-20250702_094316d84j.jpeg", "SIG-20250702_094316d84j.jpeg")</f>
        <v>SIG-20250702_094316d84j.jpeg</v>
      </c>
      <c r="Q399" s="3" t="str">
        <f>HYPERLINK("https://www.google.com/maps/place/9.2205867%2C-12.14055", "9.2205867,-12.14055")</f>
        <v>9.2205867,-12.14055</v>
      </c>
    </row>
    <row r="400" ht="15.75" customHeight="1">
      <c r="A400" s="1" t="s">
        <v>1246</v>
      </c>
      <c r="B400" s="1" t="s">
        <v>18</v>
      </c>
      <c r="C400" s="1" t="s">
        <v>1247</v>
      </c>
      <c r="D400" s="1" t="s">
        <v>1247</v>
      </c>
      <c r="E400" s="2">
        <v>45841.0</v>
      </c>
      <c r="F400" s="1" t="s">
        <v>21</v>
      </c>
      <c r="G400" s="1" t="s">
        <v>164</v>
      </c>
      <c r="H400" s="1" t="s">
        <v>887</v>
      </c>
      <c r="I400" s="1">
        <v>100.0</v>
      </c>
      <c r="J400" s="1" t="s">
        <v>24</v>
      </c>
      <c r="K400" s="1">
        <v>100.0</v>
      </c>
      <c r="L400" s="1">
        <v>99.0</v>
      </c>
      <c r="M400" s="1">
        <v>1.0</v>
      </c>
      <c r="N400" s="1">
        <v>1.0</v>
      </c>
      <c r="O400" s="1" t="s">
        <v>1227</v>
      </c>
      <c r="P400" s="3" t="str">
        <f>HYPERLINK("https://icf.clappia.com/app/SOM165486/submission/UVU16081872/ICF247370-SOM165486-4jo1d10cff8a00000000/SIG-20250703_11455mm9p.jpeg", "SIG-20250703_11455mm9p.jpeg")</f>
        <v>SIG-20250703_11455mm9p.jpeg</v>
      </c>
      <c r="Q400" s="3" t="str">
        <f>HYPERLINK("https://www.google.com/maps/place/7.90774%2C-11.9843867", "7.90774,-11.9843867")</f>
        <v>7.90774,-11.9843867</v>
      </c>
    </row>
    <row r="401" ht="15.75" customHeight="1">
      <c r="A401" s="1" t="s">
        <v>1248</v>
      </c>
      <c r="B401" s="1" t="s">
        <v>18</v>
      </c>
      <c r="C401" s="1" t="s">
        <v>1249</v>
      </c>
      <c r="D401" s="1" t="s">
        <v>1249</v>
      </c>
      <c r="E401" s="2">
        <v>45841.0</v>
      </c>
      <c r="F401" s="1" t="s">
        <v>21</v>
      </c>
      <c r="G401" s="1" t="s">
        <v>129</v>
      </c>
      <c r="H401" s="1" t="s">
        <v>1250</v>
      </c>
      <c r="I401" s="1">
        <v>200.0</v>
      </c>
      <c r="J401" s="1" t="s">
        <v>24</v>
      </c>
      <c r="K401" s="1">
        <v>200.0</v>
      </c>
      <c r="L401" s="1">
        <v>175.0</v>
      </c>
      <c r="M401" s="1">
        <v>25.0</v>
      </c>
      <c r="N401" s="1">
        <v>25.0</v>
      </c>
      <c r="O401" s="1" t="s">
        <v>1251</v>
      </c>
      <c r="P401" s="3" t="str">
        <f>HYPERLINK("https://icf.clappia.com/app/SOM165486/submission/VKM59008179/ICF247370-SOM165486-2lbnpe43m42600000000/SIG-20250703_1144mmcn9.jpeg", "SIG-20250703_1144mmcn9.jpeg")</f>
        <v>SIG-20250703_1144mmcn9.jpeg</v>
      </c>
      <c r="Q401" s="3" t="str">
        <f>HYPERLINK("https://www.google.com/maps/place/7.639325%2C-11.8615483", "7.639325,-11.8615483")</f>
        <v>7.639325,-11.8615483</v>
      </c>
    </row>
    <row r="402" ht="15.75" customHeight="1">
      <c r="A402" s="1" t="s">
        <v>1252</v>
      </c>
      <c r="B402" s="1" t="s">
        <v>18</v>
      </c>
      <c r="C402" s="1" t="s">
        <v>1253</v>
      </c>
      <c r="D402" s="1" t="s">
        <v>1253</v>
      </c>
      <c r="E402" s="2">
        <v>45841.0</v>
      </c>
      <c r="F402" s="1" t="s">
        <v>68</v>
      </c>
      <c r="G402" s="1" t="s">
        <v>248</v>
      </c>
      <c r="H402" s="1" t="s">
        <v>1148</v>
      </c>
      <c r="I402" s="1">
        <v>350.0</v>
      </c>
      <c r="J402" s="1" t="s">
        <v>24</v>
      </c>
      <c r="K402" s="1">
        <v>350.0</v>
      </c>
      <c r="L402" s="1">
        <v>279.0</v>
      </c>
      <c r="M402" s="1">
        <v>71.0</v>
      </c>
      <c r="N402" s="1">
        <v>71.0</v>
      </c>
      <c r="O402" s="1" t="s">
        <v>1149</v>
      </c>
      <c r="P402" s="3" t="str">
        <f>HYPERLINK("https://icf.clappia.com/app/SOM165486/submission/BLE98332518/ICF247370-SOM165486-358l1n8k0f7000000000/SIG-20250702_1227g72kk.jpeg", "SIG-20250702_1227g72kk.jpeg")</f>
        <v>SIG-20250702_1227g72kk.jpeg</v>
      </c>
      <c r="Q402" s="3" t="str">
        <f>HYPERLINK("https://www.google.com/maps/place/9.1845833%2C-12.1477317", "9.1845833,-12.1477317")</f>
        <v>9.1845833,-12.1477317</v>
      </c>
    </row>
    <row r="403" ht="15.75" customHeight="1">
      <c r="A403" s="1" t="s">
        <v>1254</v>
      </c>
      <c r="B403" s="1" t="s">
        <v>18</v>
      </c>
      <c r="C403" s="1" t="s">
        <v>1255</v>
      </c>
      <c r="D403" s="1" t="s">
        <v>1255</v>
      </c>
      <c r="E403" s="2">
        <v>45841.0</v>
      </c>
      <c r="F403" s="1" t="s">
        <v>21</v>
      </c>
      <c r="G403" s="1" t="s">
        <v>781</v>
      </c>
      <c r="H403" s="1" t="s">
        <v>1256</v>
      </c>
      <c r="I403" s="1">
        <v>170.0</v>
      </c>
      <c r="J403" s="1" t="s">
        <v>24</v>
      </c>
      <c r="K403" s="1">
        <v>170.0</v>
      </c>
      <c r="L403" s="1">
        <v>170.0</v>
      </c>
      <c r="M403" s="1" t="s">
        <v>24</v>
      </c>
      <c r="N403" s="1" t="s">
        <v>24</v>
      </c>
      <c r="O403" s="1" t="s">
        <v>1257</v>
      </c>
      <c r="P403" s="3" t="str">
        <f>HYPERLINK("https://icf.clappia.com/app/SOM165486/submission/CMW99261293/ICF247370-SOM165486-429d2017leb400000000/SIG-20250703_1139136cg8.jpeg", "SIG-20250703_1139136cg8.jpeg")</f>
        <v>SIG-20250703_1139136cg8.jpeg</v>
      </c>
      <c r="Q403" s="3" t="str">
        <f>HYPERLINK("https://www.google.com/maps/place/7.9236898%2C-11.5109883", "7.9236898,-11.5109883")</f>
        <v>7.9236898,-11.5109883</v>
      </c>
    </row>
    <row r="404" ht="15.75" customHeight="1">
      <c r="A404" s="1" t="s">
        <v>1258</v>
      </c>
      <c r="B404" s="1" t="s">
        <v>18</v>
      </c>
      <c r="C404" s="1" t="s">
        <v>1259</v>
      </c>
      <c r="D404" s="1" t="s">
        <v>1259</v>
      </c>
      <c r="E404" s="2">
        <v>45841.0</v>
      </c>
      <c r="F404" s="1" t="s">
        <v>68</v>
      </c>
      <c r="G404" s="1" t="s">
        <v>88</v>
      </c>
      <c r="H404" s="1" t="s">
        <v>1138</v>
      </c>
      <c r="I404" s="1">
        <v>150.0</v>
      </c>
      <c r="J404" s="1" t="s">
        <v>90</v>
      </c>
      <c r="K404" s="1">
        <v>150.0</v>
      </c>
      <c r="L404" s="1">
        <v>150.0</v>
      </c>
      <c r="M404" s="1" t="s">
        <v>24</v>
      </c>
      <c r="N404" s="1" t="s">
        <v>24</v>
      </c>
      <c r="O404" s="1" t="s">
        <v>1260</v>
      </c>
      <c r="P404" s="3" t="str">
        <f>HYPERLINK("https://icf.clappia.com/app/SOM165486/submission/LSX03888242/ICF247370-SOM165486-5m21mci5epek00000000/SIG-20250703_1138cibca.jpeg", "SIG-20250703_1138cibca.jpeg")</f>
        <v>SIG-20250703_1138cibca.jpeg</v>
      </c>
      <c r="Q404" s="3" t="str">
        <f>HYPERLINK("https://www.google.com/maps/place/8.8715167%2C-12.040445", "8.8715167,-12.040445")</f>
        <v>8.8715167,-12.040445</v>
      </c>
    </row>
    <row r="405" ht="15.75" customHeight="1">
      <c r="A405" s="1" t="s">
        <v>1261</v>
      </c>
      <c r="B405" s="1" t="s">
        <v>18</v>
      </c>
      <c r="C405" s="1" t="s">
        <v>1262</v>
      </c>
      <c r="D405" s="1" t="s">
        <v>1262</v>
      </c>
      <c r="E405" s="2">
        <v>45868.0</v>
      </c>
      <c r="F405" s="1" t="s">
        <v>21</v>
      </c>
      <c r="G405" s="1" t="s">
        <v>164</v>
      </c>
      <c r="H405" s="1" t="s">
        <v>887</v>
      </c>
      <c r="I405" s="1">
        <v>280.0</v>
      </c>
      <c r="J405" s="1" t="s">
        <v>24</v>
      </c>
      <c r="K405" s="1">
        <v>280.0</v>
      </c>
      <c r="L405" s="1">
        <v>205.0</v>
      </c>
      <c r="M405" s="1">
        <v>75.0</v>
      </c>
      <c r="N405" s="1">
        <v>75.0</v>
      </c>
      <c r="O405" s="1" t="s">
        <v>1263</v>
      </c>
      <c r="P405" s="3" t="str">
        <f>HYPERLINK("https://icf.clappia.com/app/SOM165486/submission/SJU64545984/ICF247370-SOM165486-dbooc5a8e3120000000/SIG-20250703_11301489lp.jpeg", "SIG-20250703_11301489lp.jpeg")</f>
        <v>SIG-20250703_11301489lp.jpeg</v>
      </c>
      <c r="Q405" s="3" t="str">
        <f>HYPERLINK("https://www.google.com/maps/place/7.8894076%2C-11.9031447", "7.8894076,-11.9031447")</f>
        <v>7.8894076,-11.9031447</v>
      </c>
    </row>
    <row r="406" ht="15.75" customHeight="1">
      <c r="A406" s="1" t="s">
        <v>1264</v>
      </c>
      <c r="B406" s="1" t="s">
        <v>18</v>
      </c>
      <c r="C406" s="1" t="s">
        <v>1265</v>
      </c>
      <c r="D406" s="1" t="s">
        <v>1265</v>
      </c>
      <c r="E406" s="2">
        <v>45840.0</v>
      </c>
      <c r="F406" s="1" t="s">
        <v>21</v>
      </c>
      <c r="G406" s="1" t="s">
        <v>164</v>
      </c>
      <c r="H406" s="1" t="s">
        <v>336</v>
      </c>
      <c r="I406" s="1">
        <v>60.0</v>
      </c>
      <c r="J406" s="1" t="s">
        <v>24</v>
      </c>
      <c r="K406" s="1">
        <v>60.0</v>
      </c>
      <c r="L406" s="1">
        <v>60.0</v>
      </c>
      <c r="M406" s="1" t="s">
        <v>24</v>
      </c>
      <c r="N406" s="1" t="s">
        <v>24</v>
      </c>
      <c r="O406" s="1" t="s">
        <v>1266</v>
      </c>
      <c r="P406" s="3" t="str">
        <f>HYPERLINK("https://icf.clappia.com/app/SOM165486/submission/VDP04573906/ICF247370-SOM165486-1j21dnm47nl3g0000000/SIG-20250703_11291942bp.jpeg", "SIG-20250703_11291942bp.jpeg")</f>
        <v>SIG-20250703_11291942bp.jpeg</v>
      </c>
      <c r="Q406" s="3" t="str">
        <f>HYPERLINK("https://www.google.com/maps/place/7.766247%2C-12.01525", "7.766247,-12.01525")</f>
        <v>7.766247,-12.01525</v>
      </c>
    </row>
    <row r="407" ht="15.75" customHeight="1">
      <c r="A407" s="1" t="s">
        <v>1267</v>
      </c>
      <c r="B407" s="1" t="s">
        <v>18</v>
      </c>
      <c r="C407" s="1" t="s">
        <v>1268</v>
      </c>
      <c r="D407" s="1" t="s">
        <v>1268</v>
      </c>
      <c r="E407" s="2">
        <v>45841.0</v>
      </c>
      <c r="F407" s="1" t="s">
        <v>68</v>
      </c>
      <c r="G407" s="1" t="s">
        <v>88</v>
      </c>
      <c r="H407" s="1" t="s">
        <v>881</v>
      </c>
      <c r="I407" s="1">
        <v>240.0</v>
      </c>
      <c r="J407" s="1" t="s">
        <v>24</v>
      </c>
      <c r="K407" s="1">
        <v>240.0</v>
      </c>
      <c r="L407" s="1">
        <v>218.0</v>
      </c>
      <c r="M407" s="1">
        <v>22.0</v>
      </c>
      <c r="N407" s="1">
        <v>22.0</v>
      </c>
      <c r="O407" s="1" t="s">
        <v>1269</v>
      </c>
      <c r="P407" s="3" t="str">
        <f>HYPERLINK("https://icf.clappia.com/app/SOM165486/submission/UEY13642914/ICF247370-SOM165486-2382a2e4e03gk0000000/SIG-20250703_1126158p15.jpeg", "SIG-20250703_1126158p15.jpeg")</f>
        <v>SIG-20250703_1126158p15.jpeg</v>
      </c>
      <c r="Q407" s="3" t="str">
        <f>HYPERLINK("https://www.google.com/maps/place/8.8961933%2C-12.0472233", "8.8961933,-12.0472233")</f>
        <v>8.8961933,-12.0472233</v>
      </c>
    </row>
    <row r="408" ht="15.75" customHeight="1">
      <c r="A408" s="1" t="s">
        <v>1270</v>
      </c>
      <c r="B408" s="1" t="s">
        <v>18</v>
      </c>
      <c r="C408" s="1" t="s">
        <v>1271</v>
      </c>
      <c r="D408" s="1" t="s">
        <v>1271</v>
      </c>
      <c r="E408" s="2">
        <v>45841.0</v>
      </c>
      <c r="F408" s="1" t="s">
        <v>68</v>
      </c>
      <c r="G408" s="1" t="s">
        <v>286</v>
      </c>
      <c r="H408" s="1" t="s">
        <v>320</v>
      </c>
      <c r="I408" s="1">
        <v>250.0</v>
      </c>
      <c r="J408" s="1" t="s">
        <v>24</v>
      </c>
      <c r="K408" s="1">
        <v>250.0</v>
      </c>
      <c r="L408" s="1">
        <v>250.0</v>
      </c>
      <c r="M408" s="1" t="s">
        <v>24</v>
      </c>
      <c r="N408" s="1" t="s">
        <v>24</v>
      </c>
      <c r="O408" s="1" t="s">
        <v>1272</v>
      </c>
      <c r="P408" s="3" t="str">
        <f>HYPERLINK("https://icf.clappia.com/app/SOM165486/submission/AJD98683663/ICF247370-SOM165486-5m8k9126giko00000000/SIG-20250703_1125131b9k.jpeg", "SIG-20250703_1125131b9k.jpeg")</f>
        <v>SIG-20250703_1125131b9k.jpeg</v>
      </c>
      <c r="Q408" s="3" t="str">
        <f>HYPERLINK("https://www.google.com/maps/place/9.0346465%2C-12.1629716", "9.0346465,-12.1629716")</f>
        <v>9.0346465,-12.1629716</v>
      </c>
    </row>
    <row r="409" ht="15.75" customHeight="1">
      <c r="A409" s="1" t="s">
        <v>1273</v>
      </c>
      <c r="B409" s="1" t="s">
        <v>18</v>
      </c>
      <c r="C409" s="1" t="s">
        <v>1274</v>
      </c>
      <c r="D409" s="1" t="s">
        <v>1274</v>
      </c>
      <c r="E409" s="2">
        <v>45841.0</v>
      </c>
      <c r="F409" s="1" t="s">
        <v>68</v>
      </c>
      <c r="G409" s="1" t="s">
        <v>597</v>
      </c>
      <c r="H409" s="1" t="s">
        <v>598</v>
      </c>
      <c r="I409" s="1">
        <v>100.0</v>
      </c>
      <c r="J409" s="1" t="s">
        <v>24</v>
      </c>
      <c r="K409" s="1">
        <v>100.0</v>
      </c>
      <c r="L409" s="1">
        <v>100.0</v>
      </c>
      <c r="M409" s="1" t="s">
        <v>24</v>
      </c>
      <c r="N409" s="1" t="s">
        <v>24</v>
      </c>
      <c r="O409" s="1" t="s">
        <v>815</v>
      </c>
      <c r="P409" s="3" t="str">
        <f>HYPERLINK("https://icf.clappia.com/app/SOM165486/submission/KRX97176302/ICF247370-SOM165486-12j9a3imc1o7i0000000/SIG-20250703_1119jho78.jpeg", "SIG-20250703_1119jho78.jpeg")</f>
        <v>SIG-20250703_1119jho78.jpeg</v>
      </c>
      <c r="Q409" s="3" t="str">
        <f>HYPERLINK("https://www.google.com/maps/place/8.6635185%2C-12.2133652", "8.6635185,-12.2133652")</f>
        <v>8.6635185,-12.2133652</v>
      </c>
    </row>
    <row r="410" ht="15.75" customHeight="1">
      <c r="A410" s="1" t="s">
        <v>1275</v>
      </c>
      <c r="B410" s="1" t="s">
        <v>18</v>
      </c>
      <c r="C410" s="1" t="s">
        <v>1276</v>
      </c>
      <c r="D410" s="1" t="s">
        <v>1276</v>
      </c>
      <c r="E410" s="2">
        <v>45841.0</v>
      </c>
      <c r="F410" s="1" t="s">
        <v>21</v>
      </c>
      <c r="G410" s="1" t="s">
        <v>164</v>
      </c>
      <c r="H410" s="1" t="s">
        <v>602</v>
      </c>
      <c r="I410" s="1">
        <v>138.0</v>
      </c>
      <c r="J410" s="1" t="s">
        <v>24</v>
      </c>
      <c r="K410" s="1">
        <v>138.0</v>
      </c>
      <c r="L410" s="1">
        <v>100.0</v>
      </c>
      <c r="M410" s="1">
        <v>38.0</v>
      </c>
      <c r="N410" s="1">
        <v>38.0</v>
      </c>
      <c r="O410" s="1" t="s">
        <v>603</v>
      </c>
      <c r="P410" s="3" t="str">
        <f>HYPERLINK("https://icf.clappia.com/app/SOM165486/submission/YOI83452665/ICF247370-SOM165486-3feknnjjo9o400000000/SIG-20250703_111217pm34.jpeg", "SIG-20250703_111217pm34.jpeg")</f>
        <v>SIG-20250703_111217pm34.jpeg</v>
      </c>
      <c r="Q410" s="3" t="str">
        <f>HYPERLINK("https://www.google.com/maps/place/7.916665%2C-12.04773", "7.916665,-12.04773")</f>
        <v>7.916665,-12.04773</v>
      </c>
    </row>
    <row r="411" ht="15.75" customHeight="1">
      <c r="A411" s="1" t="s">
        <v>1277</v>
      </c>
      <c r="B411" s="1" t="s">
        <v>18</v>
      </c>
      <c r="C411" s="1" t="s">
        <v>1278</v>
      </c>
      <c r="D411" s="1" t="s">
        <v>1278</v>
      </c>
      <c r="E411" s="2">
        <v>45840.0</v>
      </c>
      <c r="F411" s="1" t="s">
        <v>21</v>
      </c>
      <c r="G411" s="1" t="s">
        <v>77</v>
      </c>
      <c r="H411" s="1" t="s">
        <v>1042</v>
      </c>
      <c r="I411" s="1">
        <v>151.0</v>
      </c>
      <c r="J411" s="1" t="s">
        <v>24</v>
      </c>
      <c r="K411" s="1">
        <v>151.0</v>
      </c>
      <c r="L411" s="1">
        <v>145.0</v>
      </c>
      <c r="M411" s="1">
        <v>6.0</v>
      </c>
      <c r="N411" s="1">
        <v>6.0</v>
      </c>
      <c r="O411" s="1" t="s">
        <v>1043</v>
      </c>
      <c r="P411" s="3" t="str">
        <f>HYPERLINK("https://icf.clappia.com/app/SOM165486/submission/HCY32692978/ICF247370-SOM165486-hh70i64m7bi80000000/SIG-20250703_1112m738d.jpeg", "SIG-20250703_1112m738d.jpeg")</f>
        <v>SIG-20250703_1112m738d.jpeg</v>
      </c>
      <c r="Q411" s="3" t="str">
        <f>HYPERLINK("https://www.google.com/maps/place/7.9611661%2C-11.7539326", "7.9611661,-11.7539326")</f>
        <v>7.9611661,-11.7539326</v>
      </c>
    </row>
    <row r="412" ht="15.75" customHeight="1">
      <c r="A412" s="1" t="s">
        <v>1279</v>
      </c>
      <c r="B412" s="1" t="s">
        <v>18</v>
      </c>
      <c r="C412" s="1" t="s">
        <v>1280</v>
      </c>
      <c r="D412" s="1" t="s">
        <v>1280</v>
      </c>
      <c r="E412" s="2">
        <v>45841.0</v>
      </c>
      <c r="F412" s="1" t="s">
        <v>68</v>
      </c>
      <c r="G412" s="1" t="s">
        <v>630</v>
      </c>
      <c r="H412" s="1" t="s">
        <v>631</v>
      </c>
      <c r="I412" s="1">
        <v>488.0</v>
      </c>
      <c r="J412" s="1" t="s">
        <v>24</v>
      </c>
      <c r="K412" s="1">
        <v>488.0</v>
      </c>
      <c r="L412" s="1">
        <v>486.0</v>
      </c>
      <c r="M412" s="1">
        <v>2.0</v>
      </c>
      <c r="N412" s="1">
        <v>2.0</v>
      </c>
      <c r="O412" s="1" t="s">
        <v>632</v>
      </c>
      <c r="P412" s="3" t="str">
        <f>HYPERLINK("https://icf.clappia.com/app/SOM165486/submission/YWQ93385083/ICF247370-SOM165486-43anm6be4f0800000000/SIG-20250703_1107dh4n0.jpeg", "SIG-20250703_1107dh4n0.jpeg")</f>
        <v>SIG-20250703_1107dh4n0.jpeg</v>
      </c>
      <c r="Q412" s="3" t="str">
        <f>HYPERLINK("https://www.google.com/maps/place/9.251835%2C-12.16359", "9.251835,-12.16359")</f>
        <v>9.251835,-12.16359</v>
      </c>
    </row>
    <row r="413" ht="15.75" customHeight="1">
      <c r="A413" s="1" t="s">
        <v>1281</v>
      </c>
      <c r="B413" s="1" t="s">
        <v>283</v>
      </c>
      <c r="C413" s="1" t="s">
        <v>1282</v>
      </c>
      <c r="D413" s="1" t="s">
        <v>1282</v>
      </c>
      <c r="E413" s="2">
        <v>45841.0</v>
      </c>
      <c r="F413" s="1" t="s">
        <v>68</v>
      </c>
      <c r="G413" s="1" t="s">
        <v>69</v>
      </c>
      <c r="H413" s="1" t="s">
        <v>584</v>
      </c>
      <c r="I413" s="1">
        <v>100.0</v>
      </c>
      <c r="J413" s="1" t="s">
        <v>24</v>
      </c>
      <c r="K413" s="1">
        <v>100.0</v>
      </c>
      <c r="L413" s="1">
        <v>72.0</v>
      </c>
      <c r="M413" s="1">
        <v>28.0</v>
      </c>
      <c r="N413" s="1">
        <v>28.0</v>
      </c>
      <c r="O413" s="1" t="s">
        <v>585</v>
      </c>
      <c r="P413" s="3" t="str">
        <f>HYPERLINK("https://icf.clappia.com/app/SOM165486/submission/RFE23186640/ICF247370-SOM165486-4kfchf4mkppg00000000/SIG-20250703_11051ac4aj.jpeg", "SIG-20250703_11051ac4aj.jpeg")</f>
        <v>SIG-20250703_11051ac4aj.jpeg</v>
      </c>
      <c r="Q413" s="3" t="str">
        <f>HYPERLINK("https://www.google.com/maps/place/8.7650267%2C-12.1962733", "8.7650267,-12.1962733")</f>
        <v>8.7650267,-12.1962733</v>
      </c>
    </row>
    <row r="414" ht="15.75" customHeight="1">
      <c r="A414" s="1" t="s">
        <v>1283</v>
      </c>
      <c r="B414" s="1" t="s">
        <v>18</v>
      </c>
      <c r="C414" s="1" t="s">
        <v>1284</v>
      </c>
      <c r="D414" s="1" t="s">
        <v>1284</v>
      </c>
      <c r="E414" s="2">
        <v>45841.0</v>
      </c>
      <c r="F414" s="1" t="s">
        <v>68</v>
      </c>
      <c r="G414" s="1" t="s">
        <v>630</v>
      </c>
      <c r="H414" s="1" t="s">
        <v>631</v>
      </c>
      <c r="I414" s="1">
        <v>488.0</v>
      </c>
      <c r="J414" s="1" t="s">
        <v>24</v>
      </c>
      <c r="K414" s="1">
        <v>488.0</v>
      </c>
      <c r="L414" s="1">
        <v>486.0</v>
      </c>
      <c r="M414" s="1">
        <v>2.0</v>
      </c>
      <c r="N414" s="1">
        <v>2.0</v>
      </c>
      <c r="O414" s="1" t="s">
        <v>1285</v>
      </c>
      <c r="P414" s="3" t="str">
        <f>HYPERLINK("https://icf.clappia.com/app/SOM165486/submission/HUZ05427680/ICF247370-SOM165486-31g11d1d9pn000000000/SIG-20250703_10583p0i7.jpeg", "SIG-20250703_10583p0i7.jpeg")</f>
        <v>SIG-20250703_10583p0i7.jpeg</v>
      </c>
      <c r="Q414" s="3" t="str">
        <f>HYPERLINK("https://www.google.com/maps/place/9.2514867%2C-12.1637583", "9.2514867,-12.1637583")</f>
        <v>9.2514867,-12.1637583</v>
      </c>
    </row>
    <row r="415" ht="15.75" customHeight="1">
      <c r="A415" s="1" t="s">
        <v>1286</v>
      </c>
      <c r="B415" s="1" t="s">
        <v>18</v>
      </c>
      <c r="C415" s="1" t="s">
        <v>1287</v>
      </c>
      <c r="D415" s="1" t="s">
        <v>1287</v>
      </c>
      <c r="E415" s="2">
        <v>45838.0</v>
      </c>
      <c r="F415" s="1" t="s">
        <v>21</v>
      </c>
      <c r="G415" s="1" t="s">
        <v>164</v>
      </c>
      <c r="H415" s="1" t="s">
        <v>887</v>
      </c>
      <c r="I415" s="1">
        <v>251.0</v>
      </c>
      <c r="J415" s="1" t="s">
        <v>24</v>
      </c>
      <c r="K415" s="1">
        <v>251.0</v>
      </c>
      <c r="L415" s="1">
        <v>175.0</v>
      </c>
      <c r="M415" s="1">
        <v>76.0</v>
      </c>
      <c r="N415" s="1">
        <v>76.0</v>
      </c>
      <c r="O415" s="1" t="s">
        <v>891</v>
      </c>
      <c r="P415" s="3" t="str">
        <f>HYPERLINK("https://icf.clappia.com/app/SOM165486/submission/AQJ09925597/ICF247370-SOM165486-3je650f2jd8e00000000/SIG-20250703_1054ihlbi.jpeg", "SIG-20250703_1054ihlbi.jpeg")</f>
        <v>SIG-20250703_1054ihlbi.jpeg</v>
      </c>
      <c r="Q415" s="3" t="str">
        <f>HYPERLINK("https://www.google.com/maps/place/7.8982393%2C-11.8797266", "7.8982393,-11.8797266")</f>
        <v>7.8982393,-11.8797266</v>
      </c>
    </row>
    <row r="416" ht="15.75" customHeight="1">
      <c r="A416" s="1" t="s">
        <v>1288</v>
      </c>
      <c r="B416" s="1" t="s">
        <v>18</v>
      </c>
      <c r="C416" s="1" t="s">
        <v>1289</v>
      </c>
      <c r="D416" s="1" t="s">
        <v>1289</v>
      </c>
      <c r="E416" s="2">
        <v>45838.0</v>
      </c>
      <c r="F416" s="1" t="s">
        <v>21</v>
      </c>
      <c r="G416" s="1" t="s">
        <v>164</v>
      </c>
      <c r="H416" s="1" t="s">
        <v>887</v>
      </c>
      <c r="I416" s="1">
        <v>128.0</v>
      </c>
      <c r="J416" s="1" t="s">
        <v>24</v>
      </c>
      <c r="K416" s="1">
        <v>128.0</v>
      </c>
      <c r="L416" s="1">
        <v>121.0</v>
      </c>
      <c r="M416" s="1">
        <v>7.0</v>
      </c>
      <c r="N416" s="1" t="s">
        <v>24</v>
      </c>
      <c r="O416" s="1" t="s">
        <v>895</v>
      </c>
      <c r="P416" s="3" t="str">
        <f>HYPERLINK("https://icf.clappia.com/app/SOM165486/submission/RPS99640418/ICF247370-SOM165486-3hoc4724e6e800000000/SIG-20250703_1050o601c.jpeg", "SIG-20250703_1050o601c.jpeg")</f>
        <v>SIG-20250703_1050o601c.jpeg</v>
      </c>
      <c r="Q416" s="3" t="str">
        <f>HYPERLINK("https://www.google.com/maps/place/7.8895633%2C-11.9034617", "7.8895633,-11.9034617")</f>
        <v>7.8895633,-11.9034617</v>
      </c>
    </row>
    <row r="417" ht="15.75" customHeight="1">
      <c r="A417" s="1" t="s">
        <v>1290</v>
      </c>
      <c r="B417" s="1" t="s">
        <v>18</v>
      </c>
      <c r="C417" s="1" t="s">
        <v>757</v>
      </c>
      <c r="D417" s="1" t="s">
        <v>757</v>
      </c>
      <c r="E417" s="2">
        <v>45840.0</v>
      </c>
      <c r="F417" s="1" t="s">
        <v>21</v>
      </c>
      <c r="G417" s="1" t="s">
        <v>77</v>
      </c>
      <c r="H417" s="1" t="s">
        <v>1042</v>
      </c>
      <c r="I417" s="1">
        <v>50.0</v>
      </c>
      <c r="J417" s="1">
        <v>12.0</v>
      </c>
      <c r="K417" s="1">
        <v>62.0</v>
      </c>
      <c r="L417" s="1">
        <v>62.0</v>
      </c>
      <c r="M417" s="1" t="s">
        <v>24</v>
      </c>
      <c r="N417" s="1" t="s">
        <v>24</v>
      </c>
      <c r="O417" s="1" t="s">
        <v>1291</v>
      </c>
      <c r="P417" s="3" t="str">
        <f>HYPERLINK("https://icf.clappia.com/app/SOM165486/submission/EES89170729/ICF247370-SOM165486-15a1po34in6e40000000/SIG-20250703_1049okam6.jpeg", "SIG-20250703_1049okam6.jpeg")</f>
        <v>SIG-20250703_1049okam6.jpeg</v>
      </c>
      <c r="Q417" s="3" t="str">
        <f>HYPERLINK("https://www.google.com/maps/place/7.9593746%2C-11.7522074", "7.9593746,-11.7522074")</f>
        <v>7.9593746,-11.7522074</v>
      </c>
    </row>
    <row r="418" ht="15.75" customHeight="1">
      <c r="A418" s="1" t="s">
        <v>1292</v>
      </c>
      <c r="B418" s="1" t="s">
        <v>18</v>
      </c>
      <c r="C418" s="1" t="s">
        <v>1293</v>
      </c>
      <c r="D418" s="1" t="s">
        <v>1293</v>
      </c>
      <c r="E418" s="2">
        <v>45841.0</v>
      </c>
      <c r="F418" s="1" t="s">
        <v>21</v>
      </c>
      <c r="G418" s="1" t="s">
        <v>164</v>
      </c>
      <c r="H418" s="1" t="s">
        <v>887</v>
      </c>
      <c r="I418" s="1">
        <v>128.0</v>
      </c>
      <c r="J418" s="1" t="s">
        <v>24</v>
      </c>
      <c r="K418" s="1">
        <v>128.0</v>
      </c>
      <c r="L418" s="1">
        <v>121.0</v>
      </c>
      <c r="M418" s="1">
        <v>7.0</v>
      </c>
      <c r="N418" s="1" t="s">
        <v>24</v>
      </c>
      <c r="O418" s="1" t="s">
        <v>895</v>
      </c>
      <c r="P418" s="3" t="str">
        <f>HYPERLINK("https://icf.clappia.com/app/SOM165486/submission/CGH65106100/ICF247370-SOM165486-1np9ae576o1fm0000000/SIG-20250703_1045lff75.jpeg", "SIG-20250703_1045lff75.jpeg")</f>
        <v>SIG-20250703_1045lff75.jpeg</v>
      </c>
      <c r="Q418" s="3" t="str">
        <f>HYPERLINK("https://www.google.com/maps/place/7.8895783%2C-11.903115", "7.8895783,-11.903115")</f>
        <v>7.8895783,-11.903115</v>
      </c>
    </row>
    <row r="419" ht="15.75" customHeight="1">
      <c r="A419" s="1" t="s">
        <v>1294</v>
      </c>
      <c r="B419" s="1" t="s">
        <v>18</v>
      </c>
      <c r="C419" s="1" t="s">
        <v>1295</v>
      </c>
      <c r="D419" s="1" t="s">
        <v>1295</v>
      </c>
      <c r="E419" s="2">
        <v>45840.0</v>
      </c>
      <c r="F419" s="1" t="s">
        <v>21</v>
      </c>
      <c r="G419" s="1" t="s">
        <v>77</v>
      </c>
      <c r="H419" s="1" t="s">
        <v>1042</v>
      </c>
      <c r="I419" s="1">
        <v>62.0</v>
      </c>
      <c r="J419" s="1">
        <v>12.0</v>
      </c>
      <c r="K419" s="1">
        <v>74.0</v>
      </c>
      <c r="L419" s="1">
        <v>62.0</v>
      </c>
      <c r="M419" s="1">
        <v>12.0</v>
      </c>
      <c r="N419" s="1" t="s">
        <v>24</v>
      </c>
      <c r="O419" s="1" t="s">
        <v>1291</v>
      </c>
      <c r="P419" s="3" t="str">
        <f>HYPERLINK("https://icf.clappia.com/app/SOM165486/submission/TSX96598950/ICF247370-SOM165486-4ndlk03e62p600000000/SIG-20250703_10441970p8.jpeg", "SIG-20250703_10441970p8.jpeg")</f>
        <v>SIG-20250703_10441970p8.jpeg</v>
      </c>
      <c r="Q419" s="3" t="str">
        <f>HYPERLINK("https://www.google.com/maps/place/7.9593746%2C-11.7522074", "7.9593746,-11.7522074")</f>
        <v>7.9593746,-11.7522074</v>
      </c>
    </row>
    <row r="420" ht="15.75" customHeight="1">
      <c r="A420" s="1" t="s">
        <v>1296</v>
      </c>
      <c r="B420" s="1" t="s">
        <v>18</v>
      </c>
      <c r="C420" s="1" t="s">
        <v>1297</v>
      </c>
      <c r="D420" s="1" t="s">
        <v>1297</v>
      </c>
      <c r="E420" s="2">
        <v>45841.0</v>
      </c>
      <c r="F420" s="1" t="s">
        <v>21</v>
      </c>
      <c r="G420" s="1" t="s">
        <v>269</v>
      </c>
      <c r="H420" s="1" t="s">
        <v>1298</v>
      </c>
      <c r="I420" s="1">
        <v>41.0</v>
      </c>
      <c r="J420" s="1" t="s">
        <v>24</v>
      </c>
      <c r="K420" s="1">
        <v>41.0</v>
      </c>
      <c r="L420" s="1">
        <v>41.0</v>
      </c>
      <c r="M420" s="1" t="s">
        <v>24</v>
      </c>
      <c r="N420" s="1" t="s">
        <v>24</v>
      </c>
      <c r="O420" s="1" t="s">
        <v>1299</v>
      </c>
      <c r="P420" s="3" t="str">
        <f>HYPERLINK("https://icf.clappia.com/app/SOM165486/submission/PHK67566241/ICF247370-SOM165486-1hbf611lpd5840000000/SIG-20250703_1043p75e2.jpeg", "SIG-20250703_1043p75e2.jpeg")</f>
        <v>SIG-20250703_1043p75e2.jpeg</v>
      </c>
      <c r="Q420" s="3" t="str">
        <f>HYPERLINK("https://www.google.com/maps/place/7.7158119%2C-11.6950903", "7.7158119,-11.6950903")</f>
        <v>7.7158119,-11.6950903</v>
      </c>
    </row>
    <row r="421" ht="15.75" customHeight="1">
      <c r="A421" s="1" t="s">
        <v>1300</v>
      </c>
      <c r="B421" s="1" t="s">
        <v>18</v>
      </c>
      <c r="C421" s="1" t="s">
        <v>1297</v>
      </c>
      <c r="D421" s="1" t="s">
        <v>1297</v>
      </c>
      <c r="E421" s="2">
        <v>45841.0</v>
      </c>
      <c r="F421" s="1" t="s">
        <v>21</v>
      </c>
      <c r="G421" s="1" t="s">
        <v>95</v>
      </c>
      <c r="H421" s="1" t="s">
        <v>1301</v>
      </c>
      <c r="I421" s="1">
        <v>100.0</v>
      </c>
      <c r="J421" s="1" t="s">
        <v>24</v>
      </c>
      <c r="K421" s="1">
        <v>100.0</v>
      </c>
      <c r="L421" s="1">
        <v>100.0</v>
      </c>
      <c r="M421" s="1" t="s">
        <v>24</v>
      </c>
      <c r="N421" s="1" t="s">
        <v>24</v>
      </c>
      <c r="O421" s="1" t="s">
        <v>1302</v>
      </c>
      <c r="P421" s="3" t="str">
        <f>HYPERLINK("https://icf.clappia.com/app/SOM165486/submission/CGJ85717032/ICF247370-SOM165486-355coikmf8j400000000/SIG-20250703_10431a2mpk.jpeg", "SIG-20250703_10431a2mpk.jpeg")</f>
        <v>SIG-20250703_10431a2mpk.jpeg</v>
      </c>
      <c r="Q421" s="3" t="str">
        <f>HYPERLINK("https://www.google.com/maps/place/7.94266%2C-11.666275", "7.94266,-11.666275")</f>
        <v>7.94266,-11.666275</v>
      </c>
    </row>
    <row r="422" ht="15.75" customHeight="1">
      <c r="A422" s="1" t="s">
        <v>1303</v>
      </c>
      <c r="B422" s="1" t="s">
        <v>18</v>
      </c>
      <c r="C422" s="1" t="s">
        <v>764</v>
      </c>
      <c r="D422" s="1" t="s">
        <v>764</v>
      </c>
      <c r="E422" s="2">
        <v>45841.0</v>
      </c>
      <c r="F422" s="1" t="s">
        <v>21</v>
      </c>
      <c r="G422" s="1" t="s">
        <v>95</v>
      </c>
      <c r="H422" s="1" t="s">
        <v>369</v>
      </c>
      <c r="I422" s="1">
        <v>100.0</v>
      </c>
      <c r="J422" s="1" t="s">
        <v>24</v>
      </c>
      <c r="K422" s="1">
        <v>100.0</v>
      </c>
      <c r="L422" s="1">
        <v>55.0</v>
      </c>
      <c r="M422" s="1">
        <v>45.0</v>
      </c>
      <c r="N422" s="1" t="s">
        <v>24</v>
      </c>
      <c r="O422" s="1" t="s">
        <v>1304</v>
      </c>
      <c r="P422" s="3" t="str">
        <f>HYPERLINK("https://icf.clappia.com/app/SOM165486/submission/QZT91043914/ICF247370-SOM165486-5dfngf5ikha800000000/SIG-20250703_104117n822.jpeg", "SIG-20250703_104117n822.jpeg")</f>
        <v>SIG-20250703_104117n822.jpeg</v>
      </c>
      <c r="Q422" s="3" t="str">
        <f>HYPERLINK("https://www.google.com/maps/place/7.9304133%2C-11.71712", "7.9304133,-11.71712")</f>
        <v>7.9304133,-11.71712</v>
      </c>
    </row>
    <row r="423" ht="15.75" customHeight="1">
      <c r="A423" s="1" t="s">
        <v>1305</v>
      </c>
      <c r="B423" s="1" t="s">
        <v>18</v>
      </c>
      <c r="C423" s="1" t="s">
        <v>1306</v>
      </c>
      <c r="D423" s="1" t="s">
        <v>1306</v>
      </c>
      <c r="E423" s="2">
        <v>45841.0</v>
      </c>
      <c r="F423" s="1" t="s">
        <v>68</v>
      </c>
      <c r="G423" s="1" t="s">
        <v>340</v>
      </c>
      <c r="H423" s="1" t="s">
        <v>742</v>
      </c>
      <c r="I423" s="1">
        <v>114.0</v>
      </c>
      <c r="J423" s="1" t="s">
        <v>24</v>
      </c>
      <c r="K423" s="1">
        <v>114.0</v>
      </c>
      <c r="L423" s="1">
        <v>64.0</v>
      </c>
      <c r="M423" s="1">
        <v>50.0</v>
      </c>
      <c r="N423" s="1">
        <v>50.0</v>
      </c>
      <c r="O423" s="1" t="s">
        <v>554</v>
      </c>
      <c r="P423" s="3" t="str">
        <f>HYPERLINK("https://icf.clappia.com/app/SOM165486/submission/HZJ62714667/ICF247370-SOM165486-31gam77j5o520000000/SIG-20250703_103914m1eh.jpeg", "SIG-20250703_103914m1eh.jpeg")</f>
        <v>SIG-20250703_103914m1eh.jpeg</v>
      </c>
      <c r="Q423" s="3" t="str">
        <f>HYPERLINK("https://www.google.com/maps/place/9.1472435%2C-11.9620822", "9.1472435,-11.9620822")</f>
        <v>9.1472435,-11.9620822</v>
      </c>
    </row>
    <row r="424" ht="15.75" customHeight="1">
      <c r="A424" s="1" t="s">
        <v>1307</v>
      </c>
      <c r="B424" s="1" t="s">
        <v>18</v>
      </c>
      <c r="C424" s="1" t="s">
        <v>1308</v>
      </c>
      <c r="D424" s="1" t="s">
        <v>1308</v>
      </c>
      <c r="E424" s="2">
        <v>45840.0</v>
      </c>
      <c r="F424" s="1" t="s">
        <v>68</v>
      </c>
      <c r="G424" s="1" t="s">
        <v>340</v>
      </c>
      <c r="H424" s="1" t="s">
        <v>742</v>
      </c>
      <c r="I424" s="1">
        <v>250.0</v>
      </c>
      <c r="J424" s="1" t="s">
        <v>24</v>
      </c>
      <c r="K424" s="1">
        <v>250.0</v>
      </c>
      <c r="L424" s="1">
        <v>186.0</v>
      </c>
      <c r="M424" s="1">
        <v>64.0</v>
      </c>
      <c r="N424" s="1">
        <v>64.0</v>
      </c>
      <c r="O424" s="1" t="s">
        <v>554</v>
      </c>
      <c r="P424" s="3" t="str">
        <f>HYPERLINK("https://icf.clappia.com/app/SOM165486/submission/FMG78632126/ICF247370-SOM165486-4emb9poa71fk00000000/SIG-20250702_0827175n14.jpeg", "SIG-20250702_0827175n14.jpeg")</f>
        <v>SIG-20250702_0827175n14.jpeg</v>
      </c>
      <c r="Q424" s="3" t="str">
        <f>HYPERLINK("https://www.google.com/maps/place/9.1472682%2C-11.9620376", "9.1472682,-11.9620376")</f>
        <v>9.1472682,-11.9620376</v>
      </c>
    </row>
    <row r="425" ht="15.75" customHeight="1">
      <c r="A425" s="1" t="s">
        <v>1309</v>
      </c>
      <c r="B425" s="1" t="s">
        <v>18</v>
      </c>
      <c r="C425" s="1" t="s">
        <v>1310</v>
      </c>
      <c r="D425" s="1" t="s">
        <v>1310</v>
      </c>
      <c r="E425" s="2">
        <v>45841.0</v>
      </c>
      <c r="F425" s="1" t="s">
        <v>68</v>
      </c>
      <c r="G425" s="1" t="s">
        <v>597</v>
      </c>
      <c r="H425" s="1" t="s">
        <v>739</v>
      </c>
      <c r="I425" s="1">
        <v>160.0</v>
      </c>
      <c r="J425" s="1" t="s">
        <v>24</v>
      </c>
      <c r="K425" s="1">
        <v>160.0</v>
      </c>
      <c r="L425" s="1">
        <v>120.0</v>
      </c>
      <c r="M425" s="1">
        <v>40.0</v>
      </c>
      <c r="N425" s="1" t="s">
        <v>24</v>
      </c>
      <c r="O425" s="1" t="s">
        <v>740</v>
      </c>
      <c r="P425" s="3" t="str">
        <f>HYPERLINK("https://icf.clappia.com/app/SOM165486/submission/OIA03685478/ICF247370-SOM165486-1f9g73pm6nme40000000/SIG-20250703_1036kipd3.jpeg", "SIG-20250703_1036kipd3.jpeg")</f>
        <v>SIG-20250703_1036kipd3.jpeg</v>
      </c>
      <c r="Q425" s="3" t="str">
        <f>HYPERLINK("https://www.google.com/maps/place/8.7028417%2C-12.14139", "8.7028417,-12.14139")</f>
        <v>8.7028417,-12.14139</v>
      </c>
    </row>
    <row r="426" ht="15.75" customHeight="1">
      <c r="A426" s="1" t="s">
        <v>1311</v>
      </c>
      <c r="B426" s="1" t="s">
        <v>283</v>
      </c>
      <c r="C426" s="1" t="s">
        <v>1310</v>
      </c>
      <c r="D426" s="1" t="s">
        <v>1310</v>
      </c>
      <c r="E426" s="2">
        <v>45841.0</v>
      </c>
      <c r="F426" s="1" t="s">
        <v>68</v>
      </c>
      <c r="G426" s="1" t="s">
        <v>69</v>
      </c>
      <c r="H426" s="1" t="s">
        <v>584</v>
      </c>
      <c r="I426" s="1">
        <v>50.0</v>
      </c>
      <c r="J426" s="1" t="s">
        <v>24</v>
      </c>
      <c r="K426" s="1">
        <v>50.0</v>
      </c>
      <c r="L426" s="1">
        <v>26.0</v>
      </c>
      <c r="M426" s="1">
        <v>24.0</v>
      </c>
      <c r="N426" s="1">
        <v>24.0</v>
      </c>
      <c r="O426" s="1" t="s">
        <v>662</v>
      </c>
      <c r="P426" s="3" t="str">
        <f>HYPERLINK("https://icf.clappia.com/app/SOM165486/submission/HYV88506277/ICF247370-SOM165486-1ikong0a1f6000000000/SIG-20250703_1036db4j7.jpeg", "SIG-20250703_1036db4j7.jpeg")</f>
        <v>SIG-20250703_1036db4j7.jpeg</v>
      </c>
      <c r="Q426" s="3" t="str">
        <f>HYPERLINK("https://www.google.com/maps/place/8.7662386%2C-12.1968134", "8.7662386,-12.1968134")</f>
        <v>8.7662386,-12.1968134</v>
      </c>
    </row>
    <row r="427" ht="15.75" customHeight="1">
      <c r="A427" s="1" t="s">
        <v>1312</v>
      </c>
      <c r="B427" s="1" t="s">
        <v>18</v>
      </c>
      <c r="C427" s="1" t="s">
        <v>1313</v>
      </c>
      <c r="D427" s="1" t="s">
        <v>1313</v>
      </c>
      <c r="E427" s="2">
        <v>45841.0</v>
      </c>
      <c r="F427" s="1" t="s">
        <v>68</v>
      </c>
      <c r="G427" s="1" t="s">
        <v>88</v>
      </c>
      <c r="H427" s="1" t="s">
        <v>1314</v>
      </c>
      <c r="I427" s="1">
        <v>400.0</v>
      </c>
      <c r="J427" s="1" t="s">
        <v>24</v>
      </c>
      <c r="K427" s="1">
        <v>400.0</v>
      </c>
      <c r="L427" s="1">
        <v>400.0</v>
      </c>
      <c r="M427" s="1" t="s">
        <v>24</v>
      </c>
      <c r="N427" s="1" t="s">
        <v>24</v>
      </c>
      <c r="O427" s="1" t="s">
        <v>1315</v>
      </c>
      <c r="P427" s="3" t="str">
        <f>HYPERLINK("https://icf.clappia.com/app/SOM165486/submission/FHG58388169/ICF247370-SOM165486-1di8784kaan200000000/SIG-20250703_102816m6pf.jpeg", "SIG-20250703_102816m6pf.jpeg")</f>
        <v>SIG-20250703_102816m6pf.jpeg</v>
      </c>
      <c r="Q427" s="3" t="str">
        <f>HYPERLINK("https://www.google.com/maps/place/8.8970517%2C-12.0417033", "8.8970517,-12.0417033")</f>
        <v>8.8970517,-12.0417033</v>
      </c>
    </row>
    <row r="428" ht="15.75" customHeight="1">
      <c r="A428" s="1" t="s">
        <v>1316</v>
      </c>
      <c r="B428" s="1" t="s">
        <v>18</v>
      </c>
      <c r="C428" s="1" t="s">
        <v>1317</v>
      </c>
      <c r="D428" s="1" t="s">
        <v>1317</v>
      </c>
      <c r="E428" s="2">
        <v>45841.0</v>
      </c>
      <c r="F428" s="1" t="s">
        <v>21</v>
      </c>
      <c r="G428" s="1" t="s">
        <v>77</v>
      </c>
      <c r="H428" s="1" t="s">
        <v>120</v>
      </c>
      <c r="I428" s="1">
        <v>95.0</v>
      </c>
      <c r="J428" s="1" t="s">
        <v>24</v>
      </c>
      <c r="K428" s="1">
        <v>95.0</v>
      </c>
      <c r="L428" s="1">
        <v>44.0</v>
      </c>
      <c r="M428" s="1">
        <v>51.0</v>
      </c>
      <c r="N428" s="1">
        <v>51.0</v>
      </c>
      <c r="O428" s="1" t="s">
        <v>1318</v>
      </c>
      <c r="P428" s="3" t="str">
        <f>HYPERLINK("https://icf.clappia.com/app/SOM165486/submission/TRW80920614/ICF247370-SOM165486-2leagg19e9dm00000000/SIG-20250703_1033fifen.jpeg", "SIG-20250703_1033fifen.jpeg")</f>
        <v>SIG-20250703_1033fifen.jpeg</v>
      </c>
      <c r="Q428" s="3" t="str">
        <f>HYPERLINK("https://www.google.com/maps/place/7.94343%2C-11.716305", "7.94343,-11.716305")</f>
        <v>7.94343,-11.716305</v>
      </c>
    </row>
    <row r="429" ht="15.75" customHeight="1">
      <c r="A429" s="1" t="s">
        <v>1319</v>
      </c>
      <c r="B429" s="1" t="s">
        <v>18</v>
      </c>
      <c r="C429" s="1" t="s">
        <v>1320</v>
      </c>
      <c r="D429" s="1" t="s">
        <v>1321</v>
      </c>
      <c r="E429" s="2">
        <v>45841.0</v>
      </c>
      <c r="F429" s="1" t="s">
        <v>21</v>
      </c>
      <c r="G429" s="1" t="s">
        <v>331</v>
      </c>
      <c r="H429" s="1" t="s">
        <v>1322</v>
      </c>
      <c r="I429" s="1">
        <v>237.0</v>
      </c>
      <c r="J429" s="1" t="s">
        <v>24</v>
      </c>
      <c r="K429" s="1">
        <v>237.0</v>
      </c>
      <c r="L429" s="1">
        <v>230.0</v>
      </c>
      <c r="M429" s="1">
        <v>7.0</v>
      </c>
      <c r="N429" s="1" t="s">
        <v>24</v>
      </c>
      <c r="O429" s="1" t="s">
        <v>1323</v>
      </c>
      <c r="P429" s="3" t="str">
        <f>HYPERLINK("https://icf.clappia.com/app/SOM165486/submission/RAL76162441/ICF247370-SOM165486-3ig3k7ic8e6e00000000/SIG-20250703_1018a3a.jpeg", "SIG-20250703_1018a3a.jpeg")</f>
        <v>SIG-20250703_1018a3a.jpeg</v>
      </c>
      <c r="Q429" s="3" t="str">
        <f>HYPERLINK("https://www.google.com/maps/place/7.7630691%2C-11.4744116", "7.7630691,-11.4744116")</f>
        <v>7.7630691,-11.4744116</v>
      </c>
    </row>
    <row r="430" ht="15.75" customHeight="1">
      <c r="A430" s="1" t="s">
        <v>1324</v>
      </c>
      <c r="B430" s="1" t="s">
        <v>18</v>
      </c>
      <c r="C430" s="1" t="s">
        <v>1325</v>
      </c>
      <c r="D430" s="1" t="s">
        <v>1321</v>
      </c>
      <c r="E430" s="2">
        <v>45841.0</v>
      </c>
      <c r="F430" s="1" t="s">
        <v>21</v>
      </c>
      <c r="G430" s="1" t="s">
        <v>331</v>
      </c>
      <c r="H430" s="1" t="s">
        <v>1322</v>
      </c>
      <c r="I430" s="1">
        <v>237.0</v>
      </c>
      <c r="J430" s="1" t="s">
        <v>24</v>
      </c>
      <c r="K430" s="1">
        <v>237.0</v>
      </c>
      <c r="L430" s="1">
        <v>230.0</v>
      </c>
      <c r="M430" s="1">
        <v>7.0</v>
      </c>
      <c r="N430" s="1" t="s">
        <v>24</v>
      </c>
      <c r="O430" s="1" t="s">
        <v>1323</v>
      </c>
      <c r="P430" s="3" t="str">
        <f>HYPERLINK("https://icf.clappia.com/app/SOM165486/submission/VHU32328534/ICF247370-SOM165486-3j5e64bb5pbg00000000/SIG-20250703_1011apffm.jpeg", "SIG-20250703_1011apffm.jpeg")</f>
        <v>SIG-20250703_1011apffm.jpeg</v>
      </c>
      <c r="Q430" s="3" t="str">
        <f>HYPERLINK("https://www.google.com/maps/place/7.7630471%2C-11.4744293", "7.7630471,-11.4744293")</f>
        <v>7.7630471,-11.4744293</v>
      </c>
    </row>
    <row r="431" ht="15.75" customHeight="1">
      <c r="A431" s="1" t="s">
        <v>1326</v>
      </c>
      <c r="B431" s="1" t="s">
        <v>18</v>
      </c>
      <c r="C431" s="1" t="s">
        <v>1327</v>
      </c>
      <c r="D431" s="1" t="s">
        <v>1327</v>
      </c>
      <c r="E431" s="2">
        <v>45841.0</v>
      </c>
      <c r="F431" s="1" t="s">
        <v>68</v>
      </c>
      <c r="G431" s="1" t="s">
        <v>69</v>
      </c>
      <c r="H431" s="1" t="s">
        <v>806</v>
      </c>
      <c r="I431" s="1">
        <v>137.0</v>
      </c>
      <c r="J431" s="1" t="s">
        <v>24</v>
      </c>
      <c r="K431" s="1">
        <v>137.0</v>
      </c>
      <c r="L431" s="1">
        <v>137.0</v>
      </c>
      <c r="M431" s="1" t="s">
        <v>24</v>
      </c>
      <c r="N431" s="1" t="s">
        <v>24</v>
      </c>
      <c r="O431" s="1" t="s">
        <v>1328</v>
      </c>
      <c r="P431" s="3" t="str">
        <f>HYPERLINK("https://icf.clappia.com/app/SOM165486/submission/YIC90381752/ICF247370-SOM165486-371h0ckd487e00000000/SIG-20250703_1028jgopl.jpeg", "SIG-20250703_1028jgopl.jpeg")</f>
        <v>SIG-20250703_1028jgopl.jpeg</v>
      </c>
      <c r="Q431" s="3" t="str">
        <f>HYPERLINK("https://www.google.com/maps/place/8.8745017%2C-12.2656967", "8.8745017,-12.2656967")</f>
        <v>8.8745017,-12.2656967</v>
      </c>
    </row>
    <row r="432" ht="15.75" customHeight="1">
      <c r="A432" s="1" t="s">
        <v>1329</v>
      </c>
      <c r="B432" s="1" t="s">
        <v>18</v>
      </c>
      <c r="C432" s="1" t="s">
        <v>1330</v>
      </c>
      <c r="D432" s="1" t="s">
        <v>1330</v>
      </c>
      <c r="E432" s="2">
        <v>45841.0</v>
      </c>
      <c r="F432" s="1" t="s">
        <v>21</v>
      </c>
      <c r="G432" s="1" t="s">
        <v>1331</v>
      </c>
      <c r="H432" s="1" t="s">
        <v>1332</v>
      </c>
      <c r="I432" s="1">
        <v>152.0</v>
      </c>
      <c r="J432" s="1" t="s">
        <v>24</v>
      </c>
      <c r="K432" s="1">
        <v>152.0</v>
      </c>
      <c r="L432" s="1">
        <v>152.0</v>
      </c>
      <c r="M432" s="1" t="s">
        <v>24</v>
      </c>
      <c r="N432" s="1" t="s">
        <v>24</v>
      </c>
      <c r="O432" s="1" t="s">
        <v>1333</v>
      </c>
      <c r="P432" s="3" t="str">
        <f>HYPERLINK("https://icf.clappia.com/app/SOM165486/submission/DRB67836853/ICF247370-SOM165486-5ppdl57hin4000000000/SIG-20250703_1025141g38.jpeg", "SIG-20250703_1025141g38.jpeg")</f>
        <v>SIG-20250703_1025141g38.jpeg</v>
      </c>
      <c r="Q432" s="3" t="str">
        <f>HYPERLINK("https://www.google.com/maps/place/8.12714%2C-11.6529817", "8.12714,-11.6529817")</f>
        <v>8.12714,-11.6529817</v>
      </c>
    </row>
    <row r="433" ht="15.75" customHeight="1">
      <c r="A433" s="1" t="s">
        <v>1334</v>
      </c>
      <c r="B433" s="1" t="s">
        <v>18</v>
      </c>
      <c r="C433" s="1" t="s">
        <v>1330</v>
      </c>
      <c r="D433" s="1" t="s">
        <v>1330</v>
      </c>
      <c r="E433" s="2">
        <v>45841.0</v>
      </c>
      <c r="F433" s="1" t="s">
        <v>21</v>
      </c>
      <c r="G433" s="1" t="s">
        <v>269</v>
      </c>
      <c r="H433" s="1" t="s">
        <v>1298</v>
      </c>
      <c r="I433" s="1">
        <v>11.0</v>
      </c>
      <c r="J433" s="1" t="s">
        <v>24</v>
      </c>
      <c r="K433" s="1">
        <v>11.0</v>
      </c>
      <c r="L433" s="1">
        <v>11.0</v>
      </c>
      <c r="M433" s="1" t="s">
        <v>24</v>
      </c>
      <c r="N433" s="1" t="s">
        <v>24</v>
      </c>
      <c r="O433" s="1" t="s">
        <v>1335</v>
      </c>
      <c r="P433" s="3" t="str">
        <f>HYPERLINK("https://icf.clappia.com/app/SOM165486/submission/UHJ49119836/ICF247370-SOM165486-4ogepl70dk2400000000/SIG-20250703_1025f2k6n.jpeg", "SIG-20250703_1025f2k6n.jpeg")</f>
        <v>SIG-20250703_1025f2k6n.jpeg</v>
      </c>
      <c r="Q433" s="3" t="str">
        <f>HYPERLINK("https://www.google.com/maps/place/7.7180727%2C-11.6935763", "7.7180727,-11.6935763")</f>
        <v>7.7180727,-11.6935763</v>
      </c>
    </row>
    <row r="434" ht="15.75" customHeight="1">
      <c r="A434" s="1" t="s">
        <v>1336</v>
      </c>
      <c r="B434" s="1" t="s">
        <v>18</v>
      </c>
      <c r="C434" s="1" t="s">
        <v>1337</v>
      </c>
      <c r="D434" s="1" t="s">
        <v>1320</v>
      </c>
      <c r="E434" s="2">
        <v>45838.0</v>
      </c>
      <c r="F434" s="1" t="s">
        <v>21</v>
      </c>
      <c r="G434" s="1" t="s">
        <v>77</v>
      </c>
      <c r="H434" s="1" t="s">
        <v>1338</v>
      </c>
      <c r="I434" s="1">
        <v>119.0</v>
      </c>
      <c r="J434" s="1">
        <v>3.0</v>
      </c>
      <c r="K434" s="1">
        <v>122.0</v>
      </c>
      <c r="L434" s="1">
        <v>122.0</v>
      </c>
      <c r="M434" s="1" t="s">
        <v>24</v>
      </c>
      <c r="N434" s="1" t="s">
        <v>24</v>
      </c>
      <c r="O434" s="1" t="s">
        <v>1291</v>
      </c>
      <c r="P434" s="3" t="str">
        <f>HYPERLINK("https://icf.clappia.com/app/SOM165486/submission/QOQ85630011/ICF247370-SOM165486-40kmo8m068ho00000000/SIG-20250630_1346ga26p.jpeg", "SIG-20250630_1346ga26p.jpeg")</f>
        <v>SIG-20250630_1346ga26p.jpeg</v>
      </c>
      <c r="Q434" s="3" t="str">
        <f>HYPERLINK("https://www.google.com/maps/place/7.9632717%2C-11.7523733", "7.9632717,-11.7523733")</f>
        <v>7.9632717,-11.7523733</v>
      </c>
    </row>
    <row r="435" ht="15.75" customHeight="1">
      <c r="A435" s="1" t="s">
        <v>1339</v>
      </c>
      <c r="B435" s="1" t="s">
        <v>18</v>
      </c>
      <c r="C435" s="1" t="s">
        <v>1340</v>
      </c>
      <c r="D435" s="1" t="s">
        <v>1320</v>
      </c>
      <c r="E435" s="2">
        <v>45838.0</v>
      </c>
      <c r="F435" s="1" t="s">
        <v>21</v>
      </c>
      <c r="G435" s="1" t="s">
        <v>77</v>
      </c>
      <c r="H435" s="1" t="s">
        <v>1338</v>
      </c>
      <c r="I435" s="1">
        <v>119.0</v>
      </c>
      <c r="J435" s="1">
        <v>3.0</v>
      </c>
      <c r="K435" s="1">
        <v>122.0</v>
      </c>
      <c r="L435" s="1">
        <v>122.0</v>
      </c>
      <c r="M435" s="1" t="s">
        <v>24</v>
      </c>
      <c r="N435" s="1" t="s">
        <v>24</v>
      </c>
      <c r="O435" s="1" t="s">
        <v>1341</v>
      </c>
      <c r="P435" s="3" t="str">
        <f>HYPERLINK("https://icf.clappia.com/app/SOM165486/submission/ZJB91653163/ICF247370-SOM165486-168mhaag008h60000000/SIG-20250630_1343m9j46.jpeg", "SIG-20250630_1343m9j46.jpeg")</f>
        <v>SIG-20250630_1343m9j46.jpeg</v>
      </c>
      <c r="Q435" s="3" t="str">
        <f>HYPERLINK("https://www.google.com/maps/place/7.9634683%2C-11.7527267", "7.9634683,-11.7527267")</f>
        <v>7.9634683,-11.7527267</v>
      </c>
    </row>
    <row r="436" ht="15.75" customHeight="1">
      <c r="A436" s="1" t="s">
        <v>1342</v>
      </c>
      <c r="B436" s="1" t="s">
        <v>18</v>
      </c>
      <c r="C436" s="1" t="s">
        <v>1343</v>
      </c>
      <c r="D436" s="1" t="s">
        <v>1320</v>
      </c>
      <c r="E436" s="2">
        <v>45838.0</v>
      </c>
      <c r="F436" s="1" t="s">
        <v>21</v>
      </c>
      <c r="G436" s="1" t="s">
        <v>77</v>
      </c>
      <c r="H436" s="1" t="s">
        <v>1338</v>
      </c>
      <c r="I436" s="1">
        <v>119.0</v>
      </c>
      <c r="J436" s="1">
        <v>3.0</v>
      </c>
      <c r="K436" s="1">
        <v>122.0</v>
      </c>
      <c r="L436" s="1">
        <v>122.0</v>
      </c>
      <c r="M436" s="1" t="s">
        <v>24</v>
      </c>
      <c r="N436" s="1" t="s">
        <v>24</v>
      </c>
      <c r="O436" s="1" t="s">
        <v>1341</v>
      </c>
      <c r="P436" s="3" t="str">
        <f>HYPERLINK("https://icf.clappia.com/app/SOM165486/submission/XXF95723655/ICF247370-SOM165486-2elj84dc5e1a00000000/SIG-20250630_1316ci8j.jpeg", "SIG-20250630_1316ci8j.jpeg")</f>
        <v>SIG-20250630_1316ci8j.jpeg</v>
      </c>
      <c r="Q436" s="3" t="str">
        <f>HYPERLINK("https://www.google.com/maps/place/7.9633367%2C-11.7526067", "7.9633367,-11.7526067")</f>
        <v>7.9633367,-11.7526067</v>
      </c>
    </row>
    <row r="437" ht="15.75" customHeight="1">
      <c r="A437" s="1" t="s">
        <v>1344</v>
      </c>
      <c r="B437" s="1" t="s">
        <v>18</v>
      </c>
      <c r="C437" s="1" t="s">
        <v>1345</v>
      </c>
      <c r="D437" s="1" t="s">
        <v>1346</v>
      </c>
      <c r="E437" s="2">
        <v>45838.0</v>
      </c>
      <c r="F437" s="1" t="s">
        <v>21</v>
      </c>
      <c r="G437" s="1" t="s">
        <v>77</v>
      </c>
      <c r="H437" s="1" t="s">
        <v>1338</v>
      </c>
      <c r="I437" s="1">
        <v>119.0</v>
      </c>
      <c r="J437" s="1">
        <v>3.0</v>
      </c>
      <c r="K437" s="1">
        <v>122.0</v>
      </c>
      <c r="L437" s="1">
        <v>122.0</v>
      </c>
      <c r="M437" s="1" t="s">
        <v>24</v>
      </c>
      <c r="N437" s="1" t="s">
        <v>24</v>
      </c>
      <c r="O437" s="1" t="s">
        <v>1341</v>
      </c>
      <c r="P437" s="3" t="str">
        <f>HYPERLINK("https://icf.clappia.com/app/SOM165486/submission/WQD70669151/ICF247370-SOM165486-31a3p1g94bdi00000000/SIG-20250630_1312ioi5d.jpeg", "SIG-20250630_1312ioi5d.jpeg")</f>
        <v>SIG-20250630_1312ioi5d.jpeg</v>
      </c>
    </row>
    <row r="438" ht="15.75" customHeight="1">
      <c r="A438" s="1" t="s">
        <v>1347</v>
      </c>
      <c r="B438" s="1" t="s">
        <v>18</v>
      </c>
      <c r="C438" s="1" t="s">
        <v>1348</v>
      </c>
      <c r="D438" s="1" t="s">
        <v>1349</v>
      </c>
      <c r="E438" s="2">
        <v>45840.0</v>
      </c>
      <c r="F438" s="1" t="s">
        <v>21</v>
      </c>
      <c r="G438" s="1" t="s">
        <v>77</v>
      </c>
      <c r="H438" s="1" t="s">
        <v>1338</v>
      </c>
      <c r="I438" s="1">
        <v>151.0</v>
      </c>
      <c r="J438" s="1" t="s">
        <v>24</v>
      </c>
      <c r="K438" s="1">
        <v>151.0</v>
      </c>
      <c r="L438" s="1">
        <v>145.0</v>
      </c>
      <c r="M438" s="1">
        <v>6.0</v>
      </c>
      <c r="N438" s="1">
        <v>6.0</v>
      </c>
      <c r="O438" s="1" t="s">
        <v>1043</v>
      </c>
      <c r="P438" s="3" t="str">
        <f>HYPERLINK("https://icf.clappia.com/app/SOM165486/submission/ZIP26341463/ICF247370-SOM165486-2414kkm47cfgk0000000/SIG-20250702_1632ckc6g.jpeg", "SIG-20250702_1632ckc6g.jpeg")</f>
        <v>SIG-20250702_1632ckc6g.jpeg</v>
      </c>
    </row>
    <row r="439" ht="15.75" customHeight="1">
      <c r="A439" s="1" t="s">
        <v>1350</v>
      </c>
      <c r="B439" s="1" t="s">
        <v>18</v>
      </c>
      <c r="C439" s="1" t="s">
        <v>1351</v>
      </c>
      <c r="D439" s="1" t="s">
        <v>1352</v>
      </c>
      <c r="E439" s="2">
        <v>45839.0</v>
      </c>
      <c r="F439" s="1" t="s">
        <v>21</v>
      </c>
      <c r="G439" s="1" t="s">
        <v>77</v>
      </c>
      <c r="H439" s="1" t="s">
        <v>1338</v>
      </c>
      <c r="I439" s="1">
        <v>100.0</v>
      </c>
      <c r="J439" s="1" t="s">
        <v>24</v>
      </c>
      <c r="K439" s="1">
        <v>100.0</v>
      </c>
      <c r="L439" s="1">
        <v>49.0</v>
      </c>
      <c r="M439" s="1">
        <v>51.0</v>
      </c>
      <c r="N439" s="1">
        <v>51.0</v>
      </c>
      <c r="O439" s="1" t="s">
        <v>1353</v>
      </c>
      <c r="P439" s="3" t="str">
        <f>HYPERLINK("https://icf.clappia.com/app/SOM165486/submission/MGJ69351679/ICF247370-SOM165486-2emn3ih1enl600000000/SIG-20250701_140813n601.jpeg", "SIG-20250701_140813n601.jpeg")</f>
        <v>SIG-20250701_140813n601.jpeg</v>
      </c>
    </row>
    <row r="440" ht="15.75" customHeight="1">
      <c r="A440" s="1" t="s">
        <v>1354</v>
      </c>
      <c r="B440" s="1" t="s">
        <v>18</v>
      </c>
      <c r="C440" s="1" t="s">
        <v>1352</v>
      </c>
      <c r="D440" s="1" t="s">
        <v>1352</v>
      </c>
      <c r="E440" s="2">
        <v>45841.0</v>
      </c>
      <c r="F440" s="1" t="s">
        <v>21</v>
      </c>
      <c r="G440" s="1" t="s">
        <v>781</v>
      </c>
      <c r="H440" s="1" t="s">
        <v>1355</v>
      </c>
      <c r="I440" s="1">
        <v>300.0</v>
      </c>
      <c r="J440" s="1" t="s">
        <v>24</v>
      </c>
      <c r="K440" s="1">
        <v>300.0</v>
      </c>
      <c r="L440" s="1">
        <v>260.0</v>
      </c>
      <c r="M440" s="1">
        <v>40.0</v>
      </c>
      <c r="N440" s="1">
        <v>40.0</v>
      </c>
      <c r="O440" s="1" t="s">
        <v>1356</v>
      </c>
      <c r="P440" s="3" t="str">
        <f>HYPERLINK("https://icf.clappia.com/app/SOM165486/submission/CLJ81429688/ICF247370-SOM165486-4kokg52lnbg00000000/SIG-20250703_1012161nm7.jpeg", "SIG-20250703_1012161nm7.jpeg")</f>
        <v>SIG-20250703_1012161nm7.jpeg</v>
      </c>
      <c r="Q440" s="3" t="str">
        <f>HYPERLINK("https://www.google.com/maps/place/7.843675%2C-11.5216217", "7.843675,-11.5216217")</f>
        <v>7.843675,-11.5216217</v>
      </c>
    </row>
    <row r="441" ht="15.75" customHeight="1">
      <c r="A441" s="1" t="s">
        <v>1357</v>
      </c>
      <c r="B441" s="1" t="s">
        <v>18</v>
      </c>
      <c r="C441" s="1" t="s">
        <v>1358</v>
      </c>
      <c r="D441" s="1" t="s">
        <v>1352</v>
      </c>
      <c r="E441" s="2">
        <v>45838.0</v>
      </c>
      <c r="F441" s="1" t="s">
        <v>21</v>
      </c>
      <c r="G441" s="1" t="s">
        <v>77</v>
      </c>
      <c r="H441" s="1" t="s">
        <v>1338</v>
      </c>
      <c r="I441" s="1">
        <v>100.0</v>
      </c>
      <c r="J441" s="1">
        <v>5.0</v>
      </c>
      <c r="K441" s="1">
        <v>105.0</v>
      </c>
      <c r="L441" s="1">
        <v>105.0</v>
      </c>
      <c r="M441" s="1" t="s">
        <v>24</v>
      </c>
      <c r="N441" s="1" t="s">
        <v>24</v>
      </c>
      <c r="O441" s="1" t="s">
        <v>1353</v>
      </c>
      <c r="P441" s="3" t="str">
        <f>HYPERLINK("https://icf.clappia.com/app/SOM165486/submission/TXZ55746992/ICF247370-SOM165486-155b53k482ohm0000000/SIG-20250630_1315be7c1.jpeg", "SIG-20250630_1315be7c1.jpeg")</f>
        <v>SIG-20250630_1315be7c1.jpeg</v>
      </c>
    </row>
    <row r="442" ht="15.75" customHeight="1">
      <c r="A442" s="1" t="s">
        <v>1359</v>
      </c>
      <c r="B442" s="1" t="s">
        <v>18</v>
      </c>
      <c r="C442" s="1" t="s">
        <v>1345</v>
      </c>
      <c r="D442" s="1" t="s">
        <v>1352</v>
      </c>
      <c r="E442" s="2">
        <v>45838.0</v>
      </c>
      <c r="F442" s="1" t="s">
        <v>21</v>
      </c>
      <c r="G442" s="1" t="s">
        <v>77</v>
      </c>
      <c r="H442" s="1" t="s">
        <v>1338</v>
      </c>
      <c r="I442" s="1">
        <v>100.0</v>
      </c>
      <c r="J442" s="1">
        <v>5.0</v>
      </c>
      <c r="K442" s="1">
        <v>105.0</v>
      </c>
      <c r="L442" s="1">
        <v>105.0</v>
      </c>
      <c r="M442" s="1" t="s">
        <v>24</v>
      </c>
      <c r="N442" s="1" t="s">
        <v>24</v>
      </c>
      <c r="O442" s="1" t="s">
        <v>1353</v>
      </c>
      <c r="P442" s="3" t="str">
        <f>HYPERLINK("https://icf.clappia.com/app/SOM165486/submission/NCQ42040734/ICF247370-SOM165486-aj161nkjgego0000000/SIG-20250630_1312103d5k.jpeg", "SIG-20250630_1312103d5k.jpeg")</f>
        <v>SIG-20250630_1312103d5k.jpeg</v>
      </c>
    </row>
    <row r="443" ht="15.75" customHeight="1">
      <c r="A443" s="1" t="s">
        <v>1360</v>
      </c>
      <c r="B443" s="1" t="s">
        <v>18</v>
      </c>
      <c r="C443" s="1" t="s">
        <v>1361</v>
      </c>
      <c r="D443" s="1" t="s">
        <v>1352</v>
      </c>
      <c r="E443" s="2">
        <v>45838.0</v>
      </c>
      <c r="F443" s="1" t="s">
        <v>21</v>
      </c>
      <c r="G443" s="1" t="s">
        <v>77</v>
      </c>
      <c r="H443" s="1" t="s">
        <v>1338</v>
      </c>
      <c r="I443" s="1">
        <v>100.0</v>
      </c>
      <c r="J443" s="1">
        <v>5.0</v>
      </c>
      <c r="K443" s="1">
        <v>105.0</v>
      </c>
      <c r="L443" s="1">
        <v>105.0</v>
      </c>
      <c r="M443" s="1" t="s">
        <v>24</v>
      </c>
      <c r="N443" s="1" t="s">
        <v>24</v>
      </c>
      <c r="O443" s="1" t="s">
        <v>1353</v>
      </c>
      <c r="P443" s="3" t="str">
        <f>HYPERLINK("https://icf.clappia.com/app/SOM165486/submission/HIE90972961/ICF247370-SOM165486-4e0e0a7k2fh800000000/SIG-20250630_13071aeibf.jpeg", "SIG-20250630_13071aeibf.jpeg")</f>
        <v>SIG-20250630_13071aeibf.jpeg</v>
      </c>
    </row>
    <row r="444" ht="15.75" customHeight="1">
      <c r="A444" s="1" t="s">
        <v>1362</v>
      </c>
      <c r="B444" s="1" t="s">
        <v>18</v>
      </c>
      <c r="C444" s="1" t="s">
        <v>1325</v>
      </c>
      <c r="D444" s="1" t="s">
        <v>1363</v>
      </c>
      <c r="E444" s="2">
        <v>45841.0</v>
      </c>
      <c r="F444" s="1" t="s">
        <v>68</v>
      </c>
      <c r="G444" s="1" t="s">
        <v>597</v>
      </c>
      <c r="H444" s="1" t="s">
        <v>598</v>
      </c>
      <c r="I444" s="1">
        <v>88.0</v>
      </c>
      <c r="J444" s="1">
        <v>88.0</v>
      </c>
      <c r="K444" s="1">
        <v>176.0</v>
      </c>
      <c r="L444" s="1">
        <v>88.0</v>
      </c>
      <c r="M444" s="1">
        <v>88.0</v>
      </c>
      <c r="N444" s="1" t="s">
        <v>24</v>
      </c>
      <c r="O444" s="1" t="s">
        <v>1364</v>
      </c>
      <c r="P444" s="3" t="str">
        <f>HYPERLINK("https://icf.clappia.com/app/SOM165486/submission/YCZ25371668/ICF247370-SOM165486-1n79o51blf8lg0000000/SIG-20250703_10049ad7o.jpeg", "SIG-20250703_10049ad7o.jpeg")</f>
        <v>SIG-20250703_10049ad7o.jpeg</v>
      </c>
      <c r="Q444" s="3" t="str">
        <f>HYPERLINK("https://www.google.com/maps/place/8.6620917%2C-12.2436517", "8.6620917,-12.2436517")</f>
        <v>8.6620917,-12.2436517</v>
      </c>
    </row>
    <row r="445" ht="15.75" customHeight="1">
      <c r="A445" s="1" t="s">
        <v>1365</v>
      </c>
      <c r="B445" s="1" t="s">
        <v>18</v>
      </c>
      <c r="C445" s="1" t="s">
        <v>1366</v>
      </c>
      <c r="D445" s="1" t="s">
        <v>1366</v>
      </c>
      <c r="E445" s="2">
        <v>45841.0</v>
      </c>
      <c r="F445" s="1" t="s">
        <v>68</v>
      </c>
      <c r="G445" s="1" t="s">
        <v>597</v>
      </c>
      <c r="H445" s="1" t="s">
        <v>598</v>
      </c>
      <c r="I445" s="1">
        <v>150.0</v>
      </c>
      <c r="J445" s="1" t="s">
        <v>24</v>
      </c>
      <c r="K445" s="1">
        <v>150.0</v>
      </c>
      <c r="L445" s="1">
        <v>150.0</v>
      </c>
      <c r="M445" s="1" t="s">
        <v>24</v>
      </c>
      <c r="N445" s="1" t="s">
        <v>24</v>
      </c>
      <c r="O445" s="1" t="s">
        <v>1367</v>
      </c>
      <c r="P445" s="3" t="str">
        <f>HYPERLINK("https://icf.clappia.com/app/SOM165486/submission/DOL53381947/ICF247370-SOM165486-1nk12ebg6d5jm0000000/SIG-20250703_10081561og.jpeg", "SIG-20250703_10081561og.jpeg")</f>
        <v>SIG-20250703_10081561og.jpeg</v>
      </c>
      <c r="Q445" s="3" t="str">
        <f>HYPERLINK("https://www.google.com/maps/place/8.6785983%2C-12.2409833", "8.6785983,-12.2409833")</f>
        <v>8.6785983,-12.2409833</v>
      </c>
    </row>
    <row r="446" ht="15.75" customHeight="1">
      <c r="A446" s="1" t="s">
        <v>1368</v>
      </c>
      <c r="B446" s="1" t="s">
        <v>18</v>
      </c>
      <c r="C446" s="1" t="s">
        <v>1369</v>
      </c>
      <c r="D446" s="1" t="s">
        <v>1369</v>
      </c>
      <c r="E446" s="2">
        <v>45841.0</v>
      </c>
      <c r="F446" s="1" t="s">
        <v>68</v>
      </c>
      <c r="G446" s="1" t="s">
        <v>88</v>
      </c>
      <c r="H446" s="1" t="s">
        <v>1314</v>
      </c>
      <c r="I446" s="1">
        <v>250.0</v>
      </c>
      <c r="J446" s="1" t="s">
        <v>24</v>
      </c>
      <c r="K446" s="1">
        <v>250.0</v>
      </c>
      <c r="L446" s="1">
        <v>240.0</v>
      </c>
      <c r="M446" s="1">
        <v>10.0</v>
      </c>
      <c r="N446" s="1" t="s">
        <v>24</v>
      </c>
      <c r="O446" s="1" t="s">
        <v>1370</v>
      </c>
      <c r="P446" s="3" t="str">
        <f>HYPERLINK("https://icf.clappia.com/app/SOM165486/submission/ITP99485238/ICF247370-SOM165486-57k57b794k320000000/SIG-20250702_0903j8e7m.jpeg", "SIG-20250702_0903j8e7m.jpeg")</f>
        <v>SIG-20250702_0903j8e7m.jpeg</v>
      </c>
      <c r="Q446" s="3" t="str">
        <f>HYPERLINK("https://www.google.com/maps/place/8.8601617%2C-12.0381733", "8.8601617,-12.0381733")</f>
        <v>8.8601617,-12.0381733</v>
      </c>
    </row>
    <row r="447" ht="15.75" customHeight="1">
      <c r="A447" s="1" t="s">
        <v>1371</v>
      </c>
      <c r="B447" s="1" t="s">
        <v>18</v>
      </c>
      <c r="C447" s="1" t="s">
        <v>1372</v>
      </c>
      <c r="D447" s="1" t="s">
        <v>1372</v>
      </c>
      <c r="E447" s="2">
        <v>45841.0</v>
      </c>
      <c r="F447" s="1" t="s">
        <v>21</v>
      </c>
      <c r="G447" s="1" t="s">
        <v>58</v>
      </c>
      <c r="H447" s="1" t="s">
        <v>1054</v>
      </c>
      <c r="I447" s="1">
        <v>120.0</v>
      </c>
      <c r="J447" s="1" t="s">
        <v>24</v>
      </c>
      <c r="K447" s="1">
        <v>120.0</v>
      </c>
      <c r="L447" s="1">
        <v>119.0</v>
      </c>
      <c r="M447" s="1">
        <v>1.0</v>
      </c>
      <c r="N447" s="1" t="s">
        <v>24</v>
      </c>
      <c r="O447" s="1" t="s">
        <v>1373</v>
      </c>
      <c r="P447" s="3" t="str">
        <f>HYPERLINK("https://icf.clappia.com/app/SOM165486/submission/ONT10301391/ICF247370-SOM165486-43cf0c98pe3000000000/SIG-20250703_1005j6dbo.jpeg", "SIG-20250703_1005j6dbo.jpeg")</f>
        <v>SIG-20250703_1005j6dbo.jpeg</v>
      </c>
      <c r="Q447" s="3" t="str">
        <f>HYPERLINK("https://www.google.com/maps/place/7.961015%2C-11.77344", "7.961015,-11.77344")</f>
        <v>7.961015,-11.77344</v>
      </c>
    </row>
    <row r="448" ht="15.75" customHeight="1">
      <c r="A448" s="1" t="s">
        <v>1374</v>
      </c>
      <c r="B448" s="1" t="s">
        <v>18</v>
      </c>
      <c r="C448" s="1" t="s">
        <v>1375</v>
      </c>
      <c r="D448" s="1" t="s">
        <v>1375</v>
      </c>
      <c r="E448" s="2">
        <v>45841.0</v>
      </c>
      <c r="F448" s="1" t="s">
        <v>21</v>
      </c>
      <c r="G448" s="1" t="s">
        <v>22</v>
      </c>
      <c r="H448" s="1" t="s">
        <v>1376</v>
      </c>
      <c r="I448" s="1">
        <v>81.0</v>
      </c>
      <c r="J448" s="1" t="s">
        <v>24</v>
      </c>
      <c r="K448" s="1">
        <v>81.0</v>
      </c>
      <c r="L448" s="1">
        <v>76.0</v>
      </c>
      <c r="M448" s="1">
        <v>5.0</v>
      </c>
      <c r="N448" s="1" t="s">
        <v>24</v>
      </c>
      <c r="O448" s="1" t="s">
        <v>1377</v>
      </c>
      <c r="P448" s="3" t="str">
        <f>HYPERLINK("https://icf.clappia.com/app/SOM165486/submission/NPP24229870/ICF247370-SOM165486-3nmmdkbdp2b000000000/SIG-20250703_100019651g.jpeg", "SIG-20250703_100019651g.jpeg")</f>
        <v>SIG-20250703_100019651g.jpeg</v>
      </c>
      <c r="Q448" s="3" t="str">
        <f>HYPERLINK("https://www.google.com/maps/place/8.0401283%2C-11.4499917", "8.0401283,-11.4499917")</f>
        <v>8.0401283,-11.4499917</v>
      </c>
    </row>
    <row r="449" ht="15.75" customHeight="1">
      <c r="A449" s="1" t="s">
        <v>1378</v>
      </c>
      <c r="B449" s="1" t="s">
        <v>18</v>
      </c>
      <c r="C449" s="1" t="s">
        <v>1375</v>
      </c>
      <c r="D449" s="1" t="s">
        <v>1375</v>
      </c>
      <c r="E449" s="2">
        <v>45841.0</v>
      </c>
      <c r="F449" s="1" t="s">
        <v>68</v>
      </c>
      <c r="G449" s="1" t="s">
        <v>597</v>
      </c>
      <c r="H449" s="1" t="s">
        <v>739</v>
      </c>
      <c r="I449" s="1">
        <v>108.0</v>
      </c>
      <c r="J449" s="1" t="s">
        <v>24</v>
      </c>
      <c r="K449" s="1">
        <v>108.0</v>
      </c>
      <c r="L449" s="1">
        <v>87.0</v>
      </c>
      <c r="M449" s="1">
        <v>21.0</v>
      </c>
      <c r="N449" s="1">
        <v>21.0</v>
      </c>
      <c r="O449" s="1" t="s">
        <v>1379</v>
      </c>
      <c r="P449" s="3" t="str">
        <f>HYPERLINK("https://icf.clappia.com/app/SOM165486/submission/SFU18712585/ICF247370-SOM165486-2n17mi0mb2dk00000000/SIG-20250703_10013dna5.jpeg", "SIG-20250703_10013dna5.jpeg")</f>
        <v>SIG-20250703_10013dna5.jpeg</v>
      </c>
      <c r="Q449" s="3" t="str">
        <f>HYPERLINK("https://www.google.com/maps/place/8.7025583%2C-12.1420917", "8.7025583,-12.1420917")</f>
        <v>8.7025583,-12.1420917</v>
      </c>
    </row>
    <row r="450" ht="15.75" customHeight="1">
      <c r="A450" s="1" t="s">
        <v>1380</v>
      </c>
      <c r="B450" s="1" t="s">
        <v>18</v>
      </c>
      <c r="C450" s="1" t="s">
        <v>1381</v>
      </c>
      <c r="D450" s="1" t="s">
        <v>1381</v>
      </c>
      <c r="E450" s="2">
        <v>45841.0</v>
      </c>
      <c r="F450" s="1" t="s">
        <v>21</v>
      </c>
      <c r="G450" s="1" t="s">
        <v>95</v>
      </c>
      <c r="H450" s="1" t="s">
        <v>1301</v>
      </c>
      <c r="I450" s="1">
        <v>50.0</v>
      </c>
      <c r="J450" s="1" t="s">
        <v>24</v>
      </c>
      <c r="K450" s="1">
        <v>50.0</v>
      </c>
      <c r="L450" s="1">
        <v>50.0</v>
      </c>
      <c r="M450" s="1" t="s">
        <v>24</v>
      </c>
      <c r="N450" s="1" t="s">
        <v>24</v>
      </c>
      <c r="O450" s="1" t="s">
        <v>1382</v>
      </c>
      <c r="P450" s="3" t="str">
        <f>HYPERLINK("https://icf.clappia.com/app/SOM165486/submission/NZU00204311/ICF247370-SOM165486-2hhi5m296j2200000000/SIG-20250703_09448h6kj.jpeg", "SIG-20250703_09448h6kj.jpeg")</f>
        <v>SIG-20250703_09448h6kj.jpeg</v>
      </c>
      <c r="Q450" s="3" t="str">
        <f>HYPERLINK("https://www.google.com/maps/place/7.942805%2C-11.66609", "7.942805,-11.66609")</f>
        <v>7.942805,-11.66609</v>
      </c>
    </row>
    <row r="451" ht="15.75" customHeight="1">
      <c r="A451" s="1" t="s">
        <v>1383</v>
      </c>
      <c r="B451" s="1" t="s">
        <v>18</v>
      </c>
      <c r="C451" s="1" t="s">
        <v>1384</v>
      </c>
      <c r="D451" s="1" t="s">
        <v>1385</v>
      </c>
      <c r="E451" s="2">
        <v>45839.0</v>
      </c>
      <c r="F451" s="1" t="s">
        <v>21</v>
      </c>
      <c r="G451" s="1" t="s">
        <v>35</v>
      </c>
      <c r="H451" s="1" t="s">
        <v>36</v>
      </c>
      <c r="I451" s="1">
        <v>50.0</v>
      </c>
      <c r="J451" s="1" t="s">
        <v>24</v>
      </c>
      <c r="K451" s="1">
        <v>50.0</v>
      </c>
      <c r="L451" s="1">
        <v>48.0</v>
      </c>
      <c r="M451" s="1">
        <v>2.0</v>
      </c>
      <c r="N451" s="1">
        <v>2.0</v>
      </c>
      <c r="O451" s="1" t="s">
        <v>37</v>
      </c>
      <c r="P451" s="3" t="str">
        <f>HYPERLINK("https://icf.clappia.com/app/SOM165486/submission/RHA09444008/ICF247370-SOM165486-55e6ca90o7e600000000/SIG-20250701_2202d9nd6.jpeg", "SIG-20250701_2202d9nd6.jpeg")</f>
        <v>SIG-20250701_2202d9nd6.jpeg</v>
      </c>
    </row>
    <row r="452" ht="15.75" customHeight="1">
      <c r="A452" s="1" t="s">
        <v>1386</v>
      </c>
      <c r="B452" s="1" t="s">
        <v>18</v>
      </c>
      <c r="C452" s="1" t="s">
        <v>1387</v>
      </c>
      <c r="D452" s="1" t="s">
        <v>1387</v>
      </c>
      <c r="E452" s="2">
        <v>45841.0</v>
      </c>
      <c r="F452" s="1" t="s">
        <v>68</v>
      </c>
      <c r="G452" s="1" t="s">
        <v>286</v>
      </c>
      <c r="H452" s="1" t="s">
        <v>320</v>
      </c>
      <c r="I452" s="1">
        <v>15.0</v>
      </c>
      <c r="J452" s="1" t="s">
        <v>24</v>
      </c>
      <c r="K452" s="1">
        <v>15.0</v>
      </c>
      <c r="L452" s="1">
        <v>13.0</v>
      </c>
      <c r="M452" s="1">
        <v>2.0</v>
      </c>
      <c r="N452" s="1">
        <v>2.0</v>
      </c>
      <c r="O452" s="1" t="s">
        <v>707</v>
      </c>
      <c r="P452" s="3" t="str">
        <f>HYPERLINK("https://icf.clappia.com/app/SOM165486/submission/ZKY64038935/ICF247370-SOM165486-2fdg31p1p5eo00000000/SIG-20250703_09301607mj.jpeg", "SIG-20250703_09301607mj.jpeg")</f>
        <v>SIG-20250703_09301607mj.jpeg</v>
      </c>
      <c r="Q452" s="3" t="str">
        <f>HYPERLINK("https://www.google.com/maps/place/8.9952067%2C-12.1819717", "8.9952067,-12.1819717")</f>
        <v>8.9952067,-12.1819717</v>
      </c>
    </row>
    <row r="453" ht="15.75" customHeight="1">
      <c r="A453" s="1" t="s">
        <v>1388</v>
      </c>
      <c r="B453" s="1" t="s">
        <v>18</v>
      </c>
      <c r="C453" s="1" t="s">
        <v>1389</v>
      </c>
      <c r="D453" s="1" t="s">
        <v>1389</v>
      </c>
      <c r="E453" s="2">
        <v>45841.0</v>
      </c>
      <c r="F453" s="1" t="s">
        <v>21</v>
      </c>
      <c r="G453" s="1" t="s">
        <v>781</v>
      </c>
      <c r="H453" s="1" t="s">
        <v>1355</v>
      </c>
      <c r="I453" s="1">
        <v>300.0</v>
      </c>
      <c r="J453" s="1" t="s">
        <v>24</v>
      </c>
      <c r="K453" s="1">
        <v>300.0</v>
      </c>
      <c r="L453" s="1">
        <v>260.0</v>
      </c>
      <c r="M453" s="1">
        <v>40.0</v>
      </c>
      <c r="N453" s="1">
        <v>40.0</v>
      </c>
      <c r="O453" s="1" t="s">
        <v>1356</v>
      </c>
      <c r="P453" s="3" t="str">
        <f>HYPERLINK("https://icf.clappia.com/app/SOM165486/submission/WQW61445643/ICF247370-SOM165486-3hoaic3o4ef200000000/SIG-20250703_0929f2jln.jpeg", "SIG-20250703_0929f2jln.jpeg")</f>
        <v>SIG-20250703_0929f2jln.jpeg</v>
      </c>
      <c r="Q453" s="3" t="str">
        <f>HYPERLINK("https://www.google.com/maps/place/7.8436383%2C-11.521545", "7.8436383,-11.521545")</f>
        <v>7.8436383,-11.521545</v>
      </c>
    </row>
    <row r="454" ht="15.75" customHeight="1">
      <c r="A454" s="1" t="s">
        <v>1390</v>
      </c>
      <c r="B454" s="1" t="s">
        <v>18</v>
      </c>
      <c r="C454" s="1" t="s">
        <v>1391</v>
      </c>
      <c r="D454" s="1" t="s">
        <v>1391</v>
      </c>
      <c r="E454" s="2">
        <v>45841.0</v>
      </c>
      <c r="F454" s="1" t="s">
        <v>68</v>
      </c>
      <c r="G454" s="1" t="s">
        <v>83</v>
      </c>
      <c r="H454" s="1" t="s">
        <v>1142</v>
      </c>
      <c r="I454" s="1">
        <v>220.0</v>
      </c>
      <c r="J454" s="1" t="s">
        <v>24</v>
      </c>
      <c r="K454" s="1">
        <v>220.0</v>
      </c>
      <c r="L454" s="1">
        <v>214.0</v>
      </c>
      <c r="M454" s="1">
        <v>6.0</v>
      </c>
      <c r="N454" s="1" t="s">
        <v>24</v>
      </c>
      <c r="O454" s="1" t="s">
        <v>1392</v>
      </c>
      <c r="P454" s="3" t="str">
        <f>HYPERLINK("https://icf.clappia.com/app/SOM165486/submission/NMD25139914/ICF247370-SOM165486-631eoai9aige00000000/SIG-20250703_0855f8bkh.jpeg", "SIG-20250703_0855f8bkh.jpeg")</f>
        <v>SIG-20250703_0855f8bkh.jpeg</v>
      </c>
      <c r="Q454" s="3" t="str">
        <f>HYPERLINK("https://www.google.com/maps/place/8.8145433%2C-12.0895833", "8.8145433,-12.0895833")</f>
        <v>8.8145433,-12.0895833</v>
      </c>
    </row>
    <row r="455" ht="15.75" customHeight="1">
      <c r="A455" s="1" t="s">
        <v>1393</v>
      </c>
      <c r="B455" s="1" t="s">
        <v>18</v>
      </c>
      <c r="C455" s="1" t="s">
        <v>1394</v>
      </c>
      <c r="D455" s="1" t="s">
        <v>1394</v>
      </c>
      <c r="E455" s="2">
        <v>45839.0</v>
      </c>
      <c r="F455" s="1" t="s">
        <v>68</v>
      </c>
      <c r="G455" s="1" t="s">
        <v>385</v>
      </c>
      <c r="H455" s="1" t="s">
        <v>1395</v>
      </c>
      <c r="I455" s="1">
        <v>202.0</v>
      </c>
      <c r="J455" s="1" t="s">
        <v>24</v>
      </c>
      <c r="K455" s="1">
        <v>202.0</v>
      </c>
      <c r="L455" s="1">
        <v>165.0</v>
      </c>
      <c r="M455" s="1">
        <v>37.0</v>
      </c>
      <c r="N455" s="1">
        <v>37.0</v>
      </c>
      <c r="O455" s="1" t="s">
        <v>1396</v>
      </c>
      <c r="P455" s="3" t="str">
        <f>HYPERLINK("https://icf.clappia.com/app/SOM165486/submission/TBC20869633/ICF247370-SOM165486-58dhn3dkmma000000000/SIG-20250703_085471amf.jpeg", "SIG-20250703_085471amf.jpeg")</f>
        <v>SIG-20250703_085471amf.jpeg</v>
      </c>
      <c r="Q455" s="3" t="str">
        <f>HYPERLINK("https://www.google.com/maps/place/9.1074317%2C-12.2073616", "9.1074317,-12.2073616")</f>
        <v>9.1074317,-12.2073616</v>
      </c>
    </row>
    <row r="456" ht="15.75" customHeight="1">
      <c r="A456" s="1" t="s">
        <v>1397</v>
      </c>
      <c r="B456" s="1" t="s">
        <v>18</v>
      </c>
      <c r="C456" s="1" t="s">
        <v>1398</v>
      </c>
      <c r="D456" s="1" t="s">
        <v>1398</v>
      </c>
      <c r="E456" s="2">
        <v>45838.0</v>
      </c>
      <c r="F456" s="1" t="s">
        <v>68</v>
      </c>
      <c r="G456" s="1" t="s">
        <v>385</v>
      </c>
      <c r="H456" s="1" t="s">
        <v>1395</v>
      </c>
      <c r="I456" s="1">
        <v>150.0</v>
      </c>
      <c r="J456" s="1" t="s">
        <v>24</v>
      </c>
      <c r="K456" s="1">
        <v>150.0</v>
      </c>
      <c r="L456" s="1">
        <v>150.0</v>
      </c>
      <c r="M456" s="1" t="s">
        <v>24</v>
      </c>
      <c r="N456" s="1" t="s">
        <v>24</v>
      </c>
      <c r="O456" s="1" t="s">
        <v>1396</v>
      </c>
      <c r="P456" s="3" t="str">
        <f>HYPERLINK("https://icf.clappia.com/app/SOM165486/submission/CPG43522609/ICF247370-SOM165486-2id9iinh21a200000000/SIG-20250703_08524k7n0.jpeg", "SIG-20250703_08524k7n0.jpeg")</f>
        <v>SIG-20250703_08524k7n0.jpeg</v>
      </c>
      <c r="Q456" s="3" t="str">
        <f>HYPERLINK("https://www.google.com/maps/place/9.1075067%2C-12.2073914", "9.1075067,-12.2073914")</f>
        <v>9.1075067,-12.2073914</v>
      </c>
    </row>
    <row r="457" ht="15.75" customHeight="1">
      <c r="A457" s="1" t="s">
        <v>1399</v>
      </c>
      <c r="B457" s="1" t="s">
        <v>18</v>
      </c>
      <c r="C457" s="1" t="s">
        <v>1400</v>
      </c>
      <c r="D457" s="1" t="s">
        <v>1400</v>
      </c>
      <c r="E457" s="2">
        <v>45840.0</v>
      </c>
      <c r="F457" s="1" t="s">
        <v>21</v>
      </c>
      <c r="G457" s="1" t="s">
        <v>58</v>
      </c>
      <c r="H457" s="1" t="s">
        <v>580</v>
      </c>
      <c r="I457" s="1">
        <v>100.0</v>
      </c>
      <c r="J457" s="1" t="s">
        <v>24</v>
      </c>
      <c r="K457" s="1">
        <v>100.0</v>
      </c>
      <c r="L457" s="1">
        <v>50.0</v>
      </c>
      <c r="M457" s="1">
        <v>50.0</v>
      </c>
      <c r="N457" s="1">
        <v>50.0</v>
      </c>
      <c r="O457" s="1" t="s">
        <v>1025</v>
      </c>
      <c r="P457" s="3" t="str">
        <f>HYPERLINK("https://icf.clappia.com/app/SOM165486/submission/YIU12747398/ICF247370-SOM165486-3n94p6b2fl9a00000000/SIG-20250703_0806do1h0.jpeg", "SIG-20250703_0806do1h0.jpeg")</f>
        <v>SIG-20250703_0806do1h0.jpeg</v>
      </c>
      <c r="Q457" s="3" t="str">
        <f>HYPERLINK("https://www.google.com/maps/place/7.7809002%2C-11.7251555", "7.7809002,-11.7251555")</f>
        <v>7.7809002,-11.7251555</v>
      </c>
    </row>
    <row r="458" ht="15.75" customHeight="1">
      <c r="A458" s="1" t="s">
        <v>1401</v>
      </c>
      <c r="B458" s="1" t="s">
        <v>18</v>
      </c>
      <c r="C458" s="1" t="s">
        <v>1402</v>
      </c>
      <c r="D458" s="1" t="s">
        <v>1402</v>
      </c>
      <c r="E458" s="2">
        <v>45839.0</v>
      </c>
      <c r="F458" s="1" t="s">
        <v>21</v>
      </c>
      <c r="G458" s="1" t="s">
        <v>58</v>
      </c>
      <c r="H458" s="1" t="s">
        <v>580</v>
      </c>
      <c r="I458" s="1">
        <v>100.0</v>
      </c>
      <c r="J458" s="1" t="s">
        <v>24</v>
      </c>
      <c r="K458" s="1">
        <v>100.0</v>
      </c>
      <c r="L458" s="1">
        <v>83.0</v>
      </c>
      <c r="M458" s="1">
        <v>17.0</v>
      </c>
      <c r="N458" s="1">
        <v>17.0</v>
      </c>
      <c r="O458" s="1" t="s">
        <v>1025</v>
      </c>
      <c r="P458" s="3" t="str">
        <f>HYPERLINK("https://icf.clappia.com/app/SOM165486/submission/HZO89880409/ICF247370-SOM165486-3nfdfoi0lahm00000000/SIG-20250703_080458igd.jpeg", "SIG-20250703_080458igd.jpeg")</f>
        <v>SIG-20250703_080458igd.jpeg</v>
      </c>
      <c r="Q458" s="3" t="str">
        <f>HYPERLINK("https://www.google.com/maps/place/7.7802548%2C-11.7242168", "7.7802548,-11.7242168")</f>
        <v>7.7802548,-11.7242168</v>
      </c>
    </row>
    <row r="459" ht="15.75" customHeight="1">
      <c r="A459" s="1" t="s">
        <v>1403</v>
      </c>
      <c r="B459" s="1" t="s">
        <v>18</v>
      </c>
      <c r="C459" s="1" t="s">
        <v>1404</v>
      </c>
      <c r="D459" s="1" t="s">
        <v>1404</v>
      </c>
      <c r="E459" s="2">
        <v>45838.0</v>
      </c>
      <c r="F459" s="1" t="s">
        <v>21</v>
      </c>
      <c r="G459" s="1" t="s">
        <v>58</v>
      </c>
      <c r="H459" s="1" t="s">
        <v>580</v>
      </c>
      <c r="I459" s="1">
        <v>100.0</v>
      </c>
      <c r="J459" s="1" t="s">
        <v>24</v>
      </c>
      <c r="K459" s="1">
        <v>100.0</v>
      </c>
      <c r="L459" s="1">
        <v>100.0</v>
      </c>
      <c r="M459" s="1" t="s">
        <v>24</v>
      </c>
      <c r="N459" s="1" t="s">
        <v>24</v>
      </c>
      <c r="O459" s="1" t="s">
        <v>1025</v>
      </c>
      <c r="P459" s="3" t="str">
        <f>HYPERLINK("https://icf.clappia.com/app/SOM165486/submission/GFM88813049/ICF247370-SOM165486-6aial41kck080000000/SIG-20250703_0802195oh7.jpeg", "SIG-20250703_0802195oh7.jpeg")</f>
        <v>SIG-20250703_0802195oh7.jpeg</v>
      </c>
      <c r="Q459" s="3" t="str">
        <f>HYPERLINK("https://www.google.com/maps/place/7.7799304%2C-11.7243317", "7.7799304,-11.7243317")</f>
        <v>7.7799304,-11.7243317</v>
      </c>
    </row>
    <row r="460" ht="15.75" customHeight="1">
      <c r="A460" s="1" t="s">
        <v>1405</v>
      </c>
      <c r="B460" s="1" t="s">
        <v>18</v>
      </c>
      <c r="C460" s="1" t="s">
        <v>1406</v>
      </c>
      <c r="D460" s="1" t="s">
        <v>1406</v>
      </c>
      <c r="E460" s="2">
        <v>45840.0</v>
      </c>
      <c r="F460" s="1" t="s">
        <v>21</v>
      </c>
      <c r="G460" s="1" t="s">
        <v>95</v>
      </c>
      <c r="H460" s="1" t="s">
        <v>417</v>
      </c>
      <c r="I460" s="1">
        <v>274.0</v>
      </c>
      <c r="J460" s="1">
        <v>600.0</v>
      </c>
      <c r="K460" s="1">
        <v>874.0</v>
      </c>
      <c r="L460" s="1">
        <v>640.0</v>
      </c>
      <c r="M460" s="1">
        <v>234.0</v>
      </c>
      <c r="N460" s="1">
        <v>50.0</v>
      </c>
      <c r="O460" s="1" t="s">
        <v>418</v>
      </c>
      <c r="P460" s="3" t="str">
        <f>HYPERLINK("https://icf.clappia.com/app/SOM165486/submission/DSU09464951/ICF247370-SOM165486-32ni85gglj8e0000000/SIG-20250702_2137113hcl.jpeg", "SIG-20250702_2137113hcl.jpeg")</f>
        <v>SIG-20250702_2137113hcl.jpeg</v>
      </c>
      <c r="Q460" s="3" t="str">
        <f>HYPERLINK("https://www.google.com/maps/place/7.9642447%2C-11.7233941", "7.9642447,-11.7233941")</f>
        <v>7.9642447,-11.7233941</v>
      </c>
    </row>
    <row r="461" ht="15.75" customHeight="1">
      <c r="A461" s="1" t="s">
        <v>1407</v>
      </c>
      <c r="B461" s="1" t="s">
        <v>18</v>
      </c>
      <c r="C461" s="1" t="s">
        <v>1408</v>
      </c>
      <c r="D461" s="1" t="s">
        <v>1408</v>
      </c>
      <c r="E461" s="2">
        <v>45839.0</v>
      </c>
      <c r="F461" s="1" t="s">
        <v>21</v>
      </c>
      <c r="G461" s="1" t="s">
        <v>95</v>
      </c>
      <c r="H461" s="1" t="s">
        <v>417</v>
      </c>
      <c r="I461" s="1">
        <v>899.0</v>
      </c>
      <c r="J461" s="1" t="s">
        <v>24</v>
      </c>
      <c r="K461" s="1">
        <v>899.0</v>
      </c>
      <c r="L461" s="1">
        <v>625.0</v>
      </c>
      <c r="M461" s="1">
        <v>274.0</v>
      </c>
      <c r="N461" s="1" t="s">
        <v>24</v>
      </c>
      <c r="O461" s="1" t="s">
        <v>418</v>
      </c>
      <c r="P461" s="3" t="str">
        <f>HYPERLINK("https://icf.clappia.com/app/SOM165486/submission/MSF46978153/ICF247370-SOM165486-5hibd9mfheio00000000/SIG-20250702_2126i2nlb.jpeg", "SIG-20250702_2126i2nlb.jpeg")</f>
        <v>SIG-20250702_2126i2nlb.jpeg</v>
      </c>
      <c r="Q461" s="3" t="str">
        <f>HYPERLINK("https://www.google.com/maps/place/7.9644354%2C-11.7234978", "7.9644354,-11.7234978")</f>
        <v>7.9644354,-11.7234978</v>
      </c>
    </row>
    <row r="462" ht="15.75" customHeight="1">
      <c r="A462" s="1" t="s">
        <v>1409</v>
      </c>
      <c r="B462" s="1" t="s">
        <v>18</v>
      </c>
      <c r="C462" s="1" t="s">
        <v>1410</v>
      </c>
      <c r="D462" s="1" t="s">
        <v>1410</v>
      </c>
      <c r="E462" s="2">
        <v>45839.0</v>
      </c>
      <c r="F462" s="1" t="s">
        <v>21</v>
      </c>
      <c r="G462" s="1" t="s">
        <v>95</v>
      </c>
      <c r="H462" s="1" t="s">
        <v>417</v>
      </c>
      <c r="I462" s="1">
        <v>899.0</v>
      </c>
      <c r="J462" s="1" t="s">
        <v>24</v>
      </c>
      <c r="K462" s="1">
        <v>899.0</v>
      </c>
      <c r="L462" s="1">
        <v>625.0</v>
      </c>
      <c r="M462" s="1">
        <v>274.0</v>
      </c>
      <c r="N462" s="1" t="s">
        <v>24</v>
      </c>
      <c r="O462" s="1" t="s">
        <v>418</v>
      </c>
      <c r="P462" s="3" t="str">
        <f>HYPERLINK("https://icf.clappia.com/app/SOM165486/submission/QDK74865317/ICF247370-SOM165486-5hibd9mfheio00000000/SIG-20250702_2126i2nlb.jpeg", "SIG-20250702_2126i2nlb.jpeg")</f>
        <v>SIG-20250702_2126i2nlb.jpeg</v>
      </c>
      <c r="Q462" s="3" t="str">
        <f>HYPERLINK("https://www.google.com/maps/place/7.9642363%2C-11.7235193", "7.9642363,-11.7235193")</f>
        <v>7.9642363,-11.7235193</v>
      </c>
    </row>
    <row r="463" ht="15.75" customHeight="1">
      <c r="A463" s="1" t="s">
        <v>1411</v>
      </c>
      <c r="B463" s="1" t="s">
        <v>18</v>
      </c>
      <c r="C463" s="1" t="s">
        <v>1412</v>
      </c>
      <c r="D463" s="1" t="s">
        <v>1412</v>
      </c>
      <c r="E463" s="2">
        <v>45838.0</v>
      </c>
      <c r="F463" s="1" t="s">
        <v>21</v>
      </c>
      <c r="G463" s="1" t="s">
        <v>95</v>
      </c>
      <c r="H463" s="1" t="s">
        <v>417</v>
      </c>
      <c r="I463" s="1">
        <v>1238.0</v>
      </c>
      <c r="J463" s="1" t="s">
        <v>24</v>
      </c>
      <c r="K463" s="1">
        <v>1238.0</v>
      </c>
      <c r="L463" s="1">
        <v>339.0</v>
      </c>
      <c r="M463" s="1">
        <v>899.0</v>
      </c>
      <c r="N463" s="1" t="s">
        <v>24</v>
      </c>
      <c r="O463" s="1" t="s">
        <v>418</v>
      </c>
      <c r="P463" s="3" t="str">
        <f>HYPERLINK("https://icf.clappia.com/app/SOM165486/submission/ZBJ81343646/ICF247370-SOM165486-6ah4jckgnpac00000000/SIG-20250702_211815np68.jpeg", "SIG-20250702_211815np68.jpeg")</f>
        <v>SIG-20250702_211815np68.jpeg</v>
      </c>
      <c r="Q463" s="3" t="str">
        <f>HYPERLINK("https://www.google.com/maps/place/7.9643397%2C-11.7234695", "7.9643397,-11.7234695")</f>
        <v>7.9643397,-11.7234695</v>
      </c>
    </row>
    <row r="464" ht="15.75" customHeight="1">
      <c r="A464" s="1" t="s">
        <v>1413</v>
      </c>
      <c r="B464" s="1" t="s">
        <v>18</v>
      </c>
      <c r="C464" s="1" t="s">
        <v>1414</v>
      </c>
      <c r="D464" s="1" t="s">
        <v>1414</v>
      </c>
      <c r="E464" s="2">
        <v>45840.0</v>
      </c>
      <c r="F464" s="1" t="s">
        <v>68</v>
      </c>
      <c r="G464" s="1" t="s">
        <v>385</v>
      </c>
      <c r="H464" s="1" t="s">
        <v>1415</v>
      </c>
      <c r="I464" s="1">
        <v>150.0</v>
      </c>
      <c r="J464" s="1" t="s">
        <v>24</v>
      </c>
      <c r="K464" s="1">
        <v>150.0</v>
      </c>
      <c r="L464" s="1">
        <v>150.0</v>
      </c>
      <c r="M464" s="1" t="s">
        <v>24</v>
      </c>
      <c r="N464" s="1" t="s">
        <v>24</v>
      </c>
      <c r="O464" s="1" t="s">
        <v>829</v>
      </c>
      <c r="P464" s="3" t="str">
        <f>HYPERLINK("https://icf.clappia.com/app/SOM165486/submission/FDB06119009/ICF247370-SOM165486-28pnib9ca0pdg0000000/SIG-20250702_2030mja75.jpeg", "SIG-20250702_2030mja75.jpeg")</f>
        <v>SIG-20250702_2030mja75.jpeg</v>
      </c>
      <c r="Q464" s="3" t="str">
        <f>HYPERLINK("https://www.google.com/maps/place/9.12103%2C-12.1115917", "9.12103,-12.1115917")</f>
        <v>9.12103,-12.1115917</v>
      </c>
    </row>
    <row r="465" ht="15.75" customHeight="1">
      <c r="A465" s="1" t="s">
        <v>1416</v>
      </c>
      <c r="B465" s="1" t="s">
        <v>283</v>
      </c>
      <c r="C465" s="1" t="s">
        <v>1414</v>
      </c>
      <c r="D465" s="1" t="s">
        <v>1414</v>
      </c>
      <c r="E465" s="2">
        <v>45840.0</v>
      </c>
      <c r="F465" s="1" t="s">
        <v>68</v>
      </c>
      <c r="G465" s="1" t="s">
        <v>69</v>
      </c>
      <c r="H465" s="1" t="s">
        <v>1417</v>
      </c>
      <c r="I465" s="1">
        <v>91.0</v>
      </c>
      <c r="J465" s="1" t="s">
        <v>24</v>
      </c>
      <c r="K465" s="1">
        <v>91.0</v>
      </c>
      <c r="L465" s="1">
        <v>91.0</v>
      </c>
      <c r="M465" s="1" t="s">
        <v>24</v>
      </c>
      <c r="N465" s="1" t="s">
        <v>24</v>
      </c>
      <c r="O465" s="1" t="s">
        <v>1418</v>
      </c>
      <c r="P465" s="3" t="str">
        <f>HYPERLINK("https://icf.clappia.com/app/SOM165486/submission/VAZ83569585/ICF247370-SOM165486-3cf90cgl5di800000000/SIG-20250702_2029o1kih.jpeg", "SIG-20250702_2029o1kih.jpeg")</f>
        <v>SIG-20250702_2029o1kih.jpeg</v>
      </c>
      <c r="Q465" s="3" t="str">
        <f>HYPERLINK("https://www.google.com/maps/place/8.7972317%2C-12.3112133", "8.7972317,-12.3112133")</f>
        <v>8.7972317,-12.3112133</v>
      </c>
    </row>
    <row r="466" ht="15.75" customHeight="1">
      <c r="A466" s="1" t="s">
        <v>1419</v>
      </c>
      <c r="B466" s="1" t="s">
        <v>283</v>
      </c>
      <c r="C466" s="1" t="s">
        <v>1420</v>
      </c>
      <c r="D466" s="1" t="s">
        <v>1420</v>
      </c>
      <c r="E466" s="2">
        <v>45840.0</v>
      </c>
      <c r="F466" s="1" t="s">
        <v>68</v>
      </c>
      <c r="G466" s="1" t="s">
        <v>69</v>
      </c>
      <c r="H466" s="1" t="s">
        <v>1417</v>
      </c>
      <c r="I466" s="1">
        <v>164.0</v>
      </c>
      <c r="J466" s="1" t="s">
        <v>24</v>
      </c>
      <c r="K466" s="1">
        <v>164.0</v>
      </c>
      <c r="L466" s="1">
        <v>164.0</v>
      </c>
      <c r="M466" s="1" t="s">
        <v>24</v>
      </c>
      <c r="N466" s="1" t="s">
        <v>24</v>
      </c>
      <c r="O466" s="1" t="s">
        <v>1418</v>
      </c>
      <c r="P466" s="3" t="str">
        <f>HYPERLINK("https://icf.clappia.com/app/SOM165486/submission/ZYM19654324/ICF247370-SOM165486-129h6gjoii4640000000/SIG-20250702_20061agjkn.jpeg", "SIG-20250702_20061agjkn.jpeg")</f>
        <v>SIG-20250702_20061agjkn.jpeg</v>
      </c>
      <c r="Q466" s="3" t="str">
        <f>HYPERLINK("https://www.google.com/maps/place/8.7974016%2C-12.311195", "8.7974016,-12.311195")</f>
        <v>8.7974016,-12.311195</v>
      </c>
    </row>
    <row r="467" ht="15.75" customHeight="1">
      <c r="A467" s="1" t="s">
        <v>1421</v>
      </c>
      <c r="B467" s="1" t="s">
        <v>18</v>
      </c>
      <c r="C467" s="1" t="s">
        <v>1422</v>
      </c>
      <c r="D467" s="1" t="s">
        <v>1422</v>
      </c>
      <c r="E467" s="2">
        <v>45839.0</v>
      </c>
      <c r="F467" s="1" t="s">
        <v>21</v>
      </c>
      <c r="G467" s="1" t="s">
        <v>164</v>
      </c>
      <c r="H467" s="1" t="s">
        <v>602</v>
      </c>
      <c r="I467" s="1">
        <v>172.0</v>
      </c>
      <c r="J467" s="1" t="s">
        <v>24</v>
      </c>
      <c r="K467" s="1">
        <v>172.0</v>
      </c>
      <c r="L467" s="1">
        <v>135.0</v>
      </c>
      <c r="M467" s="1">
        <v>37.0</v>
      </c>
      <c r="N467" s="1">
        <v>37.0</v>
      </c>
      <c r="O467" s="1" t="s">
        <v>603</v>
      </c>
      <c r="P467" s="3" t="str">
        <f>HYPERLINK("https://icf.clappia.com/app/SOM165486/submission/KAD78359026/ICF247370-SOM165486-2hfc9l34gmpa00000000/SIG-20250702_1943f7iej.jpeg", "SIG-20250702_1943f7iej.jpeg")</f>
        <v>SIG-20250702_1943f7iej.jpeg</v>
      </c>
      <c r="Q467" s="3" t="str">
        <f>HYPERLINK("https://www.google.com/maps/place/7.8910757%2C-12.1045032", "7.8910757,-12.1045032")</f>
        <v>7.8910757,-12.1045032</v>
      </c>
    </row>
    <row r="468" ht="15.75" customHeight="1">
      <c r="A468" s="1" t="s">
        <v>1423</v>
      </c>
      <c r="B468" s="1" t="s">
        <v>18</v>
      </c>
      <c r="C468" s="1" t="s">
        <v>1424</v>
      </c>
      <c r="D468" s="1" t="s">
        <v>1424</v>
      </c>
      <c r="E468" s="2">
        <v>45840.0</v>
      </c>
      <c r="F468" s="1" t="s">
        <v>21</v>
      </c>
      <c r="G468" s="1" t="s">
        <v>164</v>
      </c>
      <c r="H468" s="1" t="s">
        <v>602</v>
      </c>
      <c r="I468" s="1">
        <v>150.0</v>
      </c>
      <c r="J468" s="1" t="s">
        <v>24</v>
      </c>
      <c r="K468" s="1">
        <v>150.0</v>
      </c>
      <c r="L468" s="1">
        <v>141.0</v>
      </c>
      <c r="M468" s="1">
        <v>9.0</v>
      </c>
      <c r="N468" s="1">
        <v>9.0</v>
      </c>
      <c r="O468" s="1" t="s">
        <v>603</v>
      </c>
      <c r="P468" s="3" t="str">
        <f>HYPERLINK("https://icf.clappia.com/app/SOM165486/submission/ESO97720821/ICF247370-SOM165486-1fa5cd2fde07a0000000/SIG-20250702_1934ckd5p.jpeg", "SIG-20250702_1934ckd5p.jpeg")</f>
        <v>SIG-20250702_1934ckd5p.jpeg</v>
      </c>
      <c r="Q468" s="3" t="str">
        <f>HYPERLINK("https://www.google.com/maps/place/7.9466401%2C-12.0884322", "7.9466401,-12.0884322")</f>
        <v>7.9466401,-12.0884322</v>
      </c>
    </row>
    <row r="469" ht="15.75" customHeight="1">
      <c r="A469" s="1" t="s">
        <v>1425</v>
      </c>
      <c r="B469" s="1" t="s">
        <v>18</v>
      </c>
      <c r="C469" s="1" t="s">
        <v>1426</v>
      </c>
      <c r="D469" s="1" t="s">
        <v>1426</v>
      </c>
      <c r="E469" s="2">
        <v>45840.0</v>
      </c>
      <c r="F469" s="1" t="s">
        <v>21</v>
      </c>
      <c r="G469" s="1" t="s">
        <v>95</v>
      </c>
      <c r="H469" s="1" t="s">
        <v>995</v>
      </c>
      <c r="I469" s="1">
        <v>100.0</v>
      </c>
      <c r="J469" s="1" t="s">
        <v>24</v>
      </c>
      <c r="K469" s="1">
        <v>100.0</v>
      </c>
      <c r="L469" s="1">
        <v>88.0</v>
      </c>
      <c r="M469" s="1">
        <v>12.0</v>
      </c>
      <c r="N469" s="1">
        <v>2.0</v>
      </c>
      <c r="O469" s="1" t="s">
        <v>1046</v>
      </c>
      <c r="P469" s="3" t="str">
        <f>HYPERLINK("https://icf.clappia.com/app/SOM165486/submission/AGF85323729/ICF247370-SOM165486-4dd377oggceo00000000/SIG-20250702_1857i2afd.jpeg", "SIG-20250702_1857i2afd.jpeg")</f>
        <v>SIG-20250702_1857i2afd.jpeg</v>
      </c>
      <c r="Q469" s="3" t="str">
        <f>HYPERLINK("https://www.google.com/maps/place/7.9777823%2C-11.5934919", "7.9777823,-11.5934919")</f>
        <v>7.9777823,-11.5934919</v>
      </c>
    </row>
    <row r="470" ht="15.75" customHeight="1">
      <c r="A470" s="1" t="s">
        <v>1427</v>
      </c>
      <c r="B470" s="1" t="s">
        <v>18</v>
      </c>
      <c r="C470" s="1" t="s">
        <v>1428</v>
      </c>
      <c r="D470" s="1" t="s">
        <v>1428</v>
      </c>
      <c r="E470" s="2">
        <v>45840.0</v>
      </c>
      <c r="F470" s="1" t="s">
        <v>21</v>
      </c>
      <c r="G470" s="1" t="s">
        <v>95</v>
      </c>
      <c r="H470" s="1" t="s">
        <v>995</v>
      </c>
      <c r="I470" s="1">
        <v>150.0</v>
      </c>
      <c r="J470" s="1">
        <v>10.0</v>
      </c>
      <c r="K470" s="1">
        <v>160.0</v>
      </c>
      <c r="L470" s="1">
        <v>160.0</v>
      </c>
      <c r="M470" s="1" t="s">
        <v>24</v>
      </c>
      <c r="N470" s="1" t="s">
        <v>24</v>
      </c>
      <c r="O470" s="1" t="s">
        <v>996</v>
      </c>
      <c r="P470" s="3" t="str">
        <f>HYPERLINK("https://icf.clappia.com/app/SOM165486/submission/PUX95904577/ICF247370-SOM165486-17me8c4mb2jjm0000000/SIG-20250702_1853h9apc.jpeg", "SIG-20250702_1853h9apc.jpeg")</f>
        <v>SIG-20250702_1853h9apc.jpeg</v>
      </c>
      <c r="Q470" s="3" t="str">
        <f>HYPERLINK("https://www.google.com/maps/place/7.9783298%2C-11.5936117", "7.9783298,-11.5936117")</f>
        <v>7.9783298,-11.5936117</v>
      </c>
    </row>
    <row r="471" ht="15.75" customHeight="1">
      <c r="A471" s="1" t="s">
        <v>1429</v>
      </c>
      <c r="B471" s="1" t="s">
        <v>18</v>
      </c>
      <c r="C471" s="1" t="s">
        <v>1430</v>
      </c>
      <c r="D471" s="1" t="s">
        <v>1430</v>
      </c>
      <c r="E471" s="2">
        <v>45838.0</v>
      </c>
      <c r="F471" s="1" t="s">
        <v>21</v>
      </c>
      <c r="G471" s="1" t="s">
        <v>35</v>
      </c>
      <c r="H471" s="1" t="s">
        <v>51</v>
      </c>
      <c r="I471" s="1">
        <v>300.0</v>
      </c>
      <c r="J471" s="1" t="s">
        <v>24</v>
      </c>
      <c r="K471" s="1">
        <v>300.0</v>
      </c>
      <c r="L471" s="1">
        <v>236.0</v>
      </c>
      <c r="M471" s="1">
        <v>64.0</v>
      </c>
      <c r="N471" s="1">
        <v>64.0</v>
      </c>
      <c r="O471" s="1" t="s">
        <v>1431</v>
      </c>
      <c r="P471" s="3" t="str">
        <f>HYPERLINK("https://icf.clappia.com/app/SOM165486/submission/BDH33921990/ICF247370-SOM165486-4fjnpmaa7op600000000/SIG-20250702_1842n2hj1.jpeg", "SIG-20250702_1842n2hj1.jpeg")</f>
        <v>SIG-20250702_1842n2hj1.jpeg</v>
      </c>
      <c r="Q471" s="3" t="str">
        <f>HYPERLINK("https://www.google.com/maps/place/8.3230316%2C-11.7344317", "8.3230316,-11.7344317")</f>
        <v>8.3230316,-11.7344317</v>
      </c>
    </row>
    <row r="472" ht="15.75" customHeight="1">
      <c r="A472" s="1" t="s">
        <v>1432</v>
      </c>
      <c r="B472" s="1" t="s">
        <v>18</v>
      </c>
      <c r="C472" s="1" t="s">
        <v>1430</v>
      </c>
      <c r="D472" s="1" t="s">
        <v>1430</v>
      </c>
      <c r="E472" s="2">
        <v>45840.0</v>
      </c>
      <c r="F472" s="1" t="s">
        <v>21</v>
      </c>
      <c r="G472" s="1" t="s">
        <v>95</v>
      </c>
      <c r="H472" s="1" t="s">
        <v>995</v>
      </c>
      <c r="I472" s="1">
        <v>450.0</v>
      </c>
      <c r="J472" s="1" t="s">
        <v>24</v>
      </c>
      <c r="K472" s="1">
        <v>450.0</v>
      </c>
      <c r="L472" s="1">
        <v>446.0</v>
      </c>
      <c r="M472" s="1">
        <v>4.0</v>
      </c>
      <c r="N472" s="1">
        <v>4.0</v>
      </c>
      <c r="O472" s="1" t="s">
        <v>1433</v>
      </c>
      <c r="P472" s="3" t="str">
        <f>HYPERLINK("https://icf.clappia.com/app/SOM165486/submission/LLC26118633/ICF247370-SOM165486-5ofi13bh4ibm00000000/SIG-20250702_1848mbf2g.jpeg", "SIG-20250702_1848mbf2g.jpeg")</f>
        <v>SIG-20250702_1848mbf2g.jpeg</v>
      </c>
      <c r="Q472" s="3" t="str">
        <f>HYPERLINK("https://www.google.com/maps/place/7.97805%2C-11.5932133", "7.97805,-11.5932133")</f>
        <v>7.97805,-11.5932133</v>
      </c>
    </row>
    <row r="473" ht="15.75" customHeight="1">
      <c r="A473" s="1" t="s">
        <v>1434</v>
      </c>
      <c r="B473" s="1" t="s">
        <v>18</v>
      </c>
      <c r="C473" s="1" t="s">
        <v>1435</v>
      </c>
      <c r="D473" s="1" t="s">
        <v>1435</v>
      </c>
      <c r="E473" s="2">
        <v>45838.0</v>
      </c>
      <c r="F473" s="1" t="s">
        <v>21</v>
      </c>
      <c r="G473" s="1" t="s">
        <v>35</v>
      </c>
      <c r="H473" s="1" t="s">
        <v>51</v>
      </c>
      <c r="I473" s="1">
        <v>175.0</v>
      </c>
      <c r="J473" s="1" t="s">
        <v>24</v>
      </c>
      <c r="K473" s="1">
        <v>175.0</v>
      </c>
      <c r="L473" s="1">
        <v>160.0</v>
      </c>
      <c r="M473" s="1">
        <v>15.0</v>
      </c>
      <c r="N473" s="1">
        <v>15.0</v>
      </c>
      <c r="O473" s="1" t="s">
        <v>1431</v>
      </c>
      <c r="P473" s="3" t="str">
        <f>HYPERLINK("https://icf.clappia.com/app/SOM165486/submission/YJZ32392594/ICF247370-SOM165486-2cmjd3om8epi00000000/SIG-20250702_183012546g.jpeg", "SIG-20250702_183012546g.jpeg")</f>
        <v>SIG-20250702_183012546g.jpeg</v>
      </c>
      <c r="Q473" s="3" t="str">
        <f>HYPERLINK("https://www.google.com/maps/place/8.3227766%2C-11.7343317", "8.3227766,-11.7343317")</f>
        <v>8.3227766,-11.7343317</v>
      </c>
    </row>
    <row r="474" ht="15.75" customHeight="1">
      <c r="A474" s="1" t="s">
        <v>1436</v>
      </c>
      <c r="B474" s="1" t="s">
        <v>18</v>
      </c>
      <c r="C474" s="1" t="s">
        <v>1437</v>
      </c>
      <c r="D474" s="1" t="s">
        <v>1437</v>
      </c>
      <c r="E474" s="2">
        <v>45840.0</v>
      </c>
      <c r="F474" s="1" t="s">
        <v>68</v>
      </c>
      <c r="G474" s="1" t="s">
        <v>248</v>
      </c>
      <c r="H474" s="1" t="s">
        <v>264</v>
      </c>
      <c r="I474" s="1">
        <v>200.0</v>
      </c>
      <c r="J474" s="1" t="s">
        <v>24</v>
      </c>
      <c r="K474" s="1">
        <v>200.0</v>
      </c>
      <c r="L474" s="1">
        <v>200.0</v>
      </c>
      <c r="M474" s="1" t="s">
        <v>24</v>
      </c>
      <c r="N474" s="1" t="s">
        <v>24</v>
      </c>
      <c r="O474" s="1" t="s">
        <v>1438</v>
      </c>
      <c r="P474" s="3" t="str">
        <f>HYPERLINK("https://icf.clappia.com/app/SOM165486/submission/KBZ67404673/ICF247370-SOM165486-48o839h3555e00000000/SIG-20250702_182912ckh4.jpeg", "SIG-20250702_182912ckh4.jpeg")</f>
        <v>SIG-20250702_182912ckh4.jpeg</v>
      </c>
      <c r="Q474" s="3" t="str">
        <f>HYPERLINK("https://www.google.com/maps/place/9.3674091%2C-11.9743868", "9.3674091,-11.9743868")</f>
        <v>9.3674091,-11.9743868</v>
      </c>
    </row>
    <row r="475" ht="15.75" customHeight="1">
      <c r="A475" s="1" t="s">
        <v>1439</v>
      </c>
      <c r="B475" s="1" t="s">
        <v>18</v>
      </c>
      <c r="C475" s="1" t="s">
        <v>1440</v>
      </c>
      <c r="D475" s="1" t="s">
        <v>1440</v>
      </c>
      <c r="E475" s="2">
        <v>45840.0</v>
      </c>
      <c r="F475" s="1" t="s">
        <v>21</v>
      </c>
      <c r="G475" s="1" t="s">
        <v>58</v>
      </c>
      <c r="H475" s="1" t="s">
        <v>147</v>
      </c>
      <c r="I475" s="1">
        <v>185.0</v>
      </c>
      <c r="J475" s="1" t="s">
        <v>24</v>
      </c>
      <c r="K475" s="1">
        <v>185.0</v>
      </c>
      <c r="L475" s="1">
        <v>95.0</v>
      </c>
      <c r="M475" s="1">
        <v>90.0</v>
      </c>
      <c r="N475" s="1">
        <v>90.0</v>
      </c>
      <c r="O475" s="1" t="s">
        <v>1441</v>
      </c>
      <c r="P475" s="3" t="str">
        <f>HYPERLINK("https://icf.clappia.com/app/SOM165486/submission/CSB63200433/ICF247370-SOM165486-3i315on8177g00000000/SIG-20250702_1823h033.jpeg", "SIG-20250702_1823h033.jpeg")</f>
        <v>SIG-20250702_1823h033.jpeg</v>
      </c>
      <c r="Q475" s="3" t="str">
        <f>HYPERLINK("https://www.google.com/maps/place/7.8784374%2C-11.7813507", "7.8784374,-11.7813507")</f>
        <v>7.8784374,-11.7813507</v>
      </c>
    </row>
    <row r="476" ht="15.75" customHeight="1">
      <c r="A476" s="1" t="s">
        <v>1442</v>
      </c>
      <c r="B476" s="1" t="s">
        <v>18</v>
      </c>
      <c r="C476" s="1" t="s">
        <v>300</v>
      </c>
      <c r="D476" s="1" t="s">
        <v>300</v>
      </c>
      <c r="E476" s="2">
        <v>45840.0</v>
      </c>
      <c r="F476" s="1" t="s">
        <v>21</v>
      </c>
      <c r="G476" s="1" t="s">
        <v>164</v>
      </c>
      <c r="H476" s="1" t="s">
        <v>887</v>
      </c>
      <c r="I476" s="1">
        <v>223.0</v>
      </c>
      <c r="J476" s="1" t="s">
        <v>24</v>
      </c>
      <c r="K476" s="1">
        <v>223.0</v>
      </c>
      <c r="L476" s="1">
        <v>88.0</v>
      </c>
      <c r="M476" s="1">
        <v>135.0</v>
      </c>
      <c r="N476" s="1">
        <v>135.0</v>
      </c>
      <c r="O476" s="1" t="s">
        <v>1443</v>
      </c>
      <c r="P476" s="3" t="str">
        <f>HYPERLINK("https://icf.clappia.com/app/SOM165486/submission/OSE32966161/ICF247370-SOM165486-26oo5bf79l3600000000/SIG-20250702_1821ibljc.jpeg", "SIG-20250702_1821ibljc.jpeg")</f>
        <v>SIG-20250702_1821ibljc.jpeg</v>
      </c>
      <c r="Q476" s="3" t="str">
        <f>HYPERLINK("https://www.google.com/maps/place/7.8893448%2C-11.9033876", "7.8893448,-11.9033876")</f>
        <v>7.8893448,-11.9033876</v>
      </c>
    </row>
    <row r="477" ht="15.75" customHeight="1">
      <c r="A477" s="1" t="s">
        <v>1444</v>
      </c>
      <c r="B477" s="1" t="s">
        <v>18</v>
      </c>
      <c r="C477" s="1" t="s">
        <v>1445</v>
      </c>
      <c r="D477" s="1" t="s">
        <v>1445</v>
      </c>
      <c r="E477" s="2">
        <v>45840.0</v>
      </c>
      <c r="F477" s="1" t="s">
        <v>21</v>
      </c>
      <c r="G477" s="1" t="s">
        <v>58</v>
      </c>
      <c r="H477" s="1" t="s">
        <v>147</v>
      </c>
      <c r="I477" s="1">
        <v>185.0</v>
      </c>
      <c r="J477" s="1" t="s">
        <v>24</v>
      </c>
      <c r="K477" s="1">
        <v>185.0</v>
      </c>
      <c r="L477" s="1">
        <v>95.0</v>
      </c>
      <c r="M477" s="1">
        <v>90.0</v>
      </c>
      <c r="N477" s="1">
        <v>90.0</v>
      </c>
      <c r="O477" s="1" t="s">
        <v>148</v>
      </c>
      <c r="P477" s="3" t="str">
        <f>HYPERLINK("https://icf.clappia.com/app/SOM165486/submission/EUQ28376284/ICF247370-SOM165486-lgm3m61jmj1a0000000/SIG-20250702_1820f7ack.jpeg", "SIG-20250702_1820f7ack.jpeg")</f>
        <v>SIG-20250702_1820f7ack.jpeg</v>
      </c>
      <c r="Q477" s="3" t="str">
        <f>HYPERLINK("https://www.google.com/maps/place/7.8783954%2C-11.7814828", "7.8783954,-11.7814828")</f>
        <v>7.8783954,-11.7814828</v>
      </c>
    </row>
    <row r="478" ht="15.75" customHeight="1">
      <c r="A478" s="1" t="s">
        <v>1446</v>
      </c>
      <c r="B478" s="1" t="s">
        <v>18</v>
      </c>
      <c r="C478" s="1" t="s">
        <v>1447</v>
      </c>
      <c r="D478" s="1" t="s">
        <v>1447</v>
      </c>
      <c r="E478" s="2">
        <v>45839.0</v>
      </c>
      <c r="F478" s="1" t="s">
        <v>21</v>
      </c>
      <c r="G478" s="1" t="s">
        <v>58</v>
      </c>
      <c r="H478" s="1" t="s">
        <v>580</v>
      </c>
      <c r="I478" s="1">
        <v>150.0</v>
      </c>
      <c r="J478" s="1" t="s">
        <v>24</v>
      </c>
      <c r="K478" s="1">
        <v>150.0</v>
      </c>
      <c r="L478" s="1">
        <v>75.0</v>
      </c>
      <c r="M478" s="1">
        <v>75.0</v>
      </c>
      <c r="N478" s="1">
        <v>75.0</v>
      </c>
      <c r="O478" s="1" t="s">
        <v>1448</v>
      </c>
      <c r="P478" s="3" t="str">
        <f>HYPERLINK("https://icf.clappia.com/app/SOM165486/submission/LLH27087643/ICF247370-SOM165486-4lajjnljimii00000000/SIG-20250702_180845m35.jpeg", "SIG-20250702_180845m35.jpeg")</f>
        <v>SIG-20250702_180845m35.jpeg</v>
      </c>
      <c r="Q478" s="3" t="str">
        <f>HYPERLINK("https://www.google.com/maps/place/7.780385%2C-11.7243817", "7.780385,-11.7243817")</f>
        <v>7.780385,-11.7243817</v>
      </c>
    </row>
    <row r="479" ht="15.75" customHeight="1">
      <c r="A479" s="1" t="s">
        <v>1449</v>
      </c>
      <c r="B479" s="1" t="s">
        <v>18</v>
      </c>
      <c r="C479" s="1" t="s">
        <v>1450</v>
      </c>
      <c r="D479" s="1" t="s">
        <v>1451</v>
      </c>
      <c r="E479" s="2">
        <v>45840.0</v>
      </c>
      <c r="F479" s="1" t="s">
        <v>21</v>
      </c>
      <c r="G479" s="1" t="s">
        <v>95</v>
      </c>
      <c r="H479" s="1" t="s">
        <v>391</v>
      </c>
      <c r="I479" s="1">
        <v>300.0</v>
      </c>
      <c r="J479" s="1" t="s">
        <v>24</v>
      </c>
      <c r="K479" s="1">
        <v>300.0</v>
      </c>
      <c r="L479" s="1">
        <v>281.0</v>
      </c>
      <c r="M479" s="1">
        <v>19.0</v>
      </c>
      <c r="N479" s="1">
        <v>19.0</v>
      </c>
      <c r="O479" s="1" t="s">
        <v>392</v>
      </c>
      <c r="P479" s="3" t="str">
        <f>HYPERLINK("https://icf.clappia.com/app/SOM165486/submission/TBC73893139/ICF247370-SOM165486-2gcieopa6hdm00000000/SIG-20250702_1618i09jf.jpeg", "SIG-20250702_1618i09jf.jpeg")</f>
        <v>SIG-20250702_1618i09jf.jpeg</v>
      </c>
      <c r="Q479" s="3" t="str">
        <f>HYPERLINK("https://www.google.com/maps/place/8.0225517%2C-11.6437683", "8.0225517,-11.6437683")</f>
        <v>8.0225517,-11.6437683</v>
      </c>
    </row>
    <row r="480" ht="15.75" customHeight="1">
      <c r="A480" s="1" t="s">
        <v>1452</v>
      </c>
      <c r="B480" s="1" t="s">
        <v>18</v>
      </c>
      <c r="C480" s="1" t="s">
        <v>1453</v>
      </c>
      <c r="D480" s="1" t="s">
        <v>1451</v>
      </c>
      <c r="E480" s="2">
        <v>45840.0</v>
      </c>
      <c r="F480" s="1" t="s">
        <v>21</v>
      </c>
      <c r="G480" s="1" t="s">
        <v>95</v>
      </c>
      <c r="H480" s="1" t="s">
        <v>391</v>
      </c>
      <c r="I480" s="1">
        <v>100.0</v>
      </c>
      <c r="J480" s="1" t="s">
        <v>24</v>
      </c>
      <c r="K480" s="1">
        <v>100.0</v>
      </c>
      <c r="L480" s="1">
        <v>74.0</v>
      </c>
      <c r="M480" s="1">
        <v>26.0</v>
      </c>
      <c r="N480" s="1">
        <v>26.0</v>
      </c>
      <c r="O480" s="1" t="s">
        <v>392</v>
      </c>
      <c r="P480" s="3" t="str">
        <f>HYPERLINK("https://icf.clappia.com/app/SOM165486/submission/KAV71821046/ICF247370-SOM165486-14l5jfhj6bl3m0000000/SIG-20250702_160541g2.jpeg", "SIG-20250702_160541g2.jpeg")</f>
        <v>SIG-20250702_160541g2.jpeg</v>
      </c>
    </row>
    <row r="481" ht="15.75" customHeight="1">
      <c r="A481" s="1" t="s">
        <v>1454</v>
      </c>
      <c r="B481" s="1" t="s">
        <v>18</v>
      </c>
      <c r="C481" s="1" t="s">
        <v>1455</v>
      </c>
      <c r="D481" s="1" t="s">
        <v>1455</v>
      </c>
      <c r="E481" s="2">
        <v>45838.0</v>
      </c>
      <c r="F481" s="1" t="s">
        <v>21</v>
      </c>
      <c r="G481" s="1" t="s">
        <v>58</v>
      </c>
      <c r="H481" s="1" t="s">
        <v>580</v>
      </c>
      <c r="I481" s="1">
        <v>100.0</v>
      </c>
      <c r="J481" s="1">
        <v>50.0</v>
      </c>
      <c r="K481" s="1">
        <v>150.0</v>
      </c>
      <c r="L481" s="1">
        <v>141.0</v>
      </c>
      <c r="M481" s="1">
        <v>9.0</v>
      </c>
      <c r="N481" s="1">
        <v>9.0</v>
      </c>
      <c r="O481" s="1" t="s">
        <v>1456</v>
      </c>
      <c r="P481" s="3" t="str">
        <f>HYPERLINK("https://icf.clappia.com/app/SOM165486/submission/IBH79983609/ICF247370-SOM165486-apfpd96oielc0000000/SIG-20250702_1801oeob8.jpeg", "SIG-20250702_1801oeob8.jpeg")</f>
        <v>SIG-20250702_1801oeob8.jpeg</v>
      </c>
      <c r="Q481" s="3" t="str">
        <f>HYPERLINK("https://www.google.com/maps/place/7.7803833%2C-11.7243733", "7.7803833,-11.7243733")</f>
        <v>7.7803833,-11.7243733</v>
      </c>
    </row>
    <row r="482" ht="15.75" customHeight="1">
      <c r="A482" s="1" t="s">
        <v>1457</v>
      </c>
      <c r="B482" s="1" t="s">
        <v>18</v>
      </c>
      <c r="C482" s="1" t="s">
        <v>1458</v>
      </c>
      <c r="D482" s="1" t="s">
        <v>1458</v>
      </c>
      <c r="E482" s="2">
        <v>45839.0</v>
      </c>
      <c r="F482" s="1" t="s">
        <v>68</v>
      </c>
      <c r="G482" s="1" t="s">
        <v>672</v>
      </c>
      <c r="H482" s="1" t="s">
        <v>1459</v>
      </c>
      <c r="I482" s="1">
        <v>100.0</v>
      </c>
      <c r="J482" s="1" t="s">
        <v>24</v>
      </c>
      <c r="K482" s="1">
        <v>100.0</v>
      </c>
      <c r="L482" s="1">
        <v>100.0</v>
      </c>
      <c r="M482" s="1" t="s">
        <v>24</v>
      </c>
      <c r="N482" s="1" t="s">
        <v>24</v>
      </c>
      <c r="O482" s="1" t="s">
        <v>1460</v>
      </c>
      <c r="P482" s="3" t="str">
        <f>HYPERLINK("https://icf.clappia.com/app/SOM165486/submission/WGL85333005/ICF247370-SOM165486-17hndnjojn51a0000000/SIG-20250702_1755127b71.jpeg", "SIG-20250702_1755127b71.jpeg")</f>
        <v>SIG-20250702_1755127b71.jpeg</v>
      </c>
      <c r="Q482" s="3" t="str">
        <f>HYPERLINK("https://www.google.com/maps/place/9.0118333%2C-12.0422085", "9.0118333,-12.0422085")</f>
        <v>9.0118333,-12.0422085</v>
      </c>
    </row>
    <row r="483" ht="15.75" customHeight="1">
      <c r="A483" s="1" t="s">
        <v>1461</v>
      </c>
      <c r="B483" s="1" t="s">
        <v>18</v>
      </c>
      <c r="C483" s="1" t="s">
        <v>1462</v>
      </c>
      <c r="D483" s="1" t="s">
        <v>1462</v>
      </c>
      <c r="E483" s="2">
        <v>45840.0</v>
      </c>
      <c r="F483" s="1" t="s">
        <v>21</v>
      </c>
      <c r="G483" s="1" t="s">
        <v>58</v>
      </c>
      <c r="H483" s="1" t="s">
        <v>580</v>
      </c>
      <c r="I483" s="1">
        <v>150.0</v>
      </c>
      <c r="J483" s="1" t="s">
        <v>24</v>
      </c>
      <c r="K483" s="1">
        <v>150.0</v>
      </c>
      <c r="L483" s="1">
        <v>82.0</v>
      </c>
      <c r="M483" s="1">
        <v>68.0</v>
      </c>
      <c r="N483" s="1">
        <v>68.0</v>
      </c>
      <c r="O483" s="1" t="s">
        <v>1448</v>
      </c>
      <c r="P483" s="3" t="str">
        <f>HYPERLINK("https://icf.clappia.com/app/SOM165486/submission/YYD67181629/ICF247370-SOM165486-13e6b7cek64m40000000/SIG-20250702_1754912bp.jpeg", "SIG-20250702_1754912bp.jpeg")</f>
        <v>SIG-20250702_1754912bp.jpeg</v>
      </c>
      <c r="Q483" s="3" t="str">
        <f>HYPERLINK("https://www.google.com/maps/place/7.7788883%2C-11.72619", "7.7788883,-11.72619")</f>
        <v>7.7788883,-11.72619</v>
      </c>
    </row>
    <row r="484" ht="15.75" customHeight="1">
      <c r="A484" s="1" t="s">
        <v>1463</v>
      </c>
      <c r="B484" s="1" t="s">
        <v>18</v>
      </c>
      <c r="C484" s="1" t="s">
        <v>1464</v>
      </c>
      <c r="D484" s="1" t="s">
        <v>1464</v>
      </c>
      <c r="E484" s="2">
        <v>45840.0</v>
      </c>
      <c r="F484" s="1" t="s">
        <v>21</v>
      </c>
      <c r="G484" s="1" t="s">
        <v>781</v>
      </c>
      <c r="H484" s="1" t="s">
        <v>782</v>
      </c>
      <c r="I484" s="1">
        <v>200.0</v>
      </c>
      <c r="J484" s="1" t="s">
        <v>24</v>
      </c>
      <c r="K484" s="1">
        <v>200.0</v>
      </c>
      <c r="L484" s="1">
        <v>150.0</v>
      </c>
      <c r="M484" s="1">
        <v>50.0</v>
      </c>
      <c r="N484" s="1">
        <v>50.0</v>
      </c>
      <c r="O484" s="1" t="s">
        <v>783</v>
      </c>
      <c r="P484" s="3" t="str">
        <f>HYPERLINK("https://icf.clappia.com/app/SOM165486/submission/DEV16689726/ICF247370-SOM165486-1lom538j4a5oi0000000/SIG-20250702_1747e4cbd.jpeg", "SIG-20250702_1747e4cbd.jpeg")</f>
        <v>SIG-20250702_1747e4cbd.jpeg</v>
      </c>
      <c r="Q484" s="3" t="str">
        <f>HYPERLINK("https://www.google.com/maps/place/7.8774083%2C-11.5355717", "7.8774083,-11.5355717")</f>
        <v>7.8774083,-11.5355717</v>
      </c>
    </row>
    <row r="485" ht="15.75" customHeight="1">
      <c r="A485" s="1" t="s">
        <v>1465</v>
      </c>
      <c r="B485" s="1" t="s">
        <v>18</v>
      </c>
      <c r="C485" s="1" t="s">
        <v>1466</v>
      </c>
      <c r="D485" s="1" t="s">
        <v>1466</v>
      </c>
      <c r="E485" s="2">
        <v>45840.0</v>
      </c>
      <c r="F485" s="1" t="s">
        <v>68</v>
      </c>
      <c r="G485" s="1" t="s">
        <v>286</v>
      </c>
      <c r="H485" s="1" t="s">
        <v>320</v>
      </c>
      <c r="I485" s="1">
        <v>200.0</v>
      </c>
      <c r="J485" s="1" t="s">
        <v>24</v>
      </c>
      <c r="K485" s="1">
        <v>200.0</v>
      </c>
      <c r="L485" s="1">
        <v>200.0</v>
      </c>
      <c r="M485" s="1" t="s">
        <v>24</v>
      </c>
      <c r="N485" s="1" t="s">
        <v>24</v>
      </c>
      <c r="O485" s="1" t="s">
        <v>1467</v>
      </c>
      <c r="P485" s="3" t="str">
        <f>HYPERLINK("https://icf.clappia.com/app/SOM165486/submission/KNM42315075/ICF247370-SOM165486-4c3kh45blc9a00000000/SIG-20250702_1742lnelm.jpeg", "SIG-20250702_1742lnelm.jpeg")</f>
        <v>SIG-20250702_1742lnelm.jpeg</v>
      </c>
      <c r="Q485" s="3" t="str">
        <f>HYPERLINK("https://www.google.com/maps/place/9.0299642%2C-12.1578232", "9.0299642,-12.1578232")</f>
        <v>9.0299642,-12.1578232</v>
      </c>
    </row>
    <row r="486" ht="15.75" customHeight="1">
      <c r="A486" s="1" t="s">
        <v>1468</v>
      </c>
      <c r="B486" s="1" t="s">
        <v>18</v>
      </c>
      <c r="C486" s="1" t="s">
        <v>1469</v>
      </c>
      <c r="D486" s="1" t="s">
        <v>1469</v>
      </c>
      <c r="E486" s="2">
        <v>45840.0</v>
      </c>
      <c r="F486" s="1" t="s">
        <v>21</v>
      </c>
      <c r="G486" s="1" t="s">
        <v>35</v>
      </c>
      <c r="H486" s="1" t="s">
        <v>46</v>
      </c>
      <c r="I486" s="1">
        <v>85.0</v>
      </c>
      <c r="J486" s="1" t="s">
        <v>24</v>
      </c>
      <c r="K486" s="1">
        <v>85.0</v>
      </c>
      <c r="L486" s="1">
        <v>83.0</v>
      </c>
      <c r="M486" s="1">
        <v>2.0</v>
      </c>
      <c r="N486" s="1" t="s">
        <v>24</v>
      </c>
      <c r="O486" s="1" t="s">
        <v>1470</v>
      </c>
      <c r="P486" s="3" t="str">
        <f>HYPERLINK("https://icf.clappia.com/app/SOM165486/submission/ABX34319587/ICF247370-SOM165486-173kobn04h8ak0000000/SIG-20250702_1713dmhm0.jpeg", "SIG-20250702_1713dmhm0.jpeg")</f>
        <v>SIG-20250702_1713dmhm0.jpeg</v>
      </c>
      <c r="Q486" s="3" t="str">
        <f>HYPERLINK("https://www.google.com/maps/place/8.4167629%2C-11.6674707", "8.4167629,-11.6674707")</f>
        <v>8.4167629,-11.6674707</v>
      </c>
    </row>
    <row r="487" ht="15.75" customHeight="1">
      <c r="A487" s="1" t="s">
        <v>1471</v>
      </c>
      <c r="B487" s="1" t="s">
        <v>18</v>
      </c>
      <c r="C487" s="1" t="s">
        <v>1472</v>
      </c>
      <c r="D487" s="1" t="s">
        <v>1472</v>
      </c>
      <c r="E487" s="2">
        <v>45840.0</v>
      </c>
      <c r="F487" s="1" t="s">
        <v>21</v>
      </c>
      <c r="G487" s="1" t="s">
        <v>95</v>
      </c>
      <c r="H487" s="1" t="s">
        <v>710</v>
      </c>
      <c r="I487" s="1">
        <v>342.0</v>
      </c>
      <c r="J487" s="1" t="s">
        <v>24</v>
      </c>
      <c r="K487" s="1">
        <v>342.0</v>
      </c>
      <c r="L487" s="1">
        <v>342.0</v>
      </c>
      <c r="M487" s="1" t="s">
        <v>24</v>
      </c>
      <c r="N487" s="1" t="s">
        <v>24</v>
      </c>
      <c r="O487" s="1" t="s">
        <v>1473</v>
      </c>
      <c r="P487" s="3" t="str">
        <f>HYPERLINK("https://icf.clappia.com/app/SOM165486/submission/NJK32391598/ICF247370-SOM165486-1c2ikehdkej360000000/SIG-20250702_17055cogm.jpeg", "SIG-20250702_17055cogm.jpeg")</f>
        <v>SIG-20250702_17055cogm.jpeg</v>
      </c>
      <c r="Q487" s="3" t="str">
        <f>HYPERLINK("https://www.google.com/maps/place/7.9501076%2C-11.7130953", "7.9501076,-11.7130953")</f>
        <v>7.9501076,-11.7130953</v>
      </c>
    </row>
    <row r="488" ht="15.75" customHeight="1">
      <c r="A488" s="1" t="s">
        <v>1474</v>
      </c>
      <c r="B488" s="1" t="s">
        <v>283</v>
      </c>
      <c r="C488" s="1" t="s">
        <v>1475</v>
      </c>
      <c r="D488" s="1" t="s">
        <v>1475</v>
      </c>
      <c r="E488" s="2">
        <v>45840.0</v>
      </c>
      <c r="F488" s="1" t="s">
        <v>68</v>
      </c>
      <c r="G488" s="1" t="s">
        <v>340</v>
      </c>
      <c r="H488" s="1" t="s">
        <v>1476</v>
      </c>
      <c r="I488" s="1">
        <v>217.0</v>
      </c>
      <c r="J488" s="1" t="s">
        <v>24</v>
      </c>
      <c r="K488" s="1">
        <v>217.0</v>
      </c>
      <c r="L488" s="1">
        <v>199.0</v>
      </c>
      <c r="M488" s="1">
        <v>18.0</v>
      </c>
      <c r="N488" s="1">
        <v>18.0</v>
      </c>
      <c r="O488" s="1" t="s">
        <v>1477</v>
      </c>
      <c r="P488" s="3" t="str">
        <f>HYPERLINK("https://icf.clappia.com/app/SOM165486/submission/GUR78591669/ICF247370-SOM165486-5n0nd5a6e7ea00000000/SIG-20250702_1659nidnl.jpeg", "SIG-20250702_1659nidnl.jpeg")</f>
        <v>SIG-20250702_1659nidnl.jpeg</v>
      </c>
      <c r="Q488" s="3" t="str">
        <f>HYPERLINK("https://www.google.com/maps/place/9.420085%2C-11.9106483", "9.420085,-11.9106483")</f>
        <v>9.420085,-11.9106483</v>
      </c>
    </row>
    <row r="489" ht="15.75" customHeight="1">
      <c r="A489" s="1" t="s">
        <v>1478</v>
      </c>
      <c r="B489" s="1" t="s">
        <v>283</v>
      </c>
      <c r="C489" s="1" t="s">
        <v>1479</v>
      </c>
      <c r="D489" s="1" t="s">
        <v>1479</v>
      </c>
      <c r="E489" s="2">
        <v>45839.0</v>
      </c>
      <c r="F489" s="1" t="s">
        <v>68</v>
      </c>
      <c r="G489" s="1" t="s">
        <v>340</v>
      </c>
      <c r="H489" s="1" t="s">
        <v>906</v>
      </c>
      <c r="I489" s="1">
        <v>236.0</v>
      </c>
      <c r="J489" s="1" t="s">
        <v>24</v>
      </c>
      <c r="K489" s="1">
        <v>236.0</v>
      </c>
      <c r="L489" s="1">
        <v>211.0</v>
      </c>
      <c r="M489" s="1">
        <v>25.0</v>
      </c>
      <c r="N489" s="1">
        <v>25.0</v>
      </c>
      <c r="O489" s="1" t="s">
        <v>907</v>
      </c>
      <c r="P489" s="3" t="str">
        <f>HYPERLINK("https://icf.clappia.com/app/SOM165486/submission/DVM75390218/ICF247370-SOM165486-46gmj13e3n7c00000000/SIG-20250702_1657d9jp2.jpeg", "SIG-20250702_1657d9jp2.jpeg")</f>
        <v>SIG-20250702_1657d9jp2.jpeg</v>
      </c>
      <c r="Q489" s="3" t="str">
        <f>HYPERLINK("https://www.google.com/maps/place/9.26856%2C-11.9738017", "9.26856,-11.9738017")</f>
        <v>9.26856,-11.9738017</v>
      </c>
    </row>
    <row r="490" ht="15.75" customHeight="1">
      <c r="A490" s="1" t="s">
        <v>1480</v>
      </c>
      <c r="B490" s="1" t="s">
        <v>18</v>
      </c>
      <c r="C490" s="1" t="s">
        <v>1481</v>
      </c>
      <c r="D490" s="1" t="s">
        <v>1481</v>
      </c>
      <c r="E490" s="2">
        <v>45840.0</v>
      </c>
      <c r="F490" s="1" t="s">
        <v>68</v>
      </c>
      <c r="G490" s="1" t="s">
        <v>672</v>
      </c>
      <c r="H490" s="1" t="s">
        <v>673</v>
      </c>
      <c r="I490" s="1">
        <v>200.0</v>
      </c>
      <c r="J490" s="1" t="s">
        <v>24</v>
      </c>
      <c r="K490" s="1">
        <v>200.0</v>
      </c>
      <c r="L490" s="1">
        <v>151.0</v>
      </c>
      <c r="M490" s="1">
        <v>49.0</v>
      </c>
      <c r="N490" s="1">
        <v>49.0</v>
      </c>
      <c r="O490" s="1" t="s">
        <v>1482</v>
      </c>
      <c r="P490" s="3" t="str">
        <f>HYPERLINK("https://icf.clappia.com/app/SOM165486/submission/RFT81001735/ICF247370-SOM165486-4ec9m3bnkb1200000000/SIG-20250702_1655l84p.jpeg", "SIG-20250702_1655l84p.jpeg")</f>
        <v>SIG-20250702_1655l84p.jpeg</v>
      </c>
      <c r="Q490" s="3" t="str">
        <f>HYPERLINK("https://www.google.com/maps/place/8.9503112%2C-11.9822349", "8.9503112,-11.9822349")</f>
        <v>8.9503112,-11.9822349</v>
      </c>
    </row>
    <row r="491" ht="15.75" customHeight="1">
      <c r="A491" s="1" t="s">
        <v>1483</v>
      </c>
      <c r="B491" s="1" t="s">
        <v>18</v>
      </c>
      <c r="C491" s="1" t="s">
        <v>1484</v>
      </c>
      <c r="D491" s="1" t="s">
        <v>1484</v>
      </c>
      <c r="E491" s="2">
        <v>45840.0</v>
      </c>
      <c r="F491" s="1" t="s">
        <v>21</v>
      </c>
      <c r="G491" s="1" t="s">
        <v>95</v>
      </c>
      <c r="H491" s="1" t="s">
        <v>710</v>
      </c>
      <c r="I491" s="1">
        <v>153.0</v>
      </c>
      <c r="J491" s="1" t="s">
        <v>24</v>
      </c>
      <c r="K491" s="1">
        <v>153.0</v>
      </c>
      <c r="L491" s="1">
        <v>143.0</v>
      </c>
      <c r="M491" s="1">
        <v>10.0</v>
      </c>
      <c r="N491" s="1">
        <v>10.0</v>
      </c>
      <c r="O491" s="1" t="s">
        <v>1485</v>
      </c>
      <c r="P491" s="3" t="str">
        <f>HYPERLINK("https://icf.clappia.com/app/SOM165486/submission/NBQ14206252/ICF247370-SOM165486-1dldg745e7am40000000/SIG-20250702_16505kand.jpeg", "SIG-20250702_16505kand.jpeg")</f>
        <v>SIG-20250702_16505kand.jpeg</v>
      </c>
      <c r="Q491" s="3" t="str">
        <f>HYPERLINK("https://www.google.com/maps/place/7.9496449%2C-11.7180386", "7.9496449,-11.7180386")</f>
        <v>7.9496449,-11.7180386</v>
      </c>
    </row>
    <row r="492" ht="15.75" customHeight="1">
      <c r="A492" s="1" t="s">
        <v>1486</v>
      </c>
      <c r="B492" s="1" t="s">
        <v>18</v>
      </c>
      <c r="C492" s="1" t="s">
        <v>1484</v>
      </c>
      <c r="D492" s="1" t="s">
        <v>1484</v>
      </c>
      <c r="E492" s="2">
        <v>45839.0</v>
      </c>
      <c r="F492" s="1" t="s">
        <v>21</v>
      </c>
      <c r="G492" s="1" t="s">
        <v>421</v>
      </c>
      <c r="H492" s="1" t="s">
        <v>1487</v>
      </c>
      <c r="I492" s="1">
        <v>31.0</v>
      </c>
      <c r="J492" s="1" t="s">
        <v>24</v>
      </c>
      <c r="K492" s="1">
        <v>31.0</v>
      </c>
      <c r="L492" s="1">
        <v>31.0</v>
      </c>
      <c r="M492" s="1" t="s">
        <v>24</v>
      </c>
      <c r="N492" s="1" t="s">
        <v>24</v>
      </c>
      <c r="O492" s="1" t="s">
        <v>1488</v>
      </c>
      <c r="P492" s="3" t="str">
        <f>HYPERLINK("https://icf.clappia.com/app/SOM165486/submission/HLG56462490/ICF247370-SOM165486-j8nl402348ic0000000/SIG-20250702_1649p1k2g.jpeg", "SIG-20250702_1649p1k2g.jpeg")</f>
        <v>SIG-20250702_1649p1k2g.jpeg</v>
      </c>
      <c r="Q492" s="3" t="str">
        <f>HYPERLINK("https://www.google.com/maps/place/8.16122%2C-11.4838183", "8.16122,-11.4838183")</f>
        <v>8.16122,-11.4838183</v>
      </c>
    </row>
    <row r="493" ht="15.75" customHeight="1">
      <c r="A493" s="1" t="s">
        <v>1489</v>
      </c>
      <c r="B493" s="1" t="s">
        <v>18</v>
      </c>
      <c r="C493" s="1" t="s">
        <v>1490</v>
      </c>
      <c r="D493" s="1" t="s">
        <v>1490</v>
      </c>
      <c r="E493" s="2">
        <v>45840.0</v>
      </c>
      <c r="F493" s="1" t="s">
        <v>21</v>
      </c>
      <c r="G493" s="1" t="s">
        <v>164</v>
      </c>
      <c r="H493" s="1" t="s">
        <v>887</v>
      </c>
      <c r="I493" s="1">
        <v>223.0</v>
      </c>
      <c r="J493" s="1" t="s">
        <v>24</v>
      </c>
      <c r="K493" s="1">
        <v>223.0</v>
      </c>
      <c r="L493" s="1">
        <v>88.0</v>
      </c>
      <c r="M493" s="1">
        <v>135.0</v>
      </c>
      <c r="N493" s="1">
        <v>135.0</v>
      </c>
      <c r="O493" s="1" t="s">
        <v>1491</v>
      </c>
      <c r="P493" s="3" t="str">
        <f>HYPERLINK("https://icf.clappia.com/app/SOM165486/submission/KKA76567936/ICF247370-SOM165486-4e538eaii9c000000000/SIG-20250702_16492jh9d.jpeg", "SIG-20250702_16492jh9d.jpeg")</f>
        <v>SIG-20250702_16492jh9d.jpeg</v>
      </c>
      <c r="Q493" s="3" t="str">
        <f>HYPERLINK("https://www.google.com/maps/place/7.8894581%2C-11.9033411", "7.8894581,-11.9033411")</f>
        <v>7.8894581,-11.9033411</v>
      </c>
    </row>
    <row r="494" ht="15.75" customHeight="1">
      <c r="A494" s="1" t="s">
        <v>1492</v>
      </c>
      <c r="B494" s="1" t="s">
        <v>18</v>
      </c>
      <c r="C494" s="1" t="s">
        <v>1493</v>
      </c>
      <c r="D494" s="1" t="s">
        <v>1493</v>
      </c>
      <c r="E494" s="2">
        <v>45841.0</v>
      </c>
      <c r="F494" s="1" t="s">
        <v>21</v>
      </c>
      <c r="G494" s="1" t="s">
        <v>164</v>
      </c>
      <c r="H494" s="1" t="s">
        <v>887</v>
      </c>
      <c r="I494" s="1">
        <v>223.0</v>
      </c>
      <c r="J494" s="1" t="s">
        <v>24</v>
      </c>
      <c r="K494" s="1">
        <v>223.0</v>
      </c>
      <c r="L494" s="1">
        <v>88.0</v>
      </c>
      <c r="M494" s="1">
        <v>135.0</v>
      </c>
      <c r="N494" s="1">
        <v>135.0</v>
      </c>
      <c r="O494" s="1" t="s">
        <v>1494</v>
      </c>
      <c r="P494" s="3" t="str">
        <f>HYPERLINK("https://icf.clappia.com/app/SOM165486/submission/NGK07196285/ICF247370-SOM165486-28537lkhpj1kc0000000/SIG-20250702_1646khlad.jpeg", "SIG-20250702_1646khlad.jpeg")</f>
        <v>SIG-20250702_1646khlad.jpeg</v>
      </c>
      <c r="Q494" s="3" t="str">
        <f>HYPERLINK("https://www.google.com/maps/place/7.8895364%2C-11.9033068", "7.8895364,-11.9033068")</f>
        <v>7.8895364,-11.9033068</v>
      </c>
    </row>
    <row r="495" ht="15.75" customHeight="1">
      <c r="A495" s="1" t="s">
        <v>1495</v>
      </c>
      <c r="B495" s="1" t="s">
        <v>18</v>
      </c>
      <c r="C495" s="1" t="s">
        <v>1496</v>
      </c>
      <c r="D495" s="1" t="s">
        <v>1496</v>
      </c>
      <c r="E495" s="2">
        <v>45840.0</v>
      </c>
      <c r="F495" s="1" t="s">
        <v>21</v>
      </c>
      <c r="G495" s="1" t="s">
        <v>58</v>
      </c>
      <c r="H495" s="1" t="s">
        <v>1497</v>
      </c>
      <c r="I495" s="1">
        <v>750.0</v>
      </c>
      <c r="J495" s="1" t="s">
        <v>24</v>
      </c>
      <c r="K495" s="1">
        <v>750.0</v>
      </c>
      <c r="L495" s="1">
        <v>692.0</v>
      </c>
      <c r="M495" s="1">
        <v>58.0</v>
      </c>
      <c r="N495" s="1">
        <v>58.0</v>
      </c>
      <c r="O495" s="1" t="s">
        <v>1498</v>
      </c>
      <c r="P495" s="3" t="str">
        <f>HYPERLINK("https://icf.clappia.com/app/SOM165486/submission/RYQ95474203/ICF247370-SOM165486-5a93o52m32fi00000000/SIG-20250702_1640daoa9.jpeg", "SIG-20250702_1640daoa9.jpeg")</f>
        <v>SIG-20250702_1640daoa9.jpeg</v>
      </c>
      <c r="Q495" s="3" t="str">
        <f>HYPERLINK("https://www.google.com/maps/place/7.9301074%2C-11.7677828", "7.9301074,-11.7677828")</f>
        <v>7.9301074,-11.7677828</v>
      </c>
    </row>
    <row r="496" ht="15.75" customHeight="1">
      <c r="A496" s="1" t="s">
        <v>1499</v>
      </c>
      <c r="B496" s="1" t="s">
        <v>18</v>
      </c>
      <c r="C496" s="1" t="s">
        <v>1500</v>
      </c>
      <c r="D496" s="1" t="s">
        <v>1500</v>
      </c>
      <c r="E496" s="2">
        <v>45840.0</v>
      </c>
      <c r="F496" s="1" t="s">
        <v>21</v>
      </c>
      <c r="G496" s="1" t="s">
        <v>58</v>
      </c>
      <c r="H496" s="1" t="s">
        <v>147</v>
      </c>
      <c r="I496" s="1">
        <v>189.0</v>
      </c>
      <c r="J496" s="1" t="s">
        <v>24</v>
      </c>
      <c r="K496" s="1">
        <v>189.0</v>
      </c>
      <c r="L496" s="1">
        <v>189.0</v>
      </c>
      <c r="M496" s="1" t="s">
        <v>24</v>
      </c>
      <c r="N496" s="1" t="s">
        <v>24</v>
      </c>
      <c r="O496" s="1" t="s">
        <v>1083</v>
      </c>
      <c r="P496" s="3" t="str">
        <f>HYPERLINK("https://icf.clappia.com/app/SOM165486/submission/RDE60316910/ICF247370-SOM165486-12m2mepbgc9m00000000/SIG-20250702_163619c4f6.jpeg", "SIG-20250702_163619c4f6.jpeg")</f>
        <v>SIG-20250702_163619c4f6.jpeg</v>
      </c>
      <c r="Q496" s="3" t="str">
        <f>HYPERLINK("https://www.google.com/maps/place/7.8784552%2C-11.7815431", "7.8784552,-11.7815431")</f>
        <v>7.8784552,-11.7815431</v>
      </c>
    </row>
    <row r="497" ht="15.75" customHeight="1">
      <c r="A497" s="1" t="s">
        <v>1501</v>
      </c>
      <c r="B497" s="1" t="s">
        <v>18</v>
      </c>
      <c r="C497" s="1" t="s">
        <v>1502</v>
      </c>
      <c r="D497" s="1" t="s">
        <v>1502</v>
      </c>
      <c r="E497" s="2">
        <v>45840.0</v>
      </c>
      <c r="F497" s="1" t="s">
        <v>21</v>
      </c>
      <c r="G497" s="1" t="s">
        <v>95</v>
      </c>
      <c r="H497" s="1" t="s">
        <v>995</v>
      </c>
      <c r="I497" s="1">
        <v>446.0</v>
      </c>
      <c r="J497" s="1" t="s">
        <v>24</v>
      </c>
      <c r="K497" s="1">
        <v>446.0</v>
      </c>
      <c r="L497" s="1">
        <v>446.0</v>
      </c>
      <c r="M497" s="1" t="s">
        <v>24</v>
      </c>
      <c r="N497" s="1" t="s">
        <v>24</v>
      </c>
      <c r="O497" s="1" t="s">
        <v>1503</v>
      </c>
      <c r="P497" s="3" t="str">
        <f>HYPERLINK("https://icf.clappia.com/app/SOM165486/submission/HNA28785591/ICF247370-SOM165486-36mpfkodam3e00000000/SIG-20250702_1633p70hc.jpeg", "SIG-20250702_1633p70hc.jpeg")</f>
        <v>SIG-20250702_1633p70hc.jpeg</v>
      </c>
      <c r="Q497" s="3" t="str">
        <f>HYPERLINK("https://www.google.com/maps/place/7.97735%2C-11.5971183", "7.97735,-11.5971183")</f>
        <v>7.97735,-11.5971183</v>
      </c>
    </row>
    <row r="498" ht="15.75" customHeight="1">
      <c r="A498" s="1" t="s">
        <v>1504</v>
      </c>
      <c r="B498" s="1" t="s">
        <v>18</v>
      </c>
      <c r="C498" s="1" t="s">
        <v>1502</v>
      </c>
      <c r="D498" s="1" t="s">
        <v>1502</v>
      </c>
      <c r="E498" s="2">
        <v>45840.0</v>
      </c>
      <c r="F498" s="1" t="s">
        <v>21</v>
      </c>
      <c r="G498" s="1" t="s">
        <v>421</v>
      </c>
      <c r="H498" s="1" t="s">
        <v>1487</v>
      </c>
      <c r="I498" s="1">
        <v>150.0</v>
      </c>
      <c r="J498" s="1" t="s">
        <v>24</v>
      </c>
      <c r="K498" s="1">
        <v>150.0</v>
      </c>
      <c r="L498" s="1">
        <v>125.0</v>
      </c>
      <c r="M498" s="1">
        <v>25.0</v>
      </c>
      <c r="N498" s="1">
        <v>25.0</v>
      </c>
      <c r="O498" s="1" t="s">
        <v>1488</v>
      </c>
      <c r="P498" s="3" t="str">
        <f>HYPERLINK("https://icf.clappia.com/app/SOM165486/submission/DTF50124923/ICF247370-SOM165486-3l4hpc44im6a00000000/SIG-20250702_16335p2fg.jpeg", "SIG-20250702_16335p2fg.jpeg")</f>
        <v>SIG-20250702_16335p2fg.jpeg</v>
      </c>
      <c r="Q498" s="3" t="str">
        <f>HYPERLINK("https://www.google.com/maps/place/8.1613783%2C-11.484065", "8.1613783,-11.484065")</f>
        <v>8.1613783,-11.484065</v>
      </c>
    </row>
    <row r="499" ht="15.75" customHeight="1">
      <c r="A499" s="1" t="s">
        <v>1505</v>
      </c>
      <c r="B499" s="1" t="s">
        <v>18</v>
      </c>
      <c r="C499" s="1" t="s">
        <v>1348</v>
      </c>
      <c r="D499" s="1" t="s">
        <v>1348</v>
      </c>
      <c r="E499" s="2">
        <v>45840.0</v>
      </c>
      <c r="F499" s="1" t="s">
        <v>21</v>
      </c>
      <c r="G499" s="1" t="s">
        <v>95</v>
      </c>
      <c r="H499" s="1" t="s">
        <v>710</v>
      </c>
      <c r="I499" s="1">
        <v>65.0</v>
      </c>
      <c r="J499" s="1" t="s">
        <v>24</v>
      </c>
      <c r="K499" s="1">
        <v>65.0</v>
      </c>
      <c r="L499" s="1">
        <v>43.0</v>
      </c>
      <c r="M499" s="1">
        <v>22.0</v>
      </c>
      <c r="N499" s="1">
        <v>22.0</v>
      </c>
      <c r="O499" s="1" t="s">
        <v>1506</v>
      </c>
      <c r="P499" s="3" t="str">
        <f>HYPERLINK("https://icf.clappia.com/app/SOM165486/submission/MTS31308095/ICF247370-SOM165486-2k0le0eh7gfc00000000/SIG-20250702_163293fif.jpeg", "SIG-20250702_163293fif.jpeg")</f>
        <v>SIG-20250702_163293fif.jpeg</v>
      </c>
      <c r="Q499" s="3" t="str">
        <f>HYPERLINK("https://www.google.com/maps/place/7.94321%2C-11.685545", "7.94321,-11.685545")</f>
        <v>7.94321,-11.685545</v>
      </c>
    </row>
    <row r="500" ht="15.75" customHeight="1">
      <c r="A500" s="1" t="s">
        <v>1507</v>
      </c>
      <c r="B500" s="1" t="s">
        <v>18</v>
      </c>
      <c r="C500" s="1" t="s">
        <v>1348</v>
      </c>
      <c r="D500" s="1" t="s">
        <v>1348</v>
      </c>
      <c r="E500" s="2">
        <v>45840.0</v>
      </c>
      <c r="F500" s="1" t="s">
        <v>21</v>
      </c>
      <c r="G500" s="1" t="s">
        <v>421</v>
      </c>
      <c r="H500" s="1" t="s">
        <v>1487</v>
      </c>
      <c r="I500" s="1">
        <v>271.0</v>
      </c>
      <c r="J500" s="1" t="s">
        <v>24</v>
      </c>
      <c r="K500" s="1">
        <v>271.0</v>
      </c>
      <c r="L500" s="1">
        <v>240.0</v>
      </c>
      <c r="M500" s="1">
        <v>31.0</v>
      </c>
      <c r="N500" s="1">
        <v>31.0</v>
      </c>
      <c r="O500" s="1" t="s">
        <v>1488</v>
      </c>
      <c r="P500" s="3" t="str">
        <f>HYPERLINK("https://icf.clappia.com/app/SOM165486/submission/LIY22292348/ICF247370-SOM165486-2hfhk8oj4n1600000000/SIG-20250702_16241ab29n.jpeg", "SIG-20250702_16241ab29n.jpeg")</f>
        <v>SIG-20250702_16241ab29n.jpeg</v>
      </c>
      <c r="Q500" s="3" t="str">
        <f>HYPERLINK("https://www.google.com/maps/place/8.1615217%2C-11.484", "8.1615217,-11.484")</f>
        <v>8.1615217,-11.484</v>
      </c>
    </row>
    <row r="501" ht="15.75" customHeight="1">
      <c r="A501" s="1" t="s">
        <v>1508</v>
      </c>
      <c r="B501" s="1" t="s">
        <v>18</v>
      </c>
      <c r="C501" s="1" t="s">
        <v>1509</v>
      </c>
      <c r="D501" s="1" t="s">
        <v>1509</v>
      </c>
      <c r="E501" s="2">
        <v>45840.0</v>
      </c>
      <c r="F501" s="1" t="s">
        <v>68</v>
      </c>
      <c r="G501" s="1" t="s">
        <v>286</v>
      </c>
      <c r="H501" s="1" t="s">
        <v>320</v>
      </c>
      <c r="I501" s="1">
        <v>270.0</v>
      </c>
      <c r="J501" s="1" t="s">
        <v>24</v>
      </c>
      <c r="K501" s="1">
        <v>270.0</v>
      </c>
      <c r="L501" s="1">
        <v>255.0</v>
      </c>
      <c r="M501" s="1">
        <v>15.0</v>
      </c>
      <c r="N501" s="1">
        <v>15.0</v>
      </c>
      <c r="O501" s="1" t="s">
        <v>707</v>
      </c>
      <c r="P501" s="3" t="str">
        <f>HYPERLINK("https://icf.clappia.com/app/SOM165486/submission/RLL86089956/ICF247370-SOM165486-5l8me7jjobm400000000/SIG-20250702_133988mb1.jpeg", "SIG-20250702_133988mb1.jpeg")</f>
        <v>SIG-20250702_133988mb1.jpeg</v>
      </c>
      <c r="Q501" s="3" t="str">
        <f>HYPERLINK("https://www.google.com/maps/place/9.0299031%2C-12.1578131", "9.0299031,-12.1578131")</f>
        <v>9.0299031,-12.1578131</v>
      </c>
    </row>
    <row r="502" ht="15.75" customHeight="1">
      <c r="A502" s="1" t="s">
        <v>1510</v>
      </c>
      <c r="B502" s="1" t="s">
        <v>18</v>
      </c>
      <c r="C502" s="1" t="s">
        <v>1509</v>
      </c>
      <c r="D502" s="1" t="s">
        <v>1509</v>
      </c>
      <c r="E502" s="2">
        <v>45839.0</v>
      </c>
      <c r="F502" s="1" t="s">
        <v>68</v>
      </c>
      <c r="G502" s="1" t="s">
        <v>385</v>
      </c>
      <c r="H502" s="1" t="s">
        <v>1112</v>
      </c>
      <c r="I502" s="1">
        <v>150.0</v>
      </c>
      <c r="J502" s="1" t="s">
        <v>24</v>
      </c>
      <c r="K502" s="1">
        <v>150.0</v>
      </c>
      <c r="L502" s="1">
        <v>126.0</v>
      </c>
      <c r="M502" s="1">
        <v>24.0</v>
      </c>
      <c r="N502" s="1">
        <v>24.0</v>
      </c>
      <c r="O502" s="1" t="s">
        <v>1511</v>
      </c>
      <c r="P502" s="3" t="str">
        <f>HYPERLINK("https://icf.clappia.com/app/SOM165486/submission/JUF20730174/ICF247370-SOM165486-2hc5l3ojefce00000000/SIG-20250702_1615h8d9a.jpeg", "SIG-20250702_1615h8d9a.jpeg")</f>
        <v>SIG-20250702_1615h8d9a.jpeg</v>
      </c>
      <c r="Q502" s="3" t="str">
        <f>HYPERLINK("https://www.google.com/maps/place/9.09342%2C-12.08888", "9.09342,-12.08888")</f>
        <v>9.09342,-12.08888</v>
      </c>
    </row>
    <row r="503" ht="15.75" customHeight="1">
      <c r="A503" s="1" t="s">
        <v>1512</v>
      </c>
      <c r="B503" s="1" t="s">
        <v>18</v>
      </c>
      <c r="C503" s="1" t="s">
        <v>1513</v>
      </c>
      <c r="D503" s="1" t="s">
        <v>1513</v>
      </c>
      <c r="E503" s="2">
        <v>45838.0</v>
      </c>
      <c r="F503" s="1" t="s">
        <v>21</v>
      </c>
      <c r="G503" s="1" t="s">
        <v>58</v>
      </c>
      <c r="H503" s="1" t="s">
        <v>580</v>
      </c>
      <c r="I503" s="1">
        <v>100.0</v>
      </c>
      <c r="J503" s="1" t="s">
        <v>24</v>
      </c>
      <c r="K503" s="1">
        <v>100.0</v>
      </c>
      <c r="L503" s="1">
        <v>84.0</v>
      </c>
      <c r="M503" s="1">
        <v>16.0</v>
      </c>
      <c r="N503" s="1">
        <v>16.0</v>
      </c>
      <c r="O503" s="1" t="s">
        <v>677</v>
      </c>
      <c r="P503" s="3" t="str">
        <f>HYPERLINK("https://icf.clappia.com/app/SOM165486/submission/ODP59749236/ICF247370-SOM165486-1n2f4hm4fm82c0000000/SIG-20250702_16157d5n2.jpeg", "SIG-20250702_16157d5n2.jpeg")</f>
        <v>SIG-20250702_16157d5n2.jpeg</v>
      </c>
      <c r="Q503" s="3" t="str">
        <f>HYPERLINK("https://www.google.com/maps/place/7.7718107%2C-11.7261129", "7.7718107,-11.7261129")</f>
        <v>7.7718107,-11.7261129</v>
      </c>
    </row>
    <row r="504" ht="15.75" customHeight="1">
      <c r="A504" s="1" t="s">
        <v>1514</v>
      </c>
      <c r="B504" s="1" t="s">
        <v>283</v>
      </c>
      <c r="C504" s="1" t="s">
        <v>1515</v>
      </c>
      <c r="D504" s="1" t="s">
        <v>1515</v>
      </c>
      <c r="E504" s="2">
        <v>45840.0</v>
      </c>
      <c r="F504" s="1" t="s">
        <v>68</v>
      </c>
      <c r="G504" s="1" t="s">
        <v>340</v>
      </c>
      <c r="H504" s="1" t="s">
        <v>626</v>
      </c>
      <c r="I504" s="1">
        <v>300.0</v>
      </c>
      <c r="J504" s="1" t="s">
        <v>90</v>
      </c>
      <c r="K504" s="1">
        <v>300.0</v>
      </c>
      <c r="L504" s="1">
        <v>259.0</v>
      </c>
      <c r="M504" s="1">
        <v>41.0</v>
      </c>
      <c r="N504" s="1">
        <v>41.0</v>
      </c>
      <c r="O504" s="1" t="s">
        <v>627</v>
      </c>
      <c r="P504" s="3" t="str">
        <f>HYPERLINK("https://icf.clappia.com/app/SOM165486/submission/EPS63055678/ICF247370-SOM165486-kfengj48bbk40000000/SIG-20250702_16124bd5n.jpeg", "SIG-20250702_16124bd5n.jpeg")</f>
        <v>SIG-20250702_16124bd5n.jpeg</v>
      </c>
      <c r="Q504" s="3" t="str">
        <f>HYPERLINK("https://www.google.com/maps/place/9.1700967%2C-12.0158283", "9.1700967,-12.0158283")</f>
        <v>9.1700967,-12.0158283</v>
      </c>
    </row>
    <row r="505" ht="15.75" customHeight="1">
      <c r="A505" s="1" t="s">
        <v>1516</v>
      </c>
      <c r="B505" s="1" t="s">
        <v>18</v>
      </c>
      <c r="C505" s="1" t="s">
        <v>1515</v>
      </c>
      <c r="D505" s="1" t="s">
        <v>1515</v>
      </c>
      <c r="E505" s="2">
        <v>45840.0</v>
      </c>
      <c r="F505" s="1" t="s">
        <v>68</v>
      </c>
      <c r="G505" s="1" t="s">
        <v>385</v>
      </c>
      <c r="H505" s="1" t="s">
        <v>1112</v>
      </c>
      <c r="I505" s="1">
        <v>250.0</v>
      </c>
      <c r="J505" s="1" t="s">
        <v>24</v>
      </c>
      <c r="K505" s="1">
        <v>250.0</v>
      </c>
      <c r="L505" s="1">
        <v>184.0</v>
      </c>
      <c r="M505" s="1">
        <v>66.0</v>
      </c>
      <c r="N505" s="1">
        <v>66.0</v>
      </c>
      <c r="O505" s="1" t="s">
        <v>1511</v>
      </c>
      <c r="P505" s="3" t="str">
        <f>HYPERLINK("https://icf.clappia.com/app/SOM165486/submission/GNK75453355/ICF247370-SOM165486-2dfcahn0e41k00000000/SIG-20250702_161015087d.jpeg", "SIG-20250702_161015087d.jpeg")</f>
        <v>SIG-20250702_161015087d.jpeg</v>
      </c>
      <c r="Q505" s="3" t="str">
        <f>HYPERLINK("https://www.google.com/maps/place/9.0936383%2C-12.08913", "9.0936383,-12.08913")</f>
        <v>9.0936383,-12.08913</v>
      </c>
    </row>
    <row r="506" ht="15.75" customHeight="1">
      <c r="A506" s="1" t="s">
        <v>1517</v>
      </c>
      <c r="B506" s="1" t="s">
        <v>18</v>
      </c>
      <c r="C506" s="1" t="s">
        <v>1518</v>
      </c>
      <c r="D506" s="1" t="s">
        <v>1518</v>
      </c>
      <c r="E506" s="2">
        <v>45839.0</v>
      </c>
      <c r="F506" s="1" t="s">
        <v>21</v>
      </c>
      <c r="G506" s="1" t="s">
        <v>164</v>
      </c>
      <c r="H506" s="1" t="s">
        <v>887</v>
      </c>
      <c r="I506" s="1">
        <v>199.0</v>
      </c>
      <c r="J506" s="1" t="s">
        <v>24</v>
      </c>
      <c r="K506" s="1">
        <v>199.0</v>
      </c>
      <c r="L506" s="1">
        <v>161.0</v>
      </c>
      <c r="M506" s="1">
        <v>38.0</v>
      </c>
      <c r="N506" s="1">
        <v>38.0</v>
      </c>
      <c r="O506" s="1" t="s">
        <v>1519</v>
      </c>
      <c r="P506" s="3" t="str">
        <f>HYPERLINK("https://icf.clappia.com/app/SOM165486/submission/QDM84983411/ICF247370-SOM165486-5l82n26nnh1a00000000/SIG-20250702_1608akcel.jpeg", "SIG-20250702_1608akcel.jpeg")</f>
        <v>SIG-20250702_1608akcel.jpeg</v>
      </c>
      <c r="Q506" s="3" t="str">
        <f>HYPERLINK("https://www.google.com/maps/place/7.8896465%2C-11.9038387", "7.8896465,-11.9038387")</f>
        <v>7.8896465,-11.9038387</v>
      </c>
    </row>
    <row r="507" ht="15.75" customHeight="1">
      <c r="A507" s="1" t="s">
        <v>1520</v>
      </c>
      <c r="B507" s="1" t="s">
        <v>18</v>
      </c>
      <c r="C507" s="1" t="s">
        <v>1518</v>
      </c>
      <c r="D507" s="1" t="s">
        <v>1518</v>
      </c>
      <c r="E507" s="2">
        <v>45840.0</v>
      </c>
      <c r="F507" s="1" t="s">
        <v>21</v>
      </c>
      <c r="G507" s="1" t="s">
        <v>95</v>
      </c>
      <c r="H507" s="1" t="s">
        <v>710</v>
      </c>
      <c r="I507" s="1">
        <v>155.0</v>
      </c>
      <c r="J507" s="1" t="s">
        <v>24</v>
      </c>
      <c r="K507" s="1">
        <v>155.0</v>
      </c>
      <c r="L507" s="1">
        <v>109.0</v>
      </c>
      <c r="M507" s="1">
        <v>46.0</v>
      </c>
      <c r="N507" s="1">
        <v>46.0</v>
      </c>
      <c r="O507" s="1" t="s">
        <v>989</v>
      </c>
      <c r="P507" s="3" t="str">
        <f>HYPERLINK("https://icf.clappia.com/app/SOM165486/submission/UDN75845850/ICF247370-SOM165486-1g4hf7o8f9nck0000000/SIG-20250702_16101814li.jpeg", "SIG-20250702_16101814li.jpeg")</f>
        <v>SIG-20250702_16101814li.jpeg</v>
      </c>
      <c r="Q507" s="3" t="str">
        <f>HYPERLINK("https://www.google.com/maps/place/7.9481467%2C-11.7051683", "7.9481467,-11.7051683")</f>
        <v>7.9481467,-11.7051683</v>
      </c>
    </row>
    <row r="508" ht="15.75" customHeight="1">
      <c r="A508" s="1" t="s">
        <v>1521</v>
      </c>
      <c r="B508" s="1" t="s">
        <v>18</v>
      </c>
      <c r="C508" s="1" t="s">
        <v>1522</v>
      </c>
      <c r="D508" s="1" t="s">
        <v>1522</v>
      </c>
      <c r="E508" s="2">
        <v>45838.0</v>
      </c>
      <c r="F508" s="1" t="s">
        <v>68</v>
      </c>
      <c r="G508" s="1" t="s">
        <v>325</v>
      </c>
      <c r="H508" s="1" t="s">
        <v>1523</v>
      </c>
      <c r="I508" s="1">
        <v>182.0</v>
      </c>
      <c r="J508" s="1" t="s">
        <v>24</v>
      </c>
      <c r="K508" s="1">
        <v>182.0</v>
      </c>
      <c r="L508" s="1">
        <v>118.0</v>
      </c>
      <c r="M508" s="1">
        <v>64.0</v>
      </c>
      <c r="N508" s="1">
        <v>64.0</v>
      </c>
      <c r="O508" s="1" t="s">
        <v>1524</v>
      </c>
      <c r="P508" s="3" t="str">
        <f>HYPERLINK("https://icf.clappia.com/app/SOM165486/submission/KXM46838058/ICF247370-SOM165486-4hnp802plfh400000000/SIG-20250702_160818dlj4.jpeg", "SIG-20250702_160818dlj4.jpeg")</f>
        <v>SIG-20250702_160818dlj4.jpeg</v>
      </c>
      <c r="Q508" s="3" t="str">
        <f>HYPERLINK("https://www.google.com/maps/place/8.7884033%2C-11.9077633", "8.7884033,-11.9077633")</f>
        <v>8.7884033,-11.9077633</v>
      </c>
    </row>
    <row r="509" ht="15.75" customHeight="1">
      <c r="A509" s="1" t="s">
        <v>1525</v>
      </c>
      <c r="B509" s="1" t="s">
        <v>18</v>
      </c>
      <c r="C509" s="1" t="s">
        <v>1526</v>
      </c>
      <c r="D509" s="1" t="s">
        <v>1526</v>
      </c>
      <c r="E509" s="2">
        <v>45839.0</v>
      </c>
      <c r="F509" s="1" t="s">
        <v>68</v>
      </c>
      <c r="G509" s="1" t="s">
        <v>385</v>
      </c>
      <c r="H509" s="1" t="s">
        <v>1112</v>
      </c>
      <c r="I509" s="1">
        <v>250.0</v>
      </c>
      <c r="J509" s="1" t="s">
        <v>24</v>
      </c>
      <c r="K509" s="1">
        <v>250.0</v>
      </c>
      <c r="L509" s="1">
        <v>184.0</v>
      </c>
      <c r="M509" s="1">
        <v>66.0</v>
      </c>
      <c r="N509" s="1">
        <v>66.0</v>
      </c>
      <c r="O509" s="1" t="s">
        <v>1511</v>
      </c>
      <c r="P509" s="3" t="str">
        <f>HYPERLINK("https://icf.clappia.com/app/SOM165486/submission/PVF09799273/ICF247370-SOM165486-ldkmobal5jeg0000000/SIG-20250702_16024644m.jpeg", "SIG-20250702_16024644m.jpeg")</f>
        <v>SIG-20250702_16024644m.jpeg</v>
      </c>
      <c r="Q509" s="3" t="str">
        <f>HYPERLINK("https://www.google.com/maps/place/9.09353%2C-12.0888017", "9.09353,-12.0888017")</f>
        <v>9.09353,-12.0888017</v>
      </c>
    </row>
    <row r="510" ht="15.75" customHeight="1">
      <c r="A510" s="1" t="s">
        <v>1527</v>
      </c>
      <c r="B510" s="1" t="s">
        <v>283</v>
      </c>
      <c r="C510" s="1" t="s">
        <v>1528</v>
      </c>
      <c r="D510" s="1" t="s">
        <v>1528</v>
      </c>
      <c r="E510" s="2">
        <v>45840.0</v>
      </c>
      <c r="F510" s="1" t="s">
        <v>68</v>
      </c>
      <c r="G510" s="1" t="s">
        <v>325</v>
      </c>
      <c r="H510" s="1" t="s">
        <v>1523</v>
      </c>
      <c r="I510" s="1">
        <v>63.0</v>
      </c>
      <c r="J510" s="1" t="s">
        <v>24</v>
      </c>
      <c r="K510" s="1">
        <v>63.0</v>
      </c>
      <c r="L510" s="1">
        <v>62.0</v>
      </c>
      <c r="M510" s="1">
        <v>1.0</v>
      </c>
      <c r="N510" s="1">
        <v>1.0</v>
      </c>
      <c r="O510" s="1" t="s">
        <v>1529</v>
      </c>
      <c r="P510" s="3" t="str">
        <f>HYPERLINK("https://icf.clappia.com/app/SOM165486/submission/QZY85034683/ICF247370-SOM165486-4o0je8g12gni00000000/SIG-20250702_16036olmi.jpeg", "SIG-20250702_16036olmi.jpeg")</f>
        <v>SIG-20250702_16036olmi.jpeg</v>
      </c>
      <c r="Q510" s="3" t="str">
        <f>HYPERLINK("https://www.google.com/maps/place/8.7883749%2C-11.9077576", "8.7883749,-11.9077576")</f>
        <v>8.7883749,-11.9077576</v>
      </c>
    </row>
    <row r="511" ht="15.75" customHeight="1">
      <c r="A511" s="1" t="s">
        <v>1530</v>
      </c>
      <c r="B511" s="1" t="s">
        <v>18</v>
      </c>
      <c r="C511" s="1" t="s">
        <v>1531</v>
      </c>
      <c r="D511" s="1" t="s">
        <v>1531</v>
      </c>
      <c r="E511" s="2">
        <v>45840.0</v>
      </c>
      <c r="F511" s="1" t="s">
        <v>21</v>
      </c>
      <c r="G511" s="1" t="s">
        <v>77</v>
      </c>
      <c r="H511" s="1" t="s">
        <v>759</v>
      </c>
      <c r="I511" s="1">
        <v>100.0</v>
      </c>
      <c r="J511" s="1" t="s">
        <v>24</v>
      </c>
      <c r="K511" s="1">
        <v>100.0</v>
      </c>
      <c r="L511" s="1">
        <v>37.0</v>
      </c>
      <c r="M511" s="1">
        <v>63.0</v>
      </c>
      <c r="N511" s="1">
        <v>63.0</v>
      </c>
      <c r="O511" s="1" t="s">
        <v>1532</v>
      </c>
      <c r="P511" s="3" t="str">
        <f>HYPERLINK("https://icf.clappia.com/app/SOM165486/submission/ZFI57734748/ICF247370-SOM165486-4p76bmpabl6000000000/SIG-20250702_1555pf382.jpeg", "SIG-20250702_1555pf382.jpeg")</f>
        <v>SIG-20250702_1555pf382.jpeg</v>
      </c>
      <c r="Q511" s="3" t="str">
        <f>HYPERLINK("https://www.google.com/maps/place/7.9489056%2C-11.7557673", "7.9489056,-11.7557673")</f>
        <v>7.9489056,-11.7557673</v>
      </c>
    </row>
    <row r="512" ht="15.75" customHeight="1">
      <c r="A512" s="1" t="s">
        <v>1533</v>
      </c>
      <c r="B512" s="1" t="s">
        <v>18</v>
      </c>
      <c r="C512" s="1" t="s">
        <v>1534</v>
      </c>
      <c r="D512" s="1" t="s">
        <v>1535</v>
      </c>
      <c r="E512" s="2">
        <v>45840.0</v>
      </c>
      <c r="F512" s="1" t="s">
        <v>21</v>
      </c>
      <c r="G512" s="1" t="s">
        <v>269</v>
      </c>
      <c r="H512" s="1" t="s">
        <v>540</v>
      </c>
      <c r="I512" s="1">
        <v>100.0</v>
      </c>
      <c r="J512" s="1" t="s">
        <v>24</v>
      </c>
      <c r="K512" s="1">
        <v>100.0</v>
      </c>
      <c r="L512" s="1">
        <v>81.0</v>
      </c>
      <c r="M512" s="1">
        <v>19.0</v>
      </c>
      <c r="N512" s="1">
        <v>19.0</v>
      </c>
      <c r="O512" s="1" t="s">
        <v>541</v>
      </c>
      <c r="P512" s="3" t="str">
        <f>HYPERLINK("https://icf.clappia.com/app/SOM165486/submission/WZL46289682/ICF247370-SOM165486-lffa87k80l9i0000000/SIG-20250702_15491028lc.jpeg", "SIG-20250702_15491028lc.jpeg")</f>
        <v>SIG-20250702_15491028lc.jpeg</v>
      </c>
      <c r="Q512" s="3" t="str">
        <f>HYPERLINK("https://www.google.com/maps/place/7.8257417%2C-11.5084983", "7.8257417,-11.5084983")</f>
        <v>7.8257417,-11.5084983</v>
      </c>
    </row>
    <row r="513" ht="15.75" customHeight="1">
      <c r="A513" s="1" t="s">
        <v>1536</v>
      </c>
      <c r="B513" s="1" t="s">
        <v>18</v>
      </c>
      <c r="C513" s="1" t="s">
        <v>1535</v>
      </c>
      <c r="D513" s="1" t="s">
        <v>1535</v>
      </c>
      <c r="E513" s="2">
        <v>45838.0</v>
      </c>
      <c r="F513" s="1" t="s">
        <v>68</v>
      </c>
      <c r="G513" s="1" t="s">
        <v>325</v>
      </c>
      <c r="H513" s="1" t="s">
        <v>1523</v>
      </c>
      <c r="I513" s="1">
        <v>182.0</v>
      </c>
      <c r="J513" s="1" t="s">
        <v>24</v>
      </c>
      <c r="K513" s="1">
        <v>182.0</v>
      </c>
      <c r="L513" s="1">
        <v>118.0</v>
      </c>
      <c r="M513" s="1">
        <v>64.0</v>
      </c>
      <c r="N513" s="1">
        <v>64.0</v>
      </c>
      <c r="O513" s="1" t="s">
        <v>1524</v>
      </c>
      <c r="P513" s="3" t="str">
        <f>HYPERLINK("https://icf.clappia.com/app/SOM165486/submission/CNK58370362/ICF247370-SOM165486-3feec9nai0ie00000000/SIG-20250702_1555k8fdf.jpeg", "SIG-20250702_1555k8fdf.jpeg")</f>
        <v>SIG-20250702_1555k8fdf.jpeg</v>
      </c>
      <c r="Q513" s="3" t="str">
        <f>HYPERLINK("https://www.google.com/maps/place/8.7884233%2C-11.9078067", "8.7884233,-11.9078067")</f>
        <v>8.7884233,-11.9078067</v>
      </c>
    </row>
    <row r="514" ht="15.75" customHeight="1">
      <c r="A514" s="1" t="s">
        <v>1537</v>
      </c>
      <c r="B514" s="1" t="s">
        <v>18</v>
      </c>
      <c r="C514" s="1" t="s">
        <v>1538</v>
      </c>
      <c r="D514" s="1" t="s">
        <v>1535</v>
      </c>
      <c r="E514" s="2">
        <v>45840.0</v>
      </c>
      <c r="F514" s="1" t="s">
        <v>21</v>
      </c>
      <c r="G514" s="1" t="s">
        <v>269</v>
      </c>
      <c r="H514" s="1" t="s">
        <v>540</v>
      </c>
      <c r="I514" s="1">
        <v>100.0</v>
      </c>
      <c r="J514" s="1" t="s">
        <v>24</v>
      </c>
      <c r="K514" s="1">
        <v>100.0</v>
      </c>
      <c r="L514" s="1">
        <v>81.0</v>
      </c>
      <c r="M514" s="1">
        <v>19.0</v>
      </c>
      <c r="N514" s="1">
        <v>19.0</v>
      </c>
      <c r="O514" s="1" t="s">
        <v>541</v>
      </c>
      <c r="P514" s="3" t="str">
        <f>HYPERLINK("https://icf.clappia.com/app/SOM165486/submission/PNB28339455/ICF247370-SOM165486-3aaphh7oc9oe00000000/SIG-20250702_15189ifj5.jpeg", "SIG-20250702_15189ifj5.jpeg")</f>
        <v>SIG-20250702_15189ifj5.jpeg</v>
      </c>
      <c r="Q514" s="3" t="str">
        <f>HYPERLINK("https://www.google.com/maps/place/7.8279133%2C-11.5200883", "7.8279133,-11.5200883")</f>
        <v>7.8279133,-11.5200883</v>
      </c>
    </row>
    <row r="515" ht="15.75" customHeight="1">
      <c r="A515" s="1" t="s">
        <v>1539</v>
      </c>
      <c r="B515" s="1" t="s">
        <v>18</v>
      </c>
      <c r="C515" s="1" t="s">
        <v>1540</v>
      </c>
      <c r="D515" s="1" t="s">
        <v>1540</v>
      </c>
      <c r="E515" s="2">
        <v>45840.0</v>
      </c>
      <c r="F515" s="1" t="s">
        <v>21</v>
      </c>
      <c r="G515" s="1" t="s">
        <v>129</v>
      </c>
      <c r="H515" s="1" t="s">
        <v>588</v>
      </c>
      <c r="I515" s="1">
        <v>150.0</v>
      </c>
      <c r="J515" s="1" t="s">
        <v>24</v>
      </c>
      <c r="K515" s="1">
        <v>150.0</v>
      </c>
      <c r="L515" s="1">
        <v>150.0</v>
      </c>
      <c r="M515" s="1" t="s">
        <v>24</v>
      </c>
      <c r="N515" s="1" t="s">
        <v>24</v>
      </c>
      <c r="O515" s="1" t="s">
        <v>1541</v>
      </c>
      <c r="P515" s="3" t="str">
        <f>HYPERLINK("https://icf.clappia.com/app/SOM165486/submission/CYC75877957/ICF247370-SOM165486-4eapgk0g80h40000000/SIG-20250702_154610lbf7.jpeg", "SIG-20250702_154610lbf7.jpeg")</f>
        <v>SIG-20250702_154610lbf7.jpeg</v>
      </c>
      <c r="Q515" s="3" t="str">
        <f>HYPERLINK("https://www.google.com/maps/place/7.6429517%2C-11.7923183", "7.6429517,-11.7923183")</f>
        <v>7.6429517,-11.7923183</v>
      </c>
    </row>
    <row r="516" ht="15.75" customHeight="1">
      <c r="A516" s="1" t="s">
        <v>1542</v>
      </c>
      <c r="B516" s="1" t="s">
        <v>18</v>
      </c>
      <c r="C516" s="1" t="s">
        <v>1543</v>
      </c>
      <c r="D516" s="1" t="s">
        <v>1543</v>
      </c>
      <c r="E516" s="2">
        <v>45839.0</v>
      </c>
      <c r="F516" s="1" t="s">
        <v>21</v>
      </c>
      <c r="G516" s="1" t="s">
        <v>58</v>
      </c>
      <c r="H516" s="1" t="s">
        <v>580</v>
      </c>
      <c r="I516" s="1">
        <v>100.0</v>
      </c>
      <c r="J516" s="1" t="s">
        <v>24</v>
      </c>
      <c r="K516" s="1">
        <v>100.0</v>
      </c>
      <c r="L516" s="1">
        <v>82.0</v>
      </c>
      <c r="M516" s="1">
        <v>18.0</v>
      </c>
      <c r="N516" s="1">
        <v>18.0</v>
      </c>
      <c r="O516" s="1" t="s">
        <v>581</v>
      </c>
      <c r="P516" s="3" t="str">
        <f>HYPERLINK("https://icf.clappia.com/app/SOM165486/submission/KII87661863/ICF247370-SOM165486-2dd0pg15l4cc00000000/SIG-20250702_15457p1gj.jpeg", "SIG-20250702_15457p1gj.jpeg")</f>
        <v>SIG-20250702_15457p1gj.jpeg</v>
      </c>
      <c r="Q516" s="3" t="str">
        <f>HYPERLINK("https://www.google.com/maps/place/7.7802449%2C-11.7243798", "7.7802449,-11.7243798")</f>
        <v>7.7802449,-11.7243798</v>
      </c>
    </row>
    <row r="517" ht="15.75" customHeight="1">
      <c r="A517" s="1" t="s">
        <v>1544</v>
      </c>
      <c r="B517" s="1" t="s">
        <v>18</v>
      </c>
      <c r="C517" s="1" t="s">
        <v>1543</v>
      </c>
      <c r="D517" s="1" t="s">
        <v>1543</v>
      </c>
      <c r="E517" s="2">
        <v>45840.0</v>
      </c>
      <c r="F517" s="1" t="s">
        <v>21</v>
      </c>
      <c r="G517" s="1" t="s">
        <v>164</v>
      </c>
      <c r="H517" s="1" t="s">
        <v>887</v>
      </c>
      <c r="I517" s="1">
        <v>220.0</v>
      </c>
      <c r="J517" s="1" t="s">
        <v>24</v>
      </c>
      <c r="K517" s="1">
        <v>220.0</v>
      </c>
      <c r="L517" s="1">
        <v>220.0</v>
      </c>
      <c r="M517" s="1" t="s">
        <v>24</v>
      </c>
      <c r="N517" s="1" t="s">
        <v>24</v>
      </c>
      <c r="O517" s="1" t="s">
        <v>1106</v>
      </c>
      <c r="P517" s="3" t="str">
        <f>HYPERLINK("https://icf.clappia.com/app/SOM165486/submission/KCR05208240/ICF247370-SOM165486-40fkichn6b0200000000/SIG-20250702_1544h0kk4.jpeg", "SIG-20250702_1544h0kk4.jpeg")</f>
        <v>SIG-20250702_1544h0kk4.jpeg</v>
      </c>
      <c r="Q517" s="3" t="str">
        <f>HYPERLINK("https://www.google.com/maps/place/7.8912396%2C-11.9025396", "7.8912396,-11.9025396")</f>
        <v>7.8912396,-11.9025396</v>
      </c>
    </row>
    <row r="518" ht="15.75" customHeight="1">
      <c r="A518" s="1" t="s">
        <v>1545</v>
      </c>
      <c r="B518" s="1" t="s">
        <v>18</v>
      </c>
      <c r="C518" s="1" t="s">
        <v>1546</v>
      </c>
      <c r="D518" s="1" t="s">
        <v>1546</v>
      </c>
      <c r="E518" s="2">
        <v>45840.0</v>
      </c>
      <c r="F518" s="1" t="s">
        <v>21</v>
      </c>
      <c r="G518" s="1" t="s">
        <v>1331</v>
      </c>
      <c r="H518" s="1" t="s">
        <v>1332</v>
      </c>
      <c r="I518" s="1">
        <v>211.0</v>
      </c>
      <c r="J518" s="1" t="s">
        <v>24</v>
      </c>
      <c r="K518" s="1">
        <v>211.0</v>
      </c>
      <c r="L518" s="1">
        <v>200.0</v>
      </c>
      <c r="M518" s="1">
        <v>11.0</v>
      </c>
      <c r="N518" s="1">
        <v>11.0</v>
      </c>
      <c r="O518" s="1" t="s">
        <v>1333</v>
      </c>
      <c r="P518" s="3" t="str">
        <f>HYPERLINK("https://icf.clappia.com/app/SOM165486/submission/WGE97244627/ICF247370-SOM165486-1n5np4ocdi0pm0000000/SIG-20250702_15371a50lm.jpeg", "SIG-20250702_15371a50lm.jpeg")</f>
        <v>SIG-20250702_15371a50lm.jpeg</v>
      </c>
      <c r="Q518" s="3" t="str">
        <f>HYPERLINK("https://www.google.com/maps/place/8.1266425%2C-11.6526415", "8.1266425,-11.6526415")</f>
        <v>8.1266425,-11.6526415</v>
      </c>
    </row>
    <row r="519" ht="15.75" customHeight="1">
      <c r="A519" s="1" t="s">
        <v>1547</v>
      </c>
      <c r="B519" s="1" t="s">
        <v>18</v>
      </c>
      <c r="C519" s="1" t="s">
        <v>1546</v>
      </c>
      <c r="D519" s="1" t="s">
        <v>1546</v>
      </c>
      <c r="E519" s="2">
        <v>45840.0</v>
      </c>
      <c r="F519" s="1" t="s">
        <v>21</v>
      </c>
      <c r="G519" s="1" t="s">
        <v>58</v>
      </c>
      <c r="H519" s="1" t="s">
        <v>1548</v>
      </c>
      <c r="I519" s="1">
        <v>145.0</v>
      </c>
      <c r="J519" s="1" t="s">
        <v>1549</v>
      </c>
      <c r="K519" s="1">
        <v>290.0</v>
      </c>
      <c r="L519" s="1">
        <v>145.0</v>
      </c>
      <c r="M519" s="1">
        <v>145.0</v>
      </c>
      <c r="N519" s="1" t="s">
        <v>24</v>
      </c>
      <c r="O519" s="1" t="s">
        <v>1550</v>
      </c>
      <c r="P519" s="3" t="str">
        <f>HYPERLINK("https://icf.clappia.com/app/SOM165486/submission/RYQ71381317/ICF247370-SOM165486-36jgl5b2le2c00000000/SIG-20250702_1540eo5an.jpeg", "SIG-20250702_1540eo5an.jpeg")</f>
        <v>SIG-20250702_1540eo5an.jpeg</v>
      </c>
      <c r="Q519" s="3" t="str">
        <f>HYPERLINK("https://www.google.com/maps/place/7.9499692%2C-11.7653796", "7.9499692,-11.7653796")</f>
        <v>7.9499692,-11.7653796</v>
      </c>
    </row>
    <row r="520" ht="15.75" customHeight="1">
      <c r="A520" s="1" t="s">
        <v>1551</v>
      </c>
      <c r="B520" s="1" t="s">
        <v>18</v>
      </c>
      <c r="C520" s="1" t="s">
        <v>1546</v>
      </c>
      <c r="D520" s="1" t="s">
        <v>1546</v>
      </c>
      <c r="E520" s="2">
        <v>45840.0</v>
      </c>
      <c r="F520" s="1" t="s">
        <v>21</v>
      </c>
      <c r="G520" s="1" t="s">
        <v>129</v>
      </c>
      <c r="H520" s="1" t="s">
        <v>588</v>
      </c>
      <c r="I520" s="1">
        <v>175.0</v>
      </c>
      <c r="J520" s="1" t="s">
        <v>24</v>
      </c>
      <c r="K520" s="1">
        <v>175.0</v>
      </c>
      <c r="L520" s="1">
        <v>175.0</v>
      </c>
      <c r="M520" s="1" t="s">
        <v>24</v>
      </c>
      <c r="N520" s="1" t="s">
        <v>24</v>
      </c>
      <c r="O520" s="1" t="s">
        <v>589</v>
      </c>
      <c r="P520" s="3" t="str">
        <f>HYPERLINK("https://icf.clappia.com/app/SOM165486/submission/HJT13526861/ICF247370-SOM165486-14neeej48ij680000000/SIG-20250702_1539f6040.jpeg", "SIG-20250702_1539f6040.jpeg")</f>
        <v>SIG-20250702_1539f6040.jpeg</v>
      </c>
      <c r="Q520" s="3" t="str">
        <f>HYPERLINK("https://www.google.com/maps/place/7.6424642%2C-11.7922891", "7.6424642,-11.7922891")</f>
        <v>7.6424642,-11.7922891</v>
      </c>
    </row>
    <row r="521" ht="15.75" customHeight="1">
      <c r="A521" s="1" t="s">
        <v>1552</v>
      </c>
      <c r="B521" s="1" t="s">
        <v>18</v>
      </c>
      <c r="C521" s="1" t="s">
        <v>1546</v>
      </c>
      <c r="D521" s="1" t="s">
        <v>1546</v>
      </c>
      <c r="E521" s="2">
        <v>45840.0</v>
      </c>
      <c r="F521" s="1" t="s">
        <v>68</v>
      </c>
      <c r="G521" s="1" t="s">
        <v>88</v>
      </c>
      <c r="H521" s="1" t="s">
        <v>634</v>
      </c>
      <c r="I521" s="1">
        <v>300.0</v>
      </c>
      <c r="J521" s="1" t="s">
        <v>24</v>
      </c>
      <c r="K521" s="1">
        <v>300.0</v>
      </c>
      <c r="L521" s="1">
        <v>143.0</v>
      </c>
      <c r="M521" s="1">
        <v>157.0</v>
      </c>
      <c r="N521" s="1">
        <v>157.0</v>
      </c>
      <c r="O521" s="1" t="s">
        <v>1553</v>
      </c>
      <c r="P521" s="3" t="str">
        <f>HYPERLINK("https://icf.clappia.com/app/SOM165486/submission/TZH75746757/ICF247370-SOM165486-3ccie583138k00000000/SIG-20250702_15377kjpp.jpeg", "SIG-20250702_15377kjpp.jpeg")</f>
        <v>SIG-20250702_15377kjpp.jpeg</v>
      </c>
      <c r="Q521" s="3" t="str">
        <f>HYPERLINK("https://www.google.com/maps/place/8.8927495%2C-12.0375729", "8.8927495,-12.0375729")</f>
        <v>8.8927495,-12.0375729</v>
      </c>
    </row>
    <row r="522" ht="15.75" customHeight="1">
      <c r="A522" s="1" t="s">
        <v>1554</v>
      </c>
      <c r="B522" s="1" t="s">
        <v>18</v>
      </c>
      <c r="C522" s="1" t="s">
        <v>1555</v>
      </c>
      <c r="D522" s="1" t="s">
        <v>1556</v>
      </c>
      <c r="E522" s="2">
        <v>45838.0</v>
      </c>
      <c r="F522" s="1" t="s">
        <v>21</v>
      </c>
      <c r="G522" s="1" t="s">
        <v>35</v>
      </c>
      <c r="H522" s="1" t="s">
        <v>51</v>
      </c>
      <c r="I522" s="1">
        <v>200.0</v>
      </c>
      <c r="J522" s="1" t="s">
        <v>24</v>
      </c>
      <c r="K522" s="1">
        <v>200.0</v>
      </c>
      <c r="L522" s="1">
        <v>189.0</v>
      </c>
      <c r="M522" s="1">
        <v>11.0</v>
      </c>
      <c r="N522" s="1">
        <v>11.0</v>
      </c>
      <c r="O522" s="1" t="s">
        <v>1557</v>
      </c>
      <c r="P522" s="3" t="str">
        <f>HYPERLINK("https://icf.clappia.com/app/SOM165486/submission/WEH15663737/ICF247370-SOM165486-6601gclpfl6i00000000/SIG-20250630_19478j737.jpeg", "SIG-20250630_19478j737.jpeg")</f>
        <v>SIG-20250630_19478j737.jpeg</v>
      </c>
    </row>
    <row r="523" ht="15.75" customHeight="1">
      <c r="A523" s="1" t="s">
        <v>1558</v>
      </c>
      <c r="B523" s="1" t="s">
        <v>18</v>
      </c>
      <c r="C523" s="1" t="s">
        <v>1559</v>
      </c>
      <c r="D523" s="1" t="s">
        <v>1560</v>
      </c>
      <c r="E523" s="2">
        <v>45840.0</v>
      </c>
      <c r="F523" s="1" t="s">
        <v>68</v>
      </c>
      <c r="G523" s="1" t="s">
        <v>325</v>
      </c>
      <c r="H523" s="1" t="s">
        <v>1523</v>
      </c>
      <c r="I523" s="1">
        <v>62.0</v>
      </c>
      <c r="J523" s="1" t="s">
        <v>24</v>
      </c>
      <c r="K523" s="1">
        <v>62.0</v>
      </c>
      <c r="L523" s="1">
        <v>62.0</v>
      </c>
      <c r="M523" s="1" t="s">
        <v>24</v>
      </c>
      <c r="N523" s="1" t="s">
        <v>24</v>
      </c>
      <c r="O523" s="1" t="s">
        <v>1524</v>
      </c>
      <c r="P523" s="3" t="str">
        <f>HYPERLINK("https://icf.clappia.com/app/SOM165486/submission/DBB67329080/ICF247370-SOM165486-3g90a91o09ei00000000/SIG-20250702_1314436n7.jpeg", "SIG-20250702_1314436n7.jpeg")</f>
        <v>SIG-20250702_1314436n7.jpeg</v>
      </c>
      <c r="Q523" s="3" t="str">
        <f>HYPERLINK("https://www.google.com/maps/place/8.8060283%2C-11.9275868", "8.8060283,-11.9275868")</f>
        <v>8.8060283,-11.9275868</v>
      </c>
    </row>
    <row r="524" ht="15.75" customHeight="1">
      <c r="A524" s="1" t="s">
        <v>1561</v>
      </c>
      <c r="B524" s="1" t="s">
        <v>18</v>
      </c>
      <c r="C524" s="1" t="s">
        <v>1562</v>
      </c>
      <c r="D524" s="1" t="s">
        <v>1562</v>
      </c>
      <c r="E524" s="2">
        <v>45840.0</v>
      </c>
      <c r="F524" s="1" t="s">
        <v>21</v>
      </c>
      <c r="G524" s="1" t="s">
        <v>95</v>
      </c>
      <c r="H524" s="1" t="s">
        <v>1301</v>
      </c>
      <c r="I524" s="1">
        <v>200.0</v>
      </c>
      <c r="J524" s="1">
        <v>50.0</v>
      </c>
      <c r="K524" s="1">
        <v>250.0</v>
      </c>
      <c r="L524" s="1">
        <v>245.0</v>
      </c>
      <c r="M524" s="1">
        <v>5.0</v>
      </c>
      <c r="N524" s="1">
        <v>5.0</v>
      </c>
      <c r="O524" s="1" t="s">
        <v>1302</v>
      </c>
      <c r="P524" s="3" t="str">
        <f>HYPERLINK("https://icf.clappia.com/app/SOM165486/submission/VYI38437946/ICF247370-SOM165486-2b6b93fl60lio0000000/SIG-20250702_1530knj6h.jpeg", "SIG-20250702_1530knj6h.jpeg")</f>
        <v>SIG-20250702_1530knj6h.jpeg</v>
      </c>
      <c r="Q524" s="3" t="str">
        <f>HYPERLINK("https://www.google.com/maps/place/7.9427133%2C-11.6664133", "7.9427133,-11.6664133")</f>
        <v>7.9427133,-11.6664133</v>
      </c>
    </row>
    <row r="525" ht="15.75" customHeight="1">
      <c r="A525" s="1" t="s">
        <v>1563</v>
      </c>
      <c r="B525" s="1" t="s">
        <v>18</v>
      </c>
      <c r="C525" s="1" t="s">
        <v>1564</v>
      </c>
      <c r="D525" s="1" t="s">
        <v>1564</v>
      </c>
      <c r="E525" s="2">
        <v>45840.0</v>
      </c>
      <c r="F525" s="1" t="s">
        <v>21</v>
      </c>
      <c r="G525" s="1" t="s">
        <v>269</v>
      </c>
      <c r="H525" s="1" t="s">
        <v>1298</v>
      </c>
      <c r="I525" s="1">
        <v>236.0</v>
      </c>
      <c r="J525" s="1" t="s">
        <v>24</v>
      </c>
      <c r="K525" s="1">
        <v>236.0</v>
      </c>
      <c r="L525" s="1">
        <v>145.0</v>
      </c>
      <c r="M525" s="1">
        <v>91.0</v>
      </c>
      <c r="N525" s="1">
        <v>91.0</v>
      </c>
      <c r="O525" s="1" t="s">
        <v>1565</v>
      </c>
      <c r="P525" s="3" t="str">
        <f>HYPERLINK("https://icf.clappia.com/app/SOM165486/submission/VKD12132653/ICF247370-SOM165486-43iad4deklg000000000/SIG-20250702_152913ko2f.jpeg", "SIG-20250702_152913ko2f.jpeg")</f>
        <v>SIG-20250702_152913ko2f.jpeg</v>
      </c>
      <c r="Q525" s="3" t="str">
        <f>HYPERLINK("https://www.google.com/maps/place/7.7113569%2C-11.6936506", "7.7113569,-11.6936506")</f>
        <v>7.7113569,-11.6936506</v>
      </c>
    </row>
    <row r="526" ht="15.75" customHeight="1">
      <c r="A526" s="1" t="s">
        <v>1566</v>
      </c>
      <c r="B526" s="1" t="s">
        <v>18</v>
      </c>
      <c r="C526" s="1" t="s">
        <v>1567</v>
      </c>
      <c r="D526" s="1" t="s">
        <v>1567</v>
      </c>
      <c r="E526" s="2">
        <v>45840.0</v>
      </c>
      <c r="F526" s="1" t="s">
        <v>21</v>
      </c>
      <c r="G526" s="1" t="s">
        <v>58</v>
      </c>
      <c r="H526" s="1" t="s">
        <v>580</v>
      </c>
      <c r="I526" s="1">
        <v>100.0</v>
      </c>
      <c r="J526" s="1">
        <v>100.0</v>
      </c>
      <c r="K526" s="1">
        <v>200.0</v>
      </c>
      <c r="L526" s="1">
        <v>100.0</v>
      </c>
      <c r="M526" s="1">
        <v>100.0</v>
      </c>
      <c r="N526" s="1" t="s">
        <v>24</v>
      </c>
      <c r="O526" s="1" t="s">
        <v>581</v>
      </c>
      <c r="P526" s="3" t="str">
        <f>HYPERLINK("https://icf.clappia.com/app/SOM165486/submission/FMV80919761/ICF247370-SOM165486-67nefkd2ecec00000000/SIG-20250702_152815jae5.jpeg", "SIG-20250702_152815jae5.jpeg")</f>
        <v>SIG-20250702_152815jae5.jpeg</v>
      </c>
      <c r="Q526" s="3" t="str">
        <f>HYPERLINK("https://www.google.com/maps/place/7.7802421%2C-11.7243601", "7.7802421,-11.7243601")</f>
        <v>7.7802421,-11.7243601</v>
      </c>
    </row>
    <row r="527" ht="15.75" customHeight="1">
      <c r="A527" s="1" t="s">
        <v>1568</v>
      </c>
      <c r="B527" s="1" t="s">
        <v>18</v>
      </c>
      <c r="C527" s="1" t="s">
        <v>1569</v>
      </c>
      <c r="D527" s="1" t="s">
        <v>1569</v>
      </c>
      <c r="E527" s="2">
        <v>45839.0</v>
      </c>
      <c r="F527" s="1" t="s">
        <v>21</v>
      </c>
      <c r="G527" s="1" t="s">
        <v>58</v>
      </c>
      <c r="H527" s="1" t="s">
        <v>580</v>
      </c>
      <c r="I527" s="1">
        <v>100.0</v>
      </c>
      <c r="J527" s="1" t="s">
        <v>24</v>
      </c>
      <c r="K527" s="1">
        <v>100.0</v>
      </c>
      <c r="L527" s="1">
        <v>82.0</v>
      </c>
      <c r="M527" s="1">
        <v>18.0</v>
      </c>
      <c r="N527" s="1">
        <v>18.0</v>
      </c>
      <c r="O527" s="1" t="s">
        <v>581</v>
      </c>
      <c r="P527" s="3" t="str">
        <f>HYPERLINK("https://icf.clappia.com/app/SOM165486/submission/UVP30212841/ICF247370-SOM165486-1c0d8j78go1a80000000/SIG-20250702_1526d98lk.jpeg", "SIG-20250702_1526d98lk.jpeg")</f>
        <v>SIG-20250702_1526d98lk.jpeg</v>
      </c>
      <c r="Q527" s="3" t="str">
        <f>HYPERLINK("https://www.google.com/maps/place/7.7802358%2C-11.7243884", "7.7802358,-11.7243884")</f>
        <v>7.7802358,-11.7243884</v>
      </c>
    </row>
    <row r="528" ht="15.75" customHeight="1">
      <c r="A528" s="1" t="s">
        <v>1570</v>
      </c>
      <c r="B528" s="1" t="s">
        <v>18</v>
      </c>
      <c r="C528" s="1" t="s">
        <v>1571</v>
      </c>
      <c r="D528" s="1" t="s">
        <v>1571</v>
      </c>
      <c r="E528" s="2">
        <v>45840.0</v>
      </c>
      <c r="F528" s="1" t="s">
        <v>68</v>
      </c>
      <c r="G528" s="1" t="s">
        <v>340</v>
      </c>
      <c r="H528" s="1" t="s">
        <v>476</v>
      </c>
      <c r="I528" s="1">
        <v>178.0</v>
      </c>
      <c r="J528" s="1" t="s">
        <v>24</v>
      </c>
      <c r="K528" s="1">
        <v>178.0</v>
      </c>
      <c r="L528" s="1">
        <v>170.0</v>
      </c>
      <c r="M528" s="1">
        <v>8.0</v>
      </c>
      <c r="N528" s="1">
        <v>8.0</v>
      </c>
      <c r="O528" s="1" t="s">
        <v>477</v>
      </c>
      <c r="P528" s="3" t="str">
        <f>HYPERLINK("https://icf.clappia.com/app/SOM165486/submission/XHT26539946/ICF247370-SOM165486-3gjbpmplgk1600000000/SIG-20250702_1516mnf74.jpeg", "SIG-20250702_1516mnf74.jpeg")</f>
        <v>SIG-20250702_1516mnf74.jpeg</v>
      </c>
      <c r="Q528" s="3" t="str">
        <f>HYPERLINK("https://www.google.com/maps/place/9.0674302%2C-11.9543818", "9.0674302,-11.9543818")</f>
        <v>9.0674302,-11.9543818</v>
      </c>
    </row>
    <row r="529" ht="15.75" customHeight="1">
      <c r="A529" s="1" t="s">
        <v>1572</v>
      </c>
      <c r="B529" s="1" t="s">
        <v>18</v>
      </c>
      <c r="C529" s="1" t="s">
        <v>1573</v>
      </c>
      <c r="D529" s="1" t="s">
        <v>1573</v>
      </c>
      <c r="E529" s="2">
        <v>45840.0</v>
      </c>
      <c r="F529" s="1" t="s">
        <v>21</v>
      </c>
      <c r="G529" s="1" t="s">
        <v>1005</v>
      </c>
      <c r="H529" s="1" t="s">
        <v>1116</v>
      </c>
      <c r="I529" s="1">
        <v>250.0</v>
      </c>
      <c r="J529" s="1" t="s">
        <v>24</v>
      </c>
      <c r="K529" s="1">
        <v>250.0</v>
      </c>
      <c r="L529" s="1">
        <v>247.0</v>
      </c>
      <c r="M529" s="1">
        <v>3.0</v>
      </c>
      <c r="N529" s="1">
        <v>3.0</v>
      </c>
      <c r="O529" s="1" t="s">
        <v>1418</v>
      </c>
      <c r="P529" s="3" t="str">
        <f>HYPERLINK("https://icf.clappia.com/app/SOM165486/submission/FJJ98925962/ICF247370-SOM165486-3m1anmcdf4cc00000000/SIG-20250702_15096d65.jpeg", "SIG-20250702_15096d65.jpeg")</f>
        <v>SIG-20250702_15096d65.jpeg</v>
      </c>
      <c r="Q529" s="3" t="str">
        <f>HYPERLINK("https://www.google.com/maps/place/7.8171827%2C-11.6273322", "7.8171827,-11.6273322")</f>
        <v>7.8171827,-11.6273322</v>
      </c>
    </row>
    <row r="530" ht="15.75" customHeight="1">
      <c r="A530" s="1" t="s">
        <v>1574</v>
      </c>
      <c r="B530" s="1" t="s">
        <v>283</v>
      </c>
      <c r="C530" s="1" t="s">
        <v>1575</v>
      </c>
      <c r="D530" s="1" t="s">
        <v>1575</v>
      </c>
      <c r="E530" s="2">
        <v>45840.0</v>
      </c>
      <c r="F530" s="1" t="s">
        <v>21</v>
      </c>
      <c r="G530" s="1" t="s">
        <v>164</v>
      </c>
      <c r="H530" s="1" t="s">
        <v>191</v>
      </c>
      <c r="I530" s="1">
        <v>122.0</v>
      </c>
      <c r="J530" s="1" t="s">
        <v>24</v>
      </c>
      <c r="K530" s="1">
        <v>122.0</v>
      </c>
      <c r="L530" s="1">
        <v>92.0</v>
      </c>
      <c r="M530" s="1">
        <v>30.0</v>
      </c>
      <c r="N530" s="1">
        <v>30.0</v>
      </c>
      <c r="O530" s="1" t="s">
        <v>192</v>
      </c>
      <c r="P530" s="3" t="str">
        <f>HYPERLINK("https://icf.clappia.com/app/SOM165486/submission/YIR14753021/ICF247370-SOM165486-3nh6ie629i9200000000/SIG-20250702_150613dmlj.jpeg", "SIG-20250702_150613dmlj.jpeg")</f>
        <v>SIG-20250702_150613dmlj.jpeg</v>
      </c>
      <c r="Q530" s="3" t="str">
        <f>HYPERLINK("https://www.google.com/maps/place/7.769624%2C-12.0832828", "7.769624,-12.0832828")</f>
        <v>7.769624,-12.0832828</v>
      </c>
    </row>
    <row r="531" ht="15.75" customHeight="1">
      <c r="A531" s="1" t="s">
        <v>1576</v>
      </c>
      <c r="B531" s="1" t="s">
        <v>18</v>
      </c>
      <c r="C531" s="1" t="s">
        <v>1577</v>
      </c>
      <c r="D531" s="1" t="s">
        <v>1577</v>
      </c>
      <c r="E531" s="2">
        <v>45840.0</v>
      </c>
      <c r="F531" s="1" t="s">
        <v>21</v>
      </c>
      <c r="G531" s="1" t="s">
        <v>275</v>
      </c>
      <c r="H531" s="1" t="s">
        <v>1578</v>
      </c>
      <c r="I531" s="1">
        <v>150.0</v>
      </c>
      <c r="J531" s="1" t="s">
        <v>24</v>
      </c>
      <c r="K531" s="1">
        <v>150.0</v>
      </c>
      <c r="L531" s="1">
        <v>129.0</v>
      </c>
      <c r="M531" s="1">
        <v>21.0</v>
      </c>
      <c r="N531" s="1">
        <v>21.0</v>
      </c>
      <c r="O531" s="1" t="s">
        <v>1579</v>
      </c>
      <c r="P531" s="3" t="str">
        <f>HYPERLINK("https://icf.clappia.com/app/SOM165486/submission/VTM81409417/ICF247370-SOM165486-4c459e9c37ai00000000/SIG-20250702_150413nki5.jpeg", "SIG-20250702_150413nki5.jpeg")</f>
        <v>SIG-20250702_150413nki5.jpeg</v>
      </c>
      <c r="Q531" s="3" t="str">
        <f>HYPERLINK("https://www.google.com/maps/place/7.734245%2C-11.8150867", "7.734245,-11.8150867")</f>
        <v>7.734245,-11.8150867</v>
      </c>
    </row>
    <row r="532" ht="15.75" customHeight="1">
      <c r="A532" s="1" t="s">
        <v>1580</v>
      </c>
      <c r="B532" s="1" t="s">
        <v>18</v>
      </c>
      <c r="C532" s="1" t="s">
        <v>1581</v>
      </c>
      <c r="D532" s="1" t="s">
        <v>1581</v>
      </c>
      <c r="E532" s="2">
        <v>45839.0</v>
      </c>
      <c r="F532" s="1" t="s">
        <v>21</v>
      </c>
      <c r="G532" s="1" t="s">
        <v>331</v>
      </c>
      <c r="H532" s="1" t="s">
        <v>1582</v>
      </c>
      <c r="I532" s="1">
        <v>166.0</v>
      </c>
      <c r="J532" s="1" t="s">
        <v>24</v>
      </c>
      <c r="K532" s="1">
        <v>166.0</v>
      </c>
      <c r="L532" s="1">
        <v>160.0</v>
      </c>
      <c r="M532" s="1">
        <v>6.0</v>
      </c>
      <c r="N532" s="1">
        <v>6.0</v>
      </c>
      <c r="O532" s="1" t="s">
        <v>1583</v>
      </c>
      <c r="P532" s="3" t="str">
        <f>HYPERLINK("https://icf.clappia.com/app/SOM165486/submission/HNR00211454/ICF247370-SOM165486-5bpel8a8ellm00000000/SIG-20250702_150217glhb.jpeg", "SIG-20250702_150217glhb.jpeg")</f>
        <v>SIG-20250702_150217glhb.jpeg</v>
      </c>
      <c r="Q532" s="3" t="str">
        <f>HYPERLINK("https://www.google.com/maps/place/7.7020579%2C-11.52733", "7.7020579,-11.52733")</f>
        <v>7.7020579,-11.52733</v>
      </c>
    </row>
    <row r="533" ht="15.75" customHeight="1">
      <c r="A533" s="1" t="s">
        <v>1584</v>
      </c>
      <c r="B533" s="1" t="s">
        <v>18</v>
      </c>
      <c r="C533" s="1" t="s">
        <v>1585</v>
      </c>
      <c r="D533" s="1" t="s">
        <v>1586</v>
      </c>
      <c r="E533" s="2">
        <v>45839.0</v>
      </c>
      <c r="F533" s="1" t="s">
        <v>21</v>
      </c>
      <c r="G533" s="1" t="s">
        <v>95</v>
      </c>
      <c r="H533" s="1" t="s">
        <v>759</v>
      </c>
      <c r="I533" s="1">
        <v>153.0</v>
      </c>
      <c r="J533" s="1" t="s">
        <v>24</v>
      </c>
      <c r="K533" s="1">
        <v>153.0</v>
      </c>
      <c r="L533" s="1">
        <v>152.0</v>
      </c>
      <c r="M533" s="1">
        <v>1.0</v>
      </c>
      <c r="N533" s="1">
        <v>1.0</v>
      </c>
      <c r="O533" s="1" t="s">
        <v>1587</v>
      </c>
      <c r="P533" s="3" t="str">
        <f>HYPERLINK("https://icf.clappia.com/app/SOM165486/submission/DIA59107077/ICF247370-SOM165486-2okld2i8o22a00000000/SIG-20250701_1121nc670.jpeg", "SIG-20250701_1121nc670.jpeg")</f>
        <v>SIG-20250701_1121nc670.jpeg</v>
      </c>
    </row>
    <row r="534" ht="15.75" customHeight="1">
      <c r="A534" s="1" t="s">
        <v>1588</v>
      </c>
      <c r="B534" s="1" t="s">
        <v>18</v>
      </c>
      <c r="C534" s="1" t="s">
        <v>1589</v>
      </c>
      <c r="D534" s="1" t="s">
        <v>1586</v>
      </c>
      <c r="E534" s="2">
        <v>45838.0</v>
      </c>
      <c r="F534" s="1" t="s">
        <v>21</v>
      </c>
      <c r="G534" s="1" t="s">
        <v>95</v>
      </c>
      <c r="H534" s="1" t="s">
        <v>759</v>
      </c>
      <c r="I534" s="1">
        <v>150.0</v>
      </c>
      <c r="J534" s="1" t="s">
        <v>24</v>
      </c>
      <c r="K534" s="1">
        <v>150.0</v>
      </c>
      <c r="L534" s="1">
        <v>130.0</v>
      </c>
      <c r="M534" s="1">
        <v>20.0</v>
      </c>
      <c r="N534" s="1">
        <v>20.0</v>
      </c>
      <c r="O534" s="1" t="s">
        <v>1587</v>
      </c>
      <c r="P534" s="3" t="str">
        <f>HYPERLINK("https://icf.clappia.com/app/SOM165486/submission/KMT41849709/ICF247370-SOM165486-63b2aib0ga8i00000000/SIG-20250630_1153m5fg3.jpeg", "SIG-20250630_1153m5fg3.jpeg")</f>
        <v>SIG-20250630_1153m5fg3.jpeg</v>
      </c>
    </row>
    <row r="535" ht="15.75" customHeight="1">
      <c r="A535" s="1" t="s">
        <v>1590</v>
      </c>
      <c r="B535" s="1" t="s">
        <v>18</v>
      </c>
      <c r="C535" s="1" t="s">
        <v>1591</v>
      </c>
      <c r="D535" s="1" t="s">
        <v>1591</v>
      </c>
      <c r="E535" s="2">
        <v>45838.0</v>
      </c>
      <c r="F535" s="1" t="s">
        <v>21</v>
      </c>
      <c r="G535" s="1" t="s">
        <v>331</v>
      </c>
      <c r="H535" s="1" t="s">
        <v>1582</v>
      </c>
      <c r="I535" s="1">
        <v>224.0</v>
      </c>
      <c r="J535" s="1" t="s">
        <v>24</v>
      </c>
      <c r="K535" s="1">
        <v>224.0</v>
      </c>
      <c r="L535" s="1">
        <v>224.0</v>
      </c>
      <c r="M535" s="1" t="s">
        <v>24</v>
      </c>
      <c r="N535" s="1" t="s">
        <v>24</v>
      </c>
      <c r="O535" s="1" t="s">
        <v>1583</v>
      </c>
      <c r="P535" s="3" t="str">
        <f>HYPERLINK("https://icf.clappia.com/app/SOM165486/submission/PNZ11937036/ICF247370-SOM165486-2i61pfla3ld400000000/SIG-20250702_145556848.jpeg", "SIG-20250702_145556848.jpeg")</f>
        <v>SIG-20250702_145556848.jpeg</v>
      </c>
      <c r="Q535" s="3" t="str">
        <f>HYPERLINK("https://www.google.com/maps/place/7.7023572%2C-11.5271874", "7.7023572,-11.5271874")</f>
        <v>7.7023572,-11.5271874</v>
      </c>
    </row>
    <row r="536" ht="15.75" customHeight="1">
      <c r="A536" s="1" t="s">
        <v>1592</v>
      </c>
      <c r="B536" s="1" t="s">
        <v>18</v>
      </c>
      <c r="C536" s="1" t="s">
        <v>1593</v>
      </c>
      <c r="D536" s="1" t="s">
        <v>1593</v>
      </c>
      <c r="E536" s="2">
        <v>45840.0</v>
      </c>
      <c r="F536" s="1" t="s">
        <v>21</v>
      </c>
      <c r="G536" s="1" t="s">
        <v>331</v>
      </c>
      <c r="H536" s="1" t="s">
        <v>1322</v>
      </c>
      <c r="I536" s="1">
        <v>243.0</v>
      </c>
      <c r="J536" s="1" t="s">
        <v>24</v>
      </c>
      <c r="K536" s="1">
        <v>243.0</v>
      </c>
      <c r="L536" s="1">
        <v>218.0</v>
      </c>
      <c r="M536" s="1">
        <v>25.0</v>
      </c>
      <c r="N536" s="1">
        <v>15.0</v>
      </c>
      <c r="O536" s="1" t="s">
        <v>1323</v>
      </c>
      <c r="P536" s="3" t="str">
        <f>HYPERLINK("https://icf.clappia.com/app/SOM165486/submission/BOZ76018424/ICF247370-SOM165486-5gohdmo80an600000000/SIG-20250702_1450balcm.jpeg", "SIG-20250702_1450balcm.jpeg")</f>
        <v>SIG-20250702_1450balcm.jpeg</v>
      </c>
      <c r="Q536" s="3" t="str">
        <f>HYPERLINK("https://www.google.com/maps/place/7.7630554%2C-11.4744015", "7.7630554,-11.4744015")</f>
        <v>7.7630554,-11.4744015</v>
      </c>
    </row>
    <row r="537" ht="15.75" customHeight="1">
      <c r="A537" s="1" t="s">
        <v>1594</v>
      </c>
      <c r="B537" s="1" t="s">
        <v>18</v>
      </c>
      <c r="C537" s="1" t="s">
        <v>1595</v>
      </c>
      <c r="D537" s="1" t="s">
        <v>1596</v>
      </c>
      <c r="E537" s="2">
        <v>45840.0</v>
      </c>
      <c r="F537" s="1" t="s">
        <v>21</v>
      </c>
      <c r="G537" s="1" t="s">
        <v>164</v>
      </c>
      <c r="H537" s="1" t="s">
        <v>191</v>
      </c>
      <c r="I537" s="1">
        <v>122.0</v>
      </c>
      <c r="J537" s="1" t="s">
        <v>24</v>
      </c>
      <c r="K537" s="1">
        <v>122.0</v>
      </c>
      <c r="L537" s="1">
        <v>92.0</v>
      </c>
      <c r="M537" s="1">
        <v>30.0</v>
      </c>
      <c r="N537" s="1">
        <v>30.0</v>
      </c>
      <c r="O537" s="1" t="s">
        <v>192</v>
      </c>
      <c r="P537" s="3" t="str">
        <f>HYPERLINK("https://icf.clappia.com/app/SOM165486/submission/YPF49994388/ICF247370-SOM165486-1lp062pli40pm000000/SIG-20250702_1409o3na9.jpeg", "SIG-20250702_1409o3na9.jpeg")</f>
        <v>SIG-20250702_1409o3na9.jpeg</v>
      </c>
      <c r="Q537" s="3" t="str">
        <f>HYPERLINK("https://www.google.com/maps/place/7.7679983%2C-12.0922117", "7.7679983,-12.0922117")</f>
        <v>7.7679983,-12.0922117</v>
      </c>
    </row>
    <row r="538" ht="15.75" customHeight="1">
      <c r="A538" s="1" t="s">
        <v>1597</v>
      </c>
      <c r="B538" s="1" t="s">
        <v>283</v>
      </c>
      <c r="C538" s="1" t="s">
        <v>1598</v>
      </c>
      <c r="D538" s="1" t="s">
        <v>1598</v>
      </c>
      <c r="E538" s="2">
        <v>45840.0</v>
      </c>
      <c r="F538" s="1" t="s">
        <v>21</v>
      </c>
      <c r="G538" s="1" t="s">
        <v>1005</v>
      </c>
      <c r="H538" s="1" t="s">
        <v>1116</v>
      </c>
      <c r="I538" s="1">
        <v>250.0</v>
      </c>
      <c r="J538" s="1" t="s">
        <v>24</v>
      </c>
      <c r="K538" s="1">
        <v>250.0</v>
      </c>
      <c r="L538" s="1">
        <v>247.0</v>
      </c>
      <c r="M538" s="1">
        <v>3.0</v>
      </c>
      <c r="N538" s="1">
        <v>3.0</v>
      </c>
      <c r="O538" s="1" t="s">
        <v>1599</v>
      </c>
      <c r="P538" s="3" t="str">
        <f>HYPERLINK("https://icf.clappia.com/app/SOM165486/submission/VLJ83818556/ICF247370-SOM165486-5kn05bl3anic00000000/SIG-20250702_1445134n3p.jpeg", "SIG-20250702_1445134n3p.jpeg")</f>
        <v>SIG-20250702_1445134n3p.jpeg</v>
      </c>
      <c r="Q538" s="3" t="str">
        <f>HYPERLINK("https://www.google.com/maps/place/7.8042984%2C-11.6344435", "7.8042984,-11.6344435")</f>
        <v>7.8042984,-11.6344435</v>
      </c>
    </row>
    <row r="539" ht="15.75" customHeight="1">
      <c r="A539" s="1" t="s">
        <v>1600</v>
      </c>
      <c r="B539" s="1" t="s">
        <v>18</v>
      </c>
      <c r="C539" s="1" t="s">
        <v>1601</v>
      </c>
      <c r="D539" s="1" t="s">
        <v>1601</v>
      </c>
      <c r="E539" s="2">
        <v>45840.0</v>
      </c>
      <c r="F539" s="1" t="s">
        <v>68</v>
      </c>
      <c r="G539" s="1" t="s">
        <v>88</v>
      </c>
      <c r="H539" s="1" t="s">
        <v>881</v>
      </c>
      <c r="I539" s="1">
        <v>100.0</v>
      </c>
      <c r="J539" s="1" t="s">
        <v>24</v>
      </c>
      <c r="K539" s="1">
        <v>100.0</v>
      </c>
      <c r="L539" s="1">
        <v>100.0</v>
      </c>
      <c r="M539" s="1" t="s">
        <v>24</v>
      </c>
      <c r="N539" s="1" t="s">
        <v>24</v>
      </c>
      <c r="O539" s="1" t="s">
        <v>1602</v>
      </c>
      <c r="P539" s="3" t="str">
        <f>HYPERLINK("https://icf.clappia.com/app/SOM165486/submission/USV01639699/ICF247370-SOM165486-3dp2o79k7o1e00000000/SIG-20250702_1121b292d.jpeg", "SIG-20250702_1121b292d.jpeg")</f>
        <v>SIG-20250702_1121b292d.jpeg</v>
      </c>
      <c r="Q539" s="3" t="str">
        <f>HYPERLINK("https://www.google.com/maps/place/8.8786288%2C-12.0533673", "8.8786288,-12.0533673")</f>
        <v>8.8786288,-12.0533673</v>
      </c>
    </row>
    <row r="540" ht="15.75" customHeight="1">
      <c r="A540" s="1" t="s">
        <v>1603</v>
      </c>
      <c r="B540" s="1" t="s">
        <v>283</v>
      </c>
      <c r="C540" s="1" t="s">
        <v>820</v>
      </c>
      <c r="D540" s="1" t="s">
        <v>820</v>
      </c>
      <c r="E540" s="2">
        <v>45840.0</v>
      </c>
      <c r="F540" s="1" t="s">
        <v>68</v>
      </c>
      <c r="G540" s="1" t="s">
        <v>385</v>
      </c>
      <c r="H540" s="1" t="s">
        <v>1604</v>
      </c>
      <c r="I540" s="1">
        <v>140.0</v>
      </c>
      <c r="J540" s="1" t="s">
        <v>24</v>
      </c>
      <c r="K540" s="1">
        <v>140.0</v>
      </c>
      <c r="L540" s="1">
        <v>140.0</v>
      </c>
      <c r="M540" s="1" t="s">
        <v>24</v>
      </c>
      <c r="N540" s="1" t="s">
        <v>24</v>
      </c>
      <c r="O540" s="1" t="s">
        <v>1605</v>
      </c>
      <c r="P540" s="3" t="str">
        <f>HYPERLINK("https://icf.clappia.com/app/SOM165486/submission/VZU37621270/ICF247370-SOM165486-3k7fed116nhm00000000/SIG-20250702_1437k9jd2.jpeg", "SIG-20250702_1437k9jd2.jpeg")</f>
        <v>SIG-20250702_1437k9jd2.jpeg</v>
      </c>
      <c r="Q540" s="3" t="str">
        <f>HYPERLINK("https://www.google.com/maps/place/9.0216388%2C-12.3347158", "9.0216388,-12.3347158")</f>
        <v>9.0216388,-12.3347158</v>
      </c>
    </row>
    <row r="541" ht="15.75" customHeight="1">
      <c r="A541" s="1" t="s">
        <v>1606</v>
      </c>
      <c r="B541" s="1" t="s">
        <v>18</v>
      </c>
      <c r="C541" s="1" t="s">
        <v>820</v>
      </c>
      <c r="D541" s="1" t="s">
        <v>820</v>
      </c>
      <c r="E541" s="2">
        <v>45840.0</v>
      </c>
      <c r="F541" s="1" t="s">
        <v>21</v>
      </c>
      <c r="G541" s="1" t="s">
        <v>269</v>
      </c>
      <c r="H541" s="1" t="s">
        <v>1298</v>
      </c>
      <c r="I541" s="1">
        <v>200.0</v>
      </c>
      <c r="J541" s="1" t="s">
        <v>24</v>
      </c>
      <c r="K541" s="1">
        <v>200.0</v>
      </c>
      <c r="L541" s="1">
        <v>150.0</v>
      </c>
      <c r="M541" s="1">
        <v>50.0</v>
      </c>
      <c r="N541" s="1">
        <v>50.0</v>
      </c>
      <c r="O541" s="1" t="s">
        <v>1335</v>
      </c>
      <c r="P541" s="3" t="str">
        <f>HYPERLINK("https://icf.clappia.com/app/SOM165486/submission/AHR38544036/ICF247370-SOM165486-4c46c3fgfn0000000000/SIG-20250702_14398k52h.jpeg", "SIG-20250702_14398k52h.jpeg")</f>
        <v>SIG-20250702_14398k52h.jpeg</v>
      </c>
      <c r="Q541" s="3" t="str">
        <f>HYPERLINK("https://www.google.com/maps/place/7.711418%2C-11.6935273", "7.711418,-11.6935273")</f>
        <v>7.711418,-11.6935273</v>
      </c>
    </row>
    <row r="542" ht="15.75" customHeight="1">
      <c r="A542" s="1" t="s">
        <v>1607</v>
      </c>
      <c r="B542" s="1" t="s">
        <v>283</v>
      </c>
      <c r="C542" s="1" t="s">
        <v>820</v>
      </c>
      <c r="D542" s="1" t="s">
        <v>820</v>
      </c>
      <c r="E542" s="2">
        <v>45839.0</v>
      </c>
      <c r="F542" s="1" t="s">
        <v>21</v>
      </c>
      <c r="G542" s="1" t="s">
        <v>1005</v>
      </c>
      <c r="H542" s="1" t="s">
        <v>1116</v>
      </c>
      <c r="I542" s="1">
        <v>127.0</v>
      </c>
      <c r="J542" s="1" t="s">
        <v>24</v>
      </c>
      <c r="K542" s="1">
        <v>127.0</v>
      </c>
      <c r="L542" s="1">
        <v>126.0</v>
      </c>
      <c r="M542" s="1">
        <v>1.0</v>
      </c>
      <c r="N542" s="1">
        <v>1.0</v>
      </c>
      <c r="O542" s="1" t="s">
        <v>1599</v>
      </c>
      <c r="P542" s="3" t="str">
        <f>HYPERLINK("https://icf.clappia.com/app/SOM165486/submission/BXR19934473/ICF247370-SOM165486-438kfd6nea2m00000000/SIG-20250702_143810a97b.jpeg", "SIG-20250702_143810a97b.jpeg")</f>
        <v>SIG-20250702_143810a97b.jpeg</v>
      </c>
      <c r="Q542" s="3" t="str">
        <f>HYPERLINK("https://www.google.com/maps/place/7.8042984%2C-11.6344435", "7.8042984,-11.6344435")</f>
        <v>7.8042984,-11.6344435</v>
      </c>
    </row>
    <row r="543" ht="15.75" customHeight="1">
      <c r="A543" s="1" t="s">
        <v>1608</v>
      </c>
      <c r="B543" s="1" t="s">
        <v>18</v>
      </c>
      <c r="C543" s="1" t="s">
        <v>702</v>
      </c>
      <c r="D543" s="1" t="s">
        <v>1609</v>
      </c>
      <c r="E543" s="2">
        <v>45840.0</v>
      </c>
      <c r="F543" s="1" t="s">
        <v>21</v>
      </c>
      <c r="G543" s="1" t="s">
        <v>331</v>
      </c>
      <c r="H543" s="1" t="s">
        <v>1322</v>
      </c>
      <c r="I543" s="1">
        <v>243.0</v>
      </c>
      <c r="J543" s="1" t="s">
        <v>24</v>
      </c>
      <c r="K543" s="1">
        <v>243.0</v>
      </c>
      <c r="L543" s="1">
        <v>218.0</v>
      </c>
      <c r="M543" s="1">
        <v>25.0</v>
      </c>
      <c r="N543" s="1">
        <v>15.0</v>
      </c>
      <c r="O543" s="1" t="s">
        <v>1323</v>
      </c>
      <c r="P543" s="3" t="str">
        <f>HYPERLINK("https://icf.clappia.com/app/SOM165486/submission/AVU72982022/ICF247370-SOM165486-59mikh8og80e00000000/SIG-20250702_13395gfo0.jpeg", "SIG-20250702_13395gfo0.jpeg")</f>
        <v>SIG-20250702_13395gfo0.jpeg</v>
      </c>
      <c r="Q543" s="3" t="str">
        <f>HYPERLINK("https://www.google.com/maps/place/7.7630181%2C-11.474402", "7.7630181,-11.474402")</f>
        <v>7.7630181,-11.474402</v>
      </c>
    </row>
    <row r="544" ht="15.75" customHeight="1">
      <c r="A544" s="1" t="s">
        <v>1610</v>
      </c>
      <c r="B544" s="1" t="s">
        <v>18</v>
      </c>
      <c r="C544" s="1" t="s">
        <v>1611</v>
      </c>
      <c r="D544" s="1" t="s">
        <v>1612</v>
      </c>
      <c r="E544" s="2">
        <v>45840.0</v>
      </c>
      <c r="F544" s="1" t="s">
        <v>21</v>
      </c>
      <c r="G544" s="1" t="s">
        <v>331</v>
      </c>
      <c r="H544" s="1" t="s">
        <v>1322</v>
      </c>
      <c r="I544" s="1">
        <v>243.0</v>
      </c>
      <c r="J544" s="1" t="s">
        <v>24</v>
      </c>
      <c r="K544" s="1">
        <v>243.0</v>
      </c>
      <c r="L544" s="1">
        <v>218.0</v>
      </c>
      <c r="M544" s="1">
        <v>25.0</v>
      </c>
      <c r="N544" s="1">
        <v>15.0</v>
      </c>
      <c r="O544" s="1" t="s">
        <v>1323</v>
      </c>
      <c r="P544" s="3" t="str">
        <f>HYPERLINK("https://icf.clappia.com/app/SOM165486/submission/HLA67718523/ICF247370-SOM165486-26nh44aop7c560000000/SIG-20250702_13371a31l4.jpeg", "SIG-20250702_13371a31l4.jpeg")</f>
        <v>SIG-20250702_13371a31l4.jpeg</v>
      </c>
      <c r="Q544" s="3" t="str">
        <f>HYPERLINK("https://www.google.com/maps/place/7.76307%2C-11.4744467", "7.76307,-11.4744467")</f>
        <v>7.76307,-11.4744467</v>
      </c>
    </row>
    <row r="545" ht="15.75" customHeight="1">
      <c r="A545" s="1" t="s">
        <v>1613</v>
      </c>
      <c r="B545" s="1" t="s">
        <v>18</v>
      </c>
      <c r="C545" s="1" t="s">
        <v>1614</v>
      </c>
      <c r="D545" s="1" t="s">
        <v>1614</v>
      </c>
      <c r="E545" s="2">
        <v>45840.0</v>
      </c>
      <c r="F545" s="1" t="s">
        <v>68</v>
      </c>
      <c r="G545" s="1" t="s">
        <v>592</v>
      </c>
      <c r="H545" s="1" t="s">
        <v>593</v>
      </c>
      <c r="I545" s="1">
        <v>76.0</v>
      </c>
      <c r="J545" s="1" t="s">
        <v>24</v>
      </c>
      <c r="K545" s="1">
        <v>76.0</v>
      </c>
      <c r="L545" s="1">
        <v>66.0</v>
      </c>
      <c r="M545" s="1">
        <v>10.0</v>
      </c>
      <c r="N545" s="1">
        <v>10.0</v>
      </c>
      <c r="O545" s="1" t="s">
        <v>694</v>
      </c>
      <c r="P545" s="3" t="str">
        <f>HYPERLINK("https://icf.clappia.com/app/SOM165486/submission/YLU32090504/ICF247370-SOM165486-33fnf6h4ejf800000000/SIG-20250702_1240m97oh.jpeg", "SIG-20250702_1240m97oh.jpeg")</f>
        <v>SIG-20250702_1240m97oh.jpeg</v>
      </c>
      <c r="Q545" s="3" t="str">
        <f>HYPERLINK("https://www.google.com/maps/place/8.92246%2C-12.03161", "8.92246,-12.03161")</f>
        <v>8.92246,-12.03161</v>
      </c>
    </row>
    <row r="546" ht="15.75" customHeight="1">
      <c r="A546" s="1" t="s">
        <v>1615</v>
      </c>
      <c r="B546" s="1" t="s">
        <v>18</v>
      </c>
      <c r="C546" s="1" t="s">
        <v>1616</v>
      </c>
      <c r="D546" s="1" t="s">
        <v>1614</v>
      </c>
      <c r="E546" s="2">
        <v>45840.0</v>
      </c>
      <c r="F546" s="1" t="s">
        <v>21</v>
      </c>
      <c r="G546" s="1" t="s">
        <v>331</v>
      </c>
      <c r="H546" s="1" t="s">
        <v>1322</v>
      </c>
      <c r="I546" s="1">
        <v>243.0</v>
      </c>
      <c r="J546" s="1" t="s">
        <v>24</v>
      </c>
      <c r="K546" s="1">
        <v>243.0</v>
      </c>
      <c r="L546" s="1">
        <v>218.0</v>
      </c>
      <c r="M546" s="1">
        <v>25.0</v>
      </c>
      <c r="N546" s="1">
        <v>15.0</v>
      </c>
      <c r="O546" s="1" t="s">
        <v>1323</v>
      </c>
      <c r="P546" s="3" t="str">
        <f>HYPERLINK("https://icf.clappia.com/app/SOM165486/submission/CQL11459481/ICF247370-SOM165486-10alkoblm7ghe0000000/SIG-20250702_122815pmmb.jpeg", "SIG-20250702_122815pmmb.jpeg")</f>
        <v>SIG-20250702_122815pmmb.jpeg</v>
      </c>
      <c r="Q546" s="3" t="str">
        <f>HYPERLINK("https://www.google.com/maps/place/7.7248167%2C-11.467005", "7.7248167,-11.467005")</f>
        <v>7.7248167,-11.467005</v>
      </c>
    </row>
    <row r="547" ht="15.75" customHeight="1">
      <c r="A547" s="1" t="s">
        <v>1617</v>
      </c>
      <c r="B547" s="1" t="s">
        <v>18</v>
      </c>
      <c r="C547" s="1" t="s">
        <v>1618</v>
      </c>
      <c r="D547" s="1" t="s">
        <v>1618</v>
      </c>
      <c r="E547" s="2">
        <v>45840.0</v>
      </c>
      <c r="F547" s="1" t="s">
        <v>21</v>
      </c>
      <c r="G547" s="1" t="s">
        <v>58</v>
      </c>
      <c r="H547" s="1" t="s">
        <v>1619</v>
      </c>
      <c r="I547" s="1">
        <v>250.0</v>
      </c>
      <c r="J547" s="1" t="s">
        <v>24</v>
      </c>
      <c r="K547" s="1">
        <v>250.0</v>
      </c>
      <c r="L547" s="1">
        <v>250.0</v>
      </c>
      <c r="M547" s="1" t="s">
        <v>24</v>
      </c>
      <c r="N547" s="1" t="s">
        <v>24</v>
      </c>
      <c r="O547" s="1" t="s">
        <v>1620</v>
      </c>
      <c r="P547" s="3" t="str">
        <f>HYPERLINK("https://icf.clappia.com/app/SOM165486/submission/ZJY54860317/ICF247370-SOM165486-2p8jbo553i3m00000000/SIG-20250702_142297b5n.jpeg", "SIG-20250702_142297b5n.jpeg")</f>
        <v>SIG-20250702_142297b5n.jpeg</v>
      </c>
      <c r="Q547" s="3" t="str">
        <f>HYPERLINK("https://www.google.com/maps/place/7.9360663%2C-11.7251562", "7.9360663,-11.7251562")</f>
        <v>7.9360663,-11.7251562</v>
      </c>
    </row>
    <row r="548" ht="15.75" customHeight="1">
      <c r="A548" s="1" t="s">
        <v>1621</v>
      </c>
      <c r="B548" s="1" t="s">
        <v>18</v>
      </c>
      <c r="C548" s="1" t="s">
        <v>1622</v>
      </c>
      <c r="D548" s="1" t="s">
        <v>1622</v>
      </c>
      <c r="E548" s="2">
        <v>45838.0</v>
      </c>
      <c r="F548" s="1" t="s">
        <v>68</v>
      </c>
      <c r="G548" s="1" t="s">
        <v>83</v>
      </c>
      <c r="H548" s="1" t="s">
        <v>1623</v>
      </c>
      <c r="I548" s="1">
        <v>350.0</v>
      </c>
      <c r="J548" s="1" t="s">
        <v>24</v>
      </c>
      <c r="K548" s="1">
        <v>350.0</v>
      </c>
      <c r="L548" s="1">
        <v>314.0</v>
      </c>
      <c r="M548" s="1">
        <v>36.0</v>
      </c>
      <c r="N548" s="1">
        <v>36.0</v>
      </c>
      <c r="O548" s="1" t="s">
        <v>1624</v>
      </c>
      <c r="P548" s="3" t="str">
        <f>HYPERLINK("https://icf.clappia.com/app/SOM165486/submission/QGQ39790773/ICF247370-SOM165486-5f5a6od52nma00000000/SIG-20250702_1420j9588.jpeg", "SIG-20250702_1420j9588.jpeg")</f>
        <v>SIG-20250702_1420j9588.jpeg</v>
      </c>
      <c r="Q548" s="3" t="str">
        <f>HYPERLINK("https://www.google.com/maps/place/8.8102961%2C-12.0449374", "8.8102961,-12.0449374")</f>
        <v>8.8102961,-12.0449374</v>
      </c>
    </row>
    <row r="549" ht="15.75" customHeight="1">
      <c r="A549" s="1" t="s">
        <v>1625</v>
      </c>
      <c r="B549" s="1" t="s">
        <v>18</v>
      </c>
      <c r="C549" s="1" t="s">
        <v>1626</v>
      </c>
      <c r="D549" s="1" t="s">
        <v>1626</v>
      </c>
      <c r="E549" s="2">
        <v>45840.0</v>
      </c>
      <c r="F549" s="1" t="s">
        <v>68</v>
      </c>
      <c r="G549" s="1" t="s">
        <v>69</v>
      </c>
      <c r="H549" s="1" t="s">
        <v>806</v>
      </c>
      <c r="I549" s="1">
        <v>204.0</v>
      </c>
      <c r="J549" s="1">
        <v>85.0</v>
      </c>
      <c r="K549" s="1">
        <v>289.0</v>
      </c>
      <c r="L549" s="1">
        <v>286.0</v>
      </c>
      <c r="M549" s="1">
        <v>3.0</v>
      </c>
      <c r="N549" s="1" t="s">
        <v>24</v>
      </c>
      <c r="O549" s="1" t="s">
        <v>1627</v>
      </c>
      <c r="P549" s="3" t="str">
        <f>HYPERLINK("https://icf.clappia.com/app/SOM165486/submission/IOI54230874/ICF247370-SOM165486-5135nmjdmj4k00000000/SIG-20250702_1417hpdlh.jpeg", "SIG-20250702_1417hpdlh.jpeg")</f>
        <v>SIG-20250702_1417hpdlh.jpeg</v>
      </c>
      <c r="Q549" s="3" t="str">
        <f>HYPERLINK("https://www.google.com/maps/place/8.8744767%2C-12.2654883", "8.8744767,-12.2654883")</f>
        <v>8.8744767,-12.2654883</v>
      </c>
    </row>
    <row r="550" ht="15.75" customHeight="1">
      <c r="A550" s="1" t="s">
        <v>1628</v>
      </c>
      <c r="B550" s="1" t="s">
        <v>18</v>
      </c>
      <c r="C550" s="1" t="s">
        <v>1629</v>
      </c>
      <c r="D550" s="1" t="s">
        <v>1630</v>
      </c>
      <c r="E550" s="2">
        <v>45840.0</v>
      </c>
      <c r="F550" s="1" t="s">
        <v>68</v>
      </c>
      <c r="G550" s="1" t="s">
        <v>88</v>
      </c>
      <c r="H550" s="1" t="s">
        <v>515</v>
      </c>
      <c r="I550" s="1">
        <v>300.0</v>
      </c>
      <c r="J550" s="1">
        <v>56.0</v>
      </c>
      <c r="K550" s="1">
        <v>356.0</v>
      </c>
      <c r="L550" s="1">
        <v>356.0</v>
      </c>
      <c r="M550" s="1" t="s">
        <v>24</v>
      </c>
      <c r="N550" s="1" t="s">
        <v>24</v>
      </c>
      <c r="O550" s="1" t="s">
        <v>554</v>
      </c>
      <c r="P550" s="3" t="str">
        <f>HYPERLINK("https://icf.clappia.com/app/SOM165486/submission/PGF29069452/ICF247370-SOM165486-4mhl1f068nbg00000000/SIG-20250702_10242505.jpeg", "SIG-20250702_10242505.jpeg")</f>
        <v>SIG-20250702_10242505.jpeg</v>
      </c>
      <c r="Q550" s="3" t="str">
        <f>HYPERLINK("https://www.google.com/maps/place/8.8905403%2C-12.04416", "8.8905403,-12.04416")</f>
        <v>8.8905403,-12.04416</v>
      </c>
    </row>
    <row r="551" ht="15.75" customHeight="1">
      <c r="A551" s="1" t="s">
        <v>1631</v>
      </c>
      <c r="B551" s="1" t="s">
        <v>283</v>
      </c>
      <c r="C551" s="1" t="s">
        <v>1630</v>
      </c>
      <c r="D551" s="1" t="s">
        <v>1630</v>
      </c>
      <c r="E551" s="2">
        <v>45838.0</v>
      </c>
      <c r="F551" s="1" t="s">
        <v>21</v>
      </c>
      <c r="G551" s="1" t="s">
        <v>1005</v>
      </c>
      <c r="H551" s="1" t="s">
        <v>1116</v>
      </c>
      <c r="I551" s="1">
        <v>300.0</v>
      </c>
      <c r="J551" s="1" t="s">
        <v>24</v>
      </c>
      <c r="K551" s="1">
        <v>300.0</v>
      </c>
      <c r="L551" s="1">
        <v>282.0</v>
      </c>
      <c r="M551" s="1">
        <v>18.0</v>
      </c>
      <c r="N551" s="1">
        <v>18.0</v>
      </c>
      <c r="O551" s="1" t="s">
        <v>1599</v>
      </c>
      <c r="P551" s="3" t="str">
        <f>HYPERLINK("https://icf.clappia.com/app/SOM165486/submission/RVV99188146/ICF247370-SOM165486-1ne5ofmak7d4i0000000/SIG-20250702_141618i568.jpeg", "SIG-20250702_141618i568.jpeg")</f>
        <v>SIG-20250702_141618i568.jpeg</v>
      </c>
      <c r="Q551" s="3" t="str">
        <f>HYPERLINK("https://www.google.com/maps/place/7.8025949%2C-11.638518", "7.8025949,-11.638518")</f>
        <v>7.8025949,-11.638518</v>
      </c>
    </row>
    <row r="552" ht="15.75" customHeight="1">
      <c r="A552" s="1" t="s">
        <v>1632</v>
      </c>
      <c r="B552" s="1" t="s">
        <v>18</v>
      </c>
      <c r="C552" s="1" t="s">
        <v>1629</v>
      </c>
      <c r="D552" s="1" t="s">
        <v>1629</v>
      </c>
      <c r="E552" s="2">
        <v>45840.0</v>
      </c>
      <c r="F552" s="1" t="s">
        <v>68</v>
      </c>
      <c r="G552" s="1" t="s">
        <v>83</v>
      </c>
      <c r="H552" s="1" t="s">
        <v>653</v>
      </c>
      <c r="I552" s="1">
        <v>250.0</v>
      </c>
      <c r="J552" s="1" t="s">
        <v>24</v>
      </c>
      <c r="K552" s="1">
        <v>250.0</v>
      </c>
      <c r="L552" s="1">
        <v>188.0</v>
      </c>
      <c r="M552" s="1">
        <v>62.0</v>
      </c>
      <c r="N552" s="1">
        <v>62.0</v>
      </c>
      <c r="O552" s="1" t="s">
        <v>1633</v>
      </c>
      <c r="P552" s="3" t="str">
        <f>HYPERLINK("https://icf.clappia.com/app/SOM165486/submission/KGB91773662/ICF247370-SOM165486-k7544gbio1760000000/SIG-20250702_14151892nc.jpeg", "SIG-20250702_14151892nc.jpeg")</f>
        <v>SIG-20250702_14151892nc.jpeg</v>
      </c>
      <c r="Q552" s="3" t="str">
        <f>HYPERLINK("https://www.google.com/maps/place/8.8689555%2C-12.0523704", "8.8689555,-12.0523704")</f>
        <v>8.8689555,-12.0523704</v>
      </c>
    </row>
    <row r="553" ht="15.75" customHeight="1">
      <c r="A553" s="1" t="s">
        <v>1634</v>
      </c>
      <c r="B553" s="1" t="s">
        <v>18</v>
      </c>
      <c r="C553" s="1" t="s">
        <v>1629</v>
      </c>
      <c r="D553" s="1" t="s">
        <v>1629</v>
      </c>
      <c r="E553" s="2">
        <v>45840.0</v>
      </c>
      <c r="F553" s="1" t="s">
        <v>68</v>
      </c>
      <c r="G553" s="1" t="s">
        <v>69</v>
      </c>
      <c r="H553" s="1" t="s">
        <v>70</v>
      </c>
      <c r="I553" s="1">
        <v>100.0</v>
      </c>
      <c r="J553" s="1">
        <v>30.0</v>
      </c>
      <c r="K553" s="1">
        <v>130.0</v>
      </c>
      <c r="L553" s="1">
        <v>121.0</v>
      </c>
      <c r="M553" s="1">
        <v>9.0</v>
      </c>
      <c r="N553" s="1" t="s">
        <v>24</v>
      </c>
      <c r="O553" s="1" t="s">
        <v>1635</v>
      </c>
      <c r="P553" s="3" t="str">
        <f>HYPERLINK("https://icf.clappia.com/app/SOM165486/submission/MZC99109549/ICF247370-SOM165486-ocoep2ngghck0000000/SIG-20250702_141318l0g3.jpeg", "SIG-20250702_141318l0g3.jpeg")</f>
        <v>SIG-20250702_141318l0g3.jpeg</v>
      </c>
      <c r="Q553" s="3" t="str">
        <f>HYPERLINK("https://www.google.com/maps/place/8.87753%2C-12.10807", "8.87753,-12.10807")</f>
        <v>8.87753,-12.10807</v>
      </c>
    </row>
    <row r="554" ht="15.75" customHeight="1">
      <c r="A554" s="1" t="s">
        <v>1636</v>
      </c>
      <c r="B554" s="1" t="s">
        <v>18</v>
      </c>
      <c r="C554" s="1" t="s">
        <v>1637</v>
      </c>
      <c r="D554" s="1" t="s">
        <v>1637</v>
      </c>
      <c r="E554" s="2">
        <v>45840.0</v>
      </c>
      <c r="F554" s="1" t="s">
        <v>68</v>
      </c>
      <c r="G554" s="1" t="s">
        <v>83</v>
      </c>
      <c r="H554" s="1" t="s">
        <v>653</v>
      </c>
      <c r="I554" s="1">
        <v>250.0</v>
      </c>
      <c r="J554" s="1" t="s">
        <v>24</v>
      </c>
      <c r="K554" s="1">
        <v>250.0</v>
      </c>
      <c r="L554" s="1">
        <v>188.0</v>
      </c>
      <c r="M554" s="1">
        <v>62.0</v>
      </c>
      <c r="N554" s="1">
        <v>62.0</v>
      </c>
      <c r="O554" s="1" t="s">
        <v>1633</v>
      </c>
      <c r="P554" s="3" t="str">
        <f>HYPERLINK("https://icf.clappia.com/app/SOM165486/submission/ESX14649027/ICF247370-SOM165486-8l6manoc42p60000000/SIG-20250702_1340ic3g1.jpeg", "SIG-20250702_1340ic3g1.jpeg")</f>
        <v>SIG-20250702_1340ic3g1.jpeg</v>
      </c>
    </row>
    <row r="555" ht="15.75" customHeight="1">
      <c r="A555" s="1" t="s">
        <v>1638</v>
      </c>
      <c r="B555" s="1" t="s">
        <v>18</v>
      </c>
      <c r="C555" s="1" t="s">
        <v>1595</v>
      </c>
      <c r="D555" s="1" t="s">
        <v>1595</v>
      </c>
      <c r="E555" s="2">
        <v>45840.0</v>
      </c>
      <c r="F555" s="1" t="s">
        <v>68</v>
      </c>
      <c r="G555" s="1" t="s">
        <v>630</v>
      </c>
      <c r="H555" s="1" t="s">
        <v>631</v>
      </c>
      <c r="I555" s="1">
        <v>260.0</v>
      </c>
      <c r="J555" s="1" t="s">
        <v>24</v>
      </c>
      <c r="K555" s="1">
        <v>260.0</v>
      </c>
      <c r="L555" s="1">
        <v>260.0</v>
      </c>
      <c r="M555" s="1" t="s">
        <v>24</v>
      </c>
      <c r="N555" s="1" t="s">
        <v>24</v>
      </c>
      <c r="O555" s="1" t="s">
        <v>1639</v>
      </c>
      <c r="P555" s="3" t="str">
        <f>HYPERLINK("https://icf.clappia.com/app/SOM165486/submission/MLW95361120/ICF247370-SOM165486-30djiidfp8gi00000000/SIG-20250702_140914aio9.jpeg", "SIG-20250702_140914aio9.jpeg")</f>
        <v>SIG-20250702_140914aio9.jpeg</v>
      </c>
      <c r="Q555" s="3" t="str">
        <f>HYPERLINK("https://www.google.com/maps/place/9.2515759%2C-12.1641048", "9.2515759,-12.1641048")</f>
        <v>9.2515759,-12.1641048</v>
      </c>
    </row>
    <row r="556" ht="15.75" customHeight="1">
      <c r="A556" s="1" t="s">
        <v>1640</v>
      </c>
      <c r="B556" s="1" t="s">
        <v>18</v>
      </c>
      <c r="C556" s="1" t="s">
        <v>1641</v>
      </c>
      <c r="D556" s="1" t="s">
        <v>1641</v>
      </c>
      <c r="E556" s="2">
        <v>45840.0</v>
      </c>
      <c r="F556" s="1" t="s">
        <v>21</v>
      </c>
      <c r="G556" s="1" t="s">
        <v>331</v>
      </c>
      <c r="H556" s="1" t="s">
        <v>332</v>
      </c>
      <c r="I556" s="1">
        <v>131.0</v>
      </c>
      <c r="J556" s="1" t="s">
        <v>24</v>
      </c>
      <c r="K556" s="1">
        <v>131.0</v>
      </c>
      <c r="L556" s="1">
        <v>131.0</v>
      </c>
      <c r="M556" s="1" t="s">
        <v>24</v>
      </c>
      <c r="N556" s="1" t="s">
        <v>24</v>
      </c>
      <c r="O556" s="1" t="s">
        <v>333</v>
      </c>
      <c r="P556" s="3" t="str">
        <f>HYPERLINK("https://icf.clappia.com/app/SOM165486/submission/XFK03801626/ICF247370-SOM165486-4f1n3aj31g0600000000/SIG-20250702_101211jd3h.jpeg", "SIG-20250702_101211jd3h.jpeg")</f>
        <v>SIG-20250702_101211jd3h.jpeg</v>
      </c>
      <c r="Q556" s="3" t="str">
        <f>HYPERLINK("https://www.google.com/maps/place/7.6343467%2C-11.6727727", "7.6343467,-11.6727727")</f>
        <v>7.6343467,-11.6727727</v>
      </c>
    </row>
    <row r="557" ht="15.75" customHeight="1">
      <c r="A557" s="1" t="s">
        <v>1642</v>
      </c>
      <c r="B557" s="1" t="s">
        <v>18</v>
      </c>
      <c r="C557" s="1" t="s">
        <v>1641</v>
      </c>
      <c r="D557" s="1" t="s">
        <v>1641</v>
      </c>
      <c r="E557" s="2">
        <v>45840.0</v>
      </c>
      <c r="F557" s="1" t="s">
        <v>68</v>
      </c>
      <c r="G557" s="1" t="s">
        <v>786</v>
      </c>
      <c r="H557" s="1" t="s">
        <v>787</v>
      </c>
      <c r="I557" s="1">
        <v>300.0</v>
      </c>
      <c r="J557" s="1" t="s">
        <v>24</v>
      </c>
      <c r="K557" s="1">
        <v>300.0</v>
      </c>
      <c r="L557" s="1">
        <v>234.0</v>
      </c>
      <c r="M557" s="1">
        <v>66.0</v>
      </c>
      <c r="N557" s="1">
        <v>66.0</v>
      </c>
      <c r="O557" s="1" t="s">
        <v>1643</v>
      </c>
      <c r="P557" s="3" t="str">
        <f>HYPERLINK("https://icf.clappia.com/app/SOM165486/submission/RBF69323800/ICF247370-SOM165486-2bb06o58e60ai0000000/SIG-20250702_1401ac2n5.jpeg", "SIG-20250702_1401ac2n5.jpeg")</f>
        <v>SIG-20250702_1401ac2n5.jpeg</v>
      </c>
      <c r="Q557" s="3" t="str">
        <f>HYPERLINK("https://www.google.com/maps/place/8.77916%2C-12.0442183", "8.77916,-12.0442183")</f>
        <v>8.77916,-12.0442183</v>
      </c>
    </row>
    <row r="558" ht="15.75" customHeight="1">
      <c r="A558" s="1" t="s">
        <v>1644</v>
      </c>
      <c r="B558" s="1" t="s">
        <v>283</v>
      </c>
      <c r="C558" s="1" t="s">
        <v>1645</v>
      </c>
      <c r="D558" s="1" t="s">
        <v>1645</v>
      </c>
      <c r="E558" s="2">
        <v>45840.0</v>
      </c>
      <c r="F558" s="1" t="s">
        <v>21</v>
      </c>
      <c r="G558" s="1" t="s">
        <v>1646</v>
      </c>
      <c r="H558" s="1" t="s">
        <v>1647</v>
      </c>
      <c r="I558" s="1">
        <v>100.0</v>
      </c>
      <c r="J558" s="1" t="s">
        <v>24</v>
      </c>
      <c r="K558" s="1">
        <v>100.0</v>
      </c>
      <c r="L558" s="1">
        <v>61.0</v>
      </c>
      <c r="M558" s="1">
        <v>39.0</v>
      </c>
      <c r="N558" s="1">
        <v>39.0</v>
      </c>
      <c r="O558" s="1" t="s">
        <v>1648</v>
      </c>
      <c r="P558" s="3" t="str">
        <f>HYPERLINK("https://icf.clappia.com/app/SOM165486/submission/LKF82696170/ICF247370-SOM165486-68d821kad1i800000000/SIG-20250702_1357i12f0.jpeg", "SIG-20250702_1357i12f0.jpeg")</f>
        <v>SIG-20250702_1357i12f0.jpeg</v>
      </c>
      <c r="Q558" s="3" t="str">
        <f>HYPERLINK("https://www.google.com/maps/place/8.107975%2C-11.8488067", "8.107975,-11.8488067")</f>
        <v>8.107975,-11.8488067</v>
      </c>
    </row>
    <row r="559" ht="15.75" customHeight="1">
      <c r="A559" s="1" t="s">
        <v>1649</v>
      </c>
      <c r="B559" s="1" t="s">
        <v>18</v>
      </c>
      <c r="C559" s="1" t="s">
        <v>1650</v>
      </c>
      <c r="D559" s="1" t="s">
        <v>1650</v>
      </c>
      <c r="E559" s="2">
        <v>45840.0</v>
      </c>
      <c r="F559" s="1" t="s">
        <v>68</v>
      </c>
      <c r="G559" s="1" t="s">
        <v>597</v>
      </c>
      <c r="H559" s="1" t="s">
        <v>739</v>
      </c>
      <c r="I559" s="1">
        <v>165.0</v>
      </c>
      <c r="J559" s="1" t="s">
        <v>24</v>
      </c>
      <c r="K559" s="1">
        <v>165.0</v>
      </c>
      <c r="L559" s="1">
        <v>146.0</v>
      </c>
      <c r="M559" s="1">
        <v>19.0</v>
      </c>
      <c r="N559" s="1">
        <v>19.0</v>
      </c>
      <c r="O559" s="1" t="s">
        <v>1651</v>
      </c>
      <c r="P559" s="3" t="str">
        <f>HYPERLINK("https://icf.clappia.com/app/SOM165486/submission/RVL85321644/ICF247370-SOM165486-5i06k6ai7eg600000000/SIG-20250702_135313noih.jpeg", "SIG-20250702_135313noih.jpeg")</f>
        <v>SIG-20250702_135313noih.jpeg</v>
      </c>
      <c r="Q559" s="3" t="str">
        <f>HYPERLINK("https://www.google.com/maps/place/8.8644678%2C-12.1277211", "8.8644678,-12.1277211")</f>
        <v>8.8644678,-12.1277211</v>
      </c>
    </row>
    <row r="560" ht="15.75" customHeight="1">
      <c r="A560" s="1" t="s">
        <v>1652</v>
      </c>
      <c r="B560" s="1" t="s">
        <v>18</v>
      </c>
      <c r="C560" s="1" t="s">
        <v>1653</v>
      </c>
      <c r="D560" s="1" t="s">
        <v>1653</v>
      </c>
      <c r="E560" s="2">
        <v>45840.0</v>
      </c>
      <c r="F560" s="1" t="s">
        <v>68</v>
      </c>
      <c r="G560" s="1" t="s">
        <v>88</v>
      </c>
      <c r="H560" s="1" t="s">
        <v>1138</v>
      </c>
      <c r="I560" s="1">
        <v>157.0</v>
      </c>
      <c r="J560" s="1" t="s">
        <v>24</v>
      </c>
      <c r="K560" s="1">
        <v>157.0</v>
      </c>
      <c r="L560" s="1">
        <v>157.0</v>
      </c>
      <c r="M560" s="1" t="s">
        <v>24</v>
      </c>
      <c r="N560" s="1" t="s">
        <v>24</v>
      </c>
      <c r="O560" s="1" t="s">
        <v>1139</v>
      </c>
      <c r="P560" s="3" t="str">
        <f>HYPERLINK("https://icf.clappia.com/app/SOM165486/submission/VLQ52322064/ICF247370-SOM165486-16doekkn61kl60000000/SIG-20250702_1346i6ln5.jpeg", "SIG-20250702_1346i6ln5.jpeg")</f>
        <v>SIG-20250702_1346i6ln5.jpeg</v>
      </c>
      <c r="Q560" s="3" t="str">
        <f>HYPERLINK("https://www.google.com/maps/place/8.8890732%2C-12.0321168", "8.8890732,-12.0321168")</f>
        <v>8.8890732,-12.0321168</v>
      </c>
    </row>
    <row r="561" ht="15.75" customHeight="1">
      <c r="A561" s="1" t="s">
        <v>1654</v>
      </c>
      <c r="B561" s="1" t="s">
        <v>18</v>
      </c>
      <c r="C561" s="1" t="s">
        <v>1655</v>
      </c>
      <c r="D561" s="1" t="s">
        <v>1655</v>
      </c>
      <c r="E561" s="2">
        <v>45840.0</v>
      </c>
      <c r="F561" s="1" t="s">
        <v>68</v>
      </c>
      <c r="G561" s="1" t="s">
        <v>286</v>
      </c>
      <c r="H561" s="1" t="s">
        <v>1656</v>
      </c>
      <c r="I561" s="1">
        <v>200.0</v>
      </c>
      <c r="J561" s="1">
        <v>191.0</v>
      </c>
      <c r="K561" s="1">
        <v>391.0</v>
      </c>
      <c r="L561" s="1">
        <v>391.0</v>
      </c>
      <c r="M561" s="1" t="s">
        <v>24</v>
      </c>
      <c r="N561" s="1" t="s">
        <v>24</v>
      </c>
      <c r="O561" s="1" t="s">
        <v>1657</v>
      </c>
      <c r="P561" s="3" t="str">
        <f>HYPERLINK("https://icf.clappia.com/app/SOM165486/submission/BZR51996340/ICF247370-SOM165486-68meh4047h6e00000000/SIG-20250702_13451ac815.jpeg", "SIG-20250702_13451ac815.jpeg")</f>
        <v>SIG-20250702_13451ac815.jpeg</v>
      </c>
      <c r="Q561" s="3" t="str">
        <f>HYPERLINK("https://www.google.com/maps/place/8.9709498%2C-12.1596581", "8.9709498,-12.1596581")</f>
        <v>8.9709498,-12.1596581</v>
      </c>
    </row>
    <row r="562" ht="15.75" customHeight="1">
      <c r="A562" s="1" t="s">
        <v>1658</v>
      </c>
      <c r="B562" s="1" t="s">
        <v>18</v>
      </c>
      <c r="C562" s="1" t="s">
        <v>1659</v>
      </c>
      <c r="D562" s="1" t="s">
        <v>1659</v>
      </c>
      <c r="E562" s="2">
        <v>45839.0</v>
      </c>
      <c r="F562" s="1" t="s">
        <v>68</v>
      </c>
      <c r="G562" s="1" t="s">
        <v>88</v>
      </c>
      <c r="H562" s="1" t="s">
        <v>1138</v>
      </c>
      <c r="I562" s="1">
        <v>161.0</v>
      </c>
      <c r="J562" s="1" t="s">
        <v>24</v>
      </c>
      <c r="K562" s="1">
        <v>161.0</v>
      </c>
      <c r="L562" s="1">
        <v>161.0</v>
      </c>
      <c r="M562" s="1" t="s">
        <v>24</v>
      </c>
      <c r="N562" s="1" t="s">
        <v>24</v>
      </c>
      <c r="O562" s="1" t="s">
        <v>1139</v>
      </c>
      <c r="P562" s="3" t="str">
        <f>HYPERLINK("https://icf.clappia.com/app/SOM165486/submission/IRL09879938/ICF247370-SOM165486-5ol18kk1ge0c00000000/SIG-20250702_1344e96l9.jpeg", "SIG-20250702_1344e96l9.jpeg")</f>
        <v>SIG-20250702_1344e96l9.jpeg</v>
      </c>
      <c r="Q562" s="3" t="str">
        <f>HYPERLINK("https://www.google.com/maps/place/8.8887133%2C-12.03264", "8.8887133,-12.03264")</f>
        <v>8.8887133,-12.03264</v>
      </c>
    </row>
    <row r="563" ht="15.75" customHeight="1">
      <c r="A563" s="1" t="s">
        <v>1660</v>
      </c>
      <c r="B563" s="1" t="s">
        <v>18</v>
      </c>
      <c r="C563" s="1" t="s">
        <v>1659</v>
      </c>
      <c r="D563" s="1" t="s">
        <v>1659</v>
      </c>
      <c r="E563" s="2">
        <v>45840.0</v>
      </c>
      <c r="F563" s="1" t="s">
        <v>68</v>
      </c>
      <c r="G563" s="1" t="s">
        <v>592</v>
      </c>
      <c r="H563" s="1" t="s">
        <v>693</v>
      </c>
      <c r="I563" s="1">
        <v>150.0</v>
      </c>
      <c r="J563" s="1">
        <v>229.0</v>
      </c>
      <c r="K563" s="1">
        <v>379.0</v>
      </c>
      <c r="L563" s="1">
        <v>379.0</v>
      </c>
      <c r="M563" s="1" t="s">
        <v>24</v>
      </c>
      <c r="N563" s="1" t="s">
        <v>24</v>
      </c>
      <c r="O563" s="1" t="s">
        <v>1661</v>
      </c>
      <c r="P563" s="3" t="str">
        <f>HYPERLINK("https://icf.clappia.com/app/SOM165486/submission/ZJB26442304/ICF247370-SOM165486-12cck87016ni00000000/SIG-20250702_1024ak3l7.jpeg", "SIG-20250702_1024ak3l7.jpeg")</f>
        <v>SIG-20250702_1024ak3l7.jpeg</v>
      </c>
      <c r="Q563" s="3" t="str">
        <f>HYPERLINK("https://www.google.com/maps/place/8.9174283%2C-12.031465", "8.9174283,-12.031465")</f>
        <v>8.9174283,-12.031465</v>
      </c>
    </row>
    <row r="564" ht="15.75" customHeight="1">
      <c r="A564" s="1" t="s">
        <v>1662</v>
      </c>
      <c r="B564" s="1" t="s">
        <v>18</v>
      </c>
      <c r="C564" s="1" t="s">
        <v>1663</v>
      </c>
      <c r="D564" s="1" t="s">
        <v>1664</v>
      </c>
      <c r="E564" s="2">
        <v>45839.0</v>
      </c>
      <c r="F564" s="1" t="s">
        <v>21</v>
      </c>
      <c r="G564" s="1" t="s">
        <v>781</v>
      </c>
      <c r="H564" s="1" t="s">
        <v>822</v>
      </c>
      <c r="I564" s="1">
        <v>285.0</v>
      </c>
      <c r="J564" s="1" t="s">
        <v>24</v>
      </c>
      <c r="K564" s="1">
        <v>285.0</v>
      </c>
      <c r="L564" s="1">
        <v>176.0</v>
      </c>
      <c r="M564" s="1">
        <v>109.0</v>
      </c>
      <c r="N564" s="1">
        <v>109.0</v>
      </c>
      <c r="O564" s="1" t="s">
        <v>823</v>
      </c>
      <c r="P564" s="3" t="str">
        <f>HYPERLINK("https://icf.clappia.com/app/SOM165486/submission/MFQ32104222/ICF247370-SOM165486-3dl6083aagho00000000/SIG-20250701_1227j8pep.jpeg", "SIG-20250701_1227j8pep.jpeg")</f>
        <v>SIG-20250701_1227j8pep.jpeg</v>
      </c>
      <c r="Q564" s="3" t="str">
        <f>HYPERLINK("https://www.google.com/maps/place/7.91597%2C-11.5614167", "7.91597,-11.5614167")</f>
        <v>7.91597,-11.5614167</v>
      </c>
    </row>
    <row r="565" ht="15.75" customHeight="1">
      <c r="A565" s="1" t="s">
        <v>1665</v>
      </c>
      <c r="B565" s="1" t="s">
        <v>283</v>
      </c>
      <c r="C565" s="1" t="s">
        <v>1666</v>
      </c>
      <c r="D565" s="1" t="s">
        <v>1666</v>
      </c>
      <c r="E565" s="2">
        <v>45840.0</v>
      </c>
      <c r="F565" s="1" t="s">
        <v>68</v>
      </c>
      <c r="G565" s="1" t="s">
        <v>385</v>
      </c>
      <c r="H565" s="1" t="s">
        <v>1200</v>
      </c>
      <c r="I565" s="1">
        <v>100.0</v>
      </c>
      <c r="J565" s="1" t="s">
        <v>24</v>
      </c>
      <c r="K565" s="1">
        <v>100.0</v>
      </c>
      <c r="L565" s="1">
        <v>100.0</v>
      </c>
      <c r="M565" s="1" t="s">
        <v>24</v>
      </c>
      <c r="N565" s="1" t="s">
        <v>24</v>
      </c>
      <c r="O565" s="1" t="s">
        <v>1201</v>
      </c>
      <c r="P565" s="3" t="str">
        <f>HYPERLINK("https://icf.clappia.com/app/SOM165486/submission/YLM54771277/ICF247370-SOM165486-4khk2n301af000000000/SIG-20250702_1338bi6cd.jpeg", "SIG-20250702_1338bi6cd.jpeg")</f>
        <v>SIG-20250702_1338bi6cd.jpeg</v>
      </c>
      <c r="Q565" s="3" t="str">
        <f>HYPERLINK("https://www.google.com/maps/place/9.1997017%2C-12.0361233", "9.1997017,-12.0361233")</f>
        <v>9.1997017,-12.0361233</v>
      </c>
    </row>
    <row r="566" ht="15.75" customHeight="1">
      <c r="A566" s="1" t="s">
        <v>1667</v>
      </c>
      <c r="B566" s="1" t="s">
        <v>18</v>
      </c>
      <c r="C566" s="1" t="s">
        <v>1666</v>
      </c>
      <c r="D566" s="1" t="s">
        <v>1666</v>
      </c>
      <c r="E566" s="2">
        <v>45839.0</v>
      </c>
      <c r="F566" s="1" t="s">
        <v>68</v>
      </c>
      <c r="G566" s="1" t="s">
        <v>286</v>
      </c>
      <c r="H566" s="1" t="s">
        <v>1656</v>
      </c>
      <c r="I566" s="1">
        <v>227.0</v>
      </c>
      <c r="J566" s="1">
        <v>191.0</v>
      </c>
      <c r="K566" s="1">
        <v>418.0</v>
      </c>
      <c r="L566" s="1">
        <v>227.0</v>
      </c>
      <c r="M566" s="1">
        <v>191.0</v>
      </c>
      <c r="N566" s="1" t="s">
        <v>24</v>
      </c>
      <c r="O566" s="1" t="s">
        <v>1657</v>
      </c>
      <c r="P566" s="3" t="str">
        <f>HYPERLINK("https://icf.clappia.com/app/SOM165486/submission/NFK82388608/ICF247370-SOM165486-57cikc60dcac00000000/SIG-20250702_134110l348.jpeg", "SIG-20250702_134110l348.jpeg")</f>
        <v>SIG-20250702_134110l348.jpeg</v>
      </c>
      <c r="Q566" s="3" t="str">
        <f>HYPERLINK("https://www.google.com/maps/place/8.970953%2C-12.1596229", "8.970953,-12.1596229")</f>
        <v>8.970953,-12.1596229</v>
      </c>
    </row>
    <row r="567" ht="15.75" customHeight="1">
      <c r="A567" s="1" t="s">
        <v>1668</v>
      </c>
      <c r="B567" s="1" t="s">
        <v>18</v>
      </c>
      <c r="C567" s="1" t="s">
        <v>1669</v>
      </c>
      <c r="D567" s="1" t="s">
        <v>1611</v>
      </c>
      <c r="E567" s="2">
        <v>45840.0</v>
      </c>
      <c r="F567" s="1" t="s">
        <v>68</v>
      </c>
      <c r="G567" s="1" t="s">
        <v>325</v>
      </c>
      <c r="H567" s="1" t="s">
        <v>1670</v>
      </c>
      <c r="I567" s="1">
        <v>250.0</v>
      </c>
      <c r="J567" s="1" t="s">
        <v>24</v>
      </c>
      <c r="K567" s="1">
        <v>250.0</v>
      </c>
      <c r="L567" s="1">
        <v>176.0</v>
      </c>
      <c r="M567" s="1">
        <v>74.0</v>
      </c>
      <c r="N567" s="1">
        <v>74.0</v>
      </c>
      <c r="O567" s="1" t="s">
        <v>1671</v>
      </c>
      <c r="P567" s="3" t="str">
        <f>HYPERLINK("https://icf.clappia.com/app/SOM165486/submission/IQO90636989/ICF247370-SOM165486-4k69p7b4n25800000000/SIG-20250702_1254152c4k.jpeg", "SIG-20250702_1254152c4k.jpeg")</f>
        <v>SIG-20250702_1254152c4k.jpeg</v>
      </c>
      <c r="Q567" s="3" t="str">
        <f>HYPERLINK("https://www.google.com/maps/place/8.8068383%2C-11.95176", "8.8068383,-11.95176")</f>
        <v>8.8068383,-11.95176</v>
      </c>
    </row>
    <row r="568" ht="15.75" customHeight="1">
      <c r="A568" s="1" t="s">
        <v>1672</v>
      </c>
      <c r="B568" s="1" t="s">
        <v>18</v>
      </c>
      <c r="C568" s="1" t="s">
        <v>1048</v>
      </c>
      <c r="D568" s="1" t="s">
        <v>1669</v>
      </c>
      <c r="E568" s="2">
        <v>45839.0</v>
      </c>
      <c r="F568" s="1" t="s">
        <v>68</v>
      </c>
      <c r="G568" s="1" t="s">
        <v>592</v>
      </c>
      <c r="H568" s="1" t="s">
        <v>593</v>
      </c>
      <c r="I568" s="1">
        <v>50.0</v>
      </c>
      <c r="J568" s="1" t="s">
        <v>24</v>
      </c>
      <c r="K568" s="1">
        <v>50.0</v>
      </c>
      <c r="L568" s="1">
        <v>50.0</v>
      </c>
      <c r="M568" s="1" t="s">
        <v>24</v>
      </c>
      <c r="N568" s="1" t="s">
        <v>24</v>
      </c>
      <c r="O568" s="1" t="s">
        <v>594</v>
      </c>
      <c r="P568" s="3" t="str">
        <f>HYPERLINK("https://icf.clappia.com/app/SOM165486/submission/HAQ53492761/ICF247370-SOM165486-63ehoo3ce6n600000000/SIG-20250702_1247j3g3j.jpeg", "SIG-20250702_1247j3g3j.jpeg")</f>
        <v>SIG-20250702_1247j3g3j.jpeg</v>
      </c>
      <c r="Q568" s="3" t="str">
        <f>HYPERLINK("https://www.google.com/maps/place/8.9174121%2C-12.0312492", "8.9174121,-12.0312492")</f>
        <v>8.9174121,-12.0312492</v>
      </c>
    </row>
    <row r="569" ht="15.75" customHeight="1">
      <c r="A569" s="1" t="s">
        <v>1673</v>
      </c>
      <c r="B569" s="1" t="s">
        <v>283</v>
      </c>
      <c r="C569" s="1" t="s">
        <v>1669</v>
      </c>
      <c r="D569" s="1" t="s">
        <v>1669</v>
      </c>
      <c r="E569" s="2">
        <v>45840.0</v>
      </c>
      <c r="F569" s="1" t="s">
        <v>68</v>
      </c>
      <c r="G569" s="1" t="s">
        <v>385</v>
      </c>
      <c r="H569" s="1" t="s">
        <v>1395</v>
      </c>
      <c r="I569" s="1">
        <v>140.0</v>
      </c>
      <c r="J569" s="1" t="s">
        <v>24</v>
      </c>
      <c r="K569" s="1">
        <v>140.0</v>
      </c>
      <c r="L569" s="1">
        <v>113.0</v>
      </c>
      <c r="M569" s="1">
        <v>27.0</v>
      </c>
      <c r="N569" s="1">
        <v>27.0</v>
      </c>
      <c r="O569" s="1" t="s">
        <v>1674</v>
      </c>
      <c r="P569" s="3" t="str">
        <f>HYPERLINK("https://icf.clappia.com/app/SOM165486/submission/LQA58581972/ICF247370-SOM165486-lkjpdmm0al6g0000000/SIG-20250702_133010pfo2.jpeg", "SIG-20250702_133010pfo2.jpeg")</f>
        <v>SIG-20250702_133010pfo2.jpeg</v>
      </c>
      <c r="Q569" s="3" t="str">
        <f>HYPERLINK("https://www.google.com/maps/place/9.1076933%2C-12.207345", "9.1076933,-12.207345")</f>
        <v>9.1076933,-12.207345</v>
      </c>
    </row>
    <row r="570" ht="15.75" customHeight="1">
      <c r="A570" s="1" t="s">
        <v>1675</v>
      </c>
      <c r="B570" s="1" t="s">
        <v>18</v>
      </c>
      <c r="C570" s="1" t="s">
        <v>1676</v>
      </c>
      <c r="D570" s="1" t="s">
        <v>1676</v>
      </c>
      <c r="E570" s="2">
        <v>45840.0</v>
      </c>
      <c r="F570" s="1" t="s">
        <v>21</v>
      </c>
      <c r="G570" s="1" t="s">
        <v>275</v>
      </c>
      <c r="H570" s="1" t="s">
        <v>1677</v>
      </c>
      <c r="I570" s="1">
        <v>194.0</v>
      </c>
      <c r="J570" s="1" t="s">
        <v>24</v>
      </c>
      <c r="K570" s="1">
        <v>194.0</v>
      </c>
      <c r="L570" s="1">
        <v>194.0</v>
      </c>
      <c r="M570" s="1" t="s">
        <v>24</v>
      </c>
      <c r="N570" s="1" t="s">
        <v>24</v>
      </c>
      <c r="O570" s="1" t="s">
        <v>1678</v>
      </c>
      <c r="P570" s="3" t="str">
        <f>HYPERLINK("https://icf.clappia.com/app/SOM165486/submission/MWM59368968/ICF247370-SOM165486-397dp9n59ae200000000/SIG-20250702_1329daobo.jpeg", "SIG-20250702_1329daobo.jpeg")</f>
        <v>SIG-20250702_1329daobo.jpeg</v>
      </c>
      <c r="Q570" s="3" t="str">
        <f>HYPERLINK("https://www.google.com/maps/place/7.6542167%2C-11.89164", "7.6542167,-11.89164")</f>
        <v>7.6542167,-11.89164</v>
      </c>
    </row>
    <row r="571" ht="15.75" customHeight="1">
      <c r="A571" s="1" t="s">
        <v>1679</v>
      </c>
      <c r="B571" s="1" t="s">
        <v>283</v>
      </c>
      <c r="C571" s="1" t="s">
        <v>1680</v>
      </c>
      <c r="D571" s="1" t="s">
        <v>1680</v>
      </c>
      <c r="E571" s="2">
        <v>45840.0</v>
      </c>
      <c r="F571" s="1" t="s">
        <v>21</v>
      </c>
      <c r="G571" s="1" t="s">
        <v>95</v>
      </c>
      <c r="H571" s="1" t="s">
        <v>216</v>
      </c>
      <c r="I571" s="1">
        <v>22.0</v>
      </c>
      <c r="J571" s="1" t="s">
        <v>24</v>
      </c>
      <c r="K571" s="1">
        <v>22.0</v>
      </c>
      <c r="L571" s="1">
        <v>22.0</v>
      </c>
      <c r="M571" s="1" t="s">
        <v>24</v>
      </c>
      <c r="N571" s="1" t="s">
        <v>24</v>
      </c>
      <c r="O571" s="1" t="s">
        <v>1681</v>
      </c>
      <c r="P571" s="3" t="str">
        <f>HYPERLINK("https://icf.clappia.com/app/SOM165486/submission/TNI40599209/ICF247370-SOM165486-9n0idm69a8640000000/SIG-20250702_1327pemhf.jpeg", "SIG-20250702_1327pemhf.jpeg")</f>
        <v>SIG-20250702_1327pemhf.jpeg</v>
      </c>
      <c r="Q571" s="3" t="str">
        <f>HYPERLINK("https://www.google.com/maps/place/7.9563783%2C-11.760523", "7.9563783,-11.760523")</f>
        <v>7.9563783,-11.760523</v>
      </c>
    </row>
    <row r="572" ht="15.75" customHeight="1">
      <c r="A572" s="1" t="s">
        <v>1682</v>
      </c>
      <c r="B572" s="1" t="s">
        <v>18</v>
      </c>
      <c r="C572" s="1" t="s">
        <v>1683</v>
      </c>
      <c r="D572" s="1" t="s">
        <v>1683</v>
      </c>
      <c r="E572" s="2">
        <v>45840.0</v>
      </c>
      <c r="F572" s="1" t="s">
        <v>21</v>
      </c>
      <c r="G572" s="1" t="s">
        <v>77</v>
      </c>
      <c r="H572" s="1" t="s">
        <v>639</v>
      </c>
      <c r="I572" s="1">
        <v>200.0</v>
      </c>
      <c r="J572" s="1" t="s">
        <v>24</v>
      </c>
      <c r="K572" s="1">
        <v>200.0</v>
      </c>
      <c r="L572" s="1">
        <v>200.0</v>
      </c>
      <c r="M572" s="1" t="s">
        <v>24</v>
      </c>
      <c r="N572" s="1" t="s">
        <v>24</v>
      </c>
      <c r="O572" s="1" t="s">
        <v>1214</v>
      </c>
      <c r="P572" s="3" t="str">
        <f>HYPERLINK("https://icf.clappia.com/app/SOM165486/submission/RXP36853548/ICF247370-SOM165486-2ke16jc7ca0a00000000/SIG-20250702_132215jjb9.jpeg", "SIG-20250702_132215jjb9.jpeg")</f>
        <v>SIG-20250702_132215jjb9.jpeg</v>
      </c>
      <c r="Q572" s="3" t="str">
        <f>HYPERLINK("https://www.google.com/maps/place/7.9787833%2C-11.66025", "7.9787833,-11.66025")</f>
        <v>7.9787833,-11.66025</v>
      </c>
    </row>
    <row r="573" ht="15.75" customHeight="1">
      <c r="A573" s="1" t="s">
        <v>1684</v>
      </c>
      <c r="B573" s="1" t="s">
        <v>18</v>
      </c>
      <c r="C573" s="1" t="s">
        <v>1685</v>
      </c>
      <c r="D573" s="1" t="s">
        <v>1685</v>
      </c>
      <c r="E573" s="2">
        <v>45839.0</v>
      </c>
      <c r="F573" s="1" t="s">
        <v>68</v>
      </c>
      <c r="G573" s="1" t="s">
        <v>83</v>
      </c>
      <c r="H573" s="1" t="s">
        <v>1142</v>
      </c>
      <c r="I573" s="1">
        <v>350.0</v>
      </c>
      <c r="J573" s="1" t="s">
        <v>24</v>
      </c>
      <c r="K573" s="1">
        <v>350.0</v>
      </c>
      <c r="L573" s="1">
        <v>326.0</v>
      </c>
      <c r="M573" s="1">
        <v>24.0</v>
      </c>
      <c r="N573" s="1">
        <v>24.0</v>
      </c>
      <c r="O573" s="1" t="s">
        <v>1624</v>
      </c>
      <c r="P573" s="3" t="str">
        <f>HYPERLINK("https://icf.clappia.com/app/SOM165486/submission/UAU04034466/ICF247370-SOM165486-5m97n677kgke00000000/SIG-20250702_132467g8j.jpeg", "SIG-20250702_132467g8j.jpeg")</f>
        <v>SIG-20250702_132467g8j.jpeg</v>
      </c>
      <c r="Q573" s="3" t="str">
        <f>HYPERLINK("https://www.google.com/maps/place/8.8089521%2C-12.0388225", "8.8089521,-12.0388225")</f>
        <v>8.8089521,-12.0388225</v>
      </c>
    </row>
    <row r="574" ht="15.75" customHeight="1">
      <c r="A574" s="1" t="s">
        <v>1686</v>
      </c>
      <c r="B574" s="1" t="s">
        <v>18</v>
      </c>
      <c r="C574" s="1" t="s">
        <v>75</v>
      </c>
      <c r="D574" s="1" t="s">
        <v>75</v>
      </c>
      <c r="E574" s="2">
        <v>45840.0</v>
      </c>
      <c r="F574" s="1" t="s">
        <v>21</v>
      </c>
      <c r="G574" s="1" t="s">
        <v>58</v>
      </c>
      <c r="H574" s="1" t="s">
        <v>1619</v>
      </c>
      <c r="I574" s="1">
        <v>250.0</v>
      </c>
      <c r="J574" s="1" t="s">
        <v>24</v>
      </c>
      <c r="K574" s="1">
        <v>250.0</v>
      </c>
      <c r="L574" s="1">
        <v>242.0</v>
      </c>
      <c r="M574" s="1">
        <v>8.0</v>
      </c>
      <c r="N574" s="1">
        <v>6.0</v>
      </c>
      <c r="O574" s="1" t="s">
        <v>1687</v>
      </c>
      <c r="P574" s="3" t="str">
        <f>HYPERLINK("https://icf.clappia.com/app/SOM165486/submission/SGF84626310/ICF247370-SOM165486-4fgebbkh731000000000/SIG-20250702_1323i1bhn.jpeg", "SIG-20250702_1323i1bhn.jpeg")</f>
        <v>SIG-20250702_1323i1bhn.jpeg</v>
      </c>
      <c r="Q574" s="3" t="str">
        <f>HYPERLINK("https://www.google.com/maps/place/7.9292061%2C-11.7194621", "7.9292061,-11.7194621")</f>
        <v>7.9292061,-11.7194621</v>
      </c>
    </row>
    <row r="575" ht="15.75" customHeight="1">
      <c r="A575" s="1" t="s">
        <v>1688</v>
      </c>
      <c r="B575" s="1" t="s">
        <v>18</v>
      </c>
      <c r="C575" s="1" t="s">
        <v>1559</v>
      </c>
      <c r="D575" s="1" t="s">
        <v>1559</v>
      </c>
      <c r="E575" s="2">
        <v>45839.0</v>
      </c>
      <c r="F575" s="1" t="s">
        <v>68</v>
      </c>
      <c r="G575" s="1" t="s">
        <v>83</v>
      </c>
      <c r="H575" s="1" t="s">
        <v>1142</v>
      </c>
      <c r="I575" s="1">
        <v>350.0</v>
      </c>
      <c r="J575" s="1" t="s">
        <v>24</v>
      </c>
      <c r="K575" s="1">
        <v>350.0</v>
      </c>
      <c r="L575" s="1">
        <v>326.0</v>
      </c>
      <c r="M575" s="1">
        <v>24.0</v>
      </c>
      <c r="N575" s="1">
        <v>24.0</v>
      </c>
      <c r="O575" s="1" t="s">
        <v>1624</v>
      </c>
      <c r="P575" s="3" t="str">
        <f>HYPERLINK("https://icf.clappia.com/app/SOM165486/submission/HKI53222761/ICF247370-SOM165486-67k84302352i00000000/SIG-20250702_1322hoj0n.jpeg", "SIG-20250702_1322hoj0n.jpeg")</f>
        <v>SIG-20250702_1322hoj0n.jpeg</v>
      </c>
      <c r="Q575" s="3" t="str">
        <f>HYPERLINK("https://www.google.com/maps/place/8.8092199%2C-12.0393532", "8.8092199,-12.0393532")</f>
        <v>8.8092199,-12.0393532</v>
      </c>
    </row>
    <row r="576" ht="15.75" customHeight="1">
      <c r="A576" s="1" t="s">
        <v>1689</v>
      </c>
      <c r="B576" s="1" t="s">
        <v>18</v>
      </c>
      <c r="C576" s="1" t="s">
        <v>1690</v>
      </c>
      <c r="D576" s="1" t="s">
        <v>1691</v>
      </c>
      <c r="E576" s="2">
        <v>45840.0</v>
      </c>
      <c r="F576" s="1" t="s">
        <v>21</v>
      </c>
      <c r="G576" s="1" t="s">
        <v>164</v>
      </c>
      <c r="H576" s="1" t="s">
        <v>1692</v>
      </c>
      <c r="I576" s="1">
        <v>41.0</v>
      </c>
      <c r="J576" s="1" t="s">
        <v>24</v>
      </c>
      <c r="K576" s="1">
        <v>41.0</v>
      </c>
      <c r="L576" s="1">
        <v>41.0</v>
      </c>
      <c r="M576" s="1" t="s">
        <v>24</v>
      </c>
      <c r="N576" s="1" t="s">
        <v>24</v>
      </c>
      <c r="O576" s="1" t="s">
        <v>1693</v>
      </c>
      <c r="P576" s="3" t="str">
        <f>HYPERLINK("https://icf.clappia.com/app/SOM165486/submission/ZFL46203316/ICF247370-SOM165486-3jfoha8pm19000000000/SIG-20250702_1318a3doa.jpeg", "SIG-20250702_1318a3doa.jpeg")</f>
        <v>SIG-20250702_1318a3doa.jpeg</v>
      </c>
      <c r="Q576" s="3" t="str">
        <f>HYPERLINK("https://www.google.com/maps/place/7.9519033%2C-12.12567", "7.9519033,-12.12567")</f>
        <v>7.9519033,-12.12567</v>
      </c>
    </row>
    <row r="577" ht="15.75" customHeight="1">
      <c r="A577" s="1" t="s">
        <v>1694</v>
      </c>
      <c r="B577" s="1" t="s">
        <v>18</v>
      </c>
      <c r="C577" s="1" t="s">
        <v>1691</v>
      </c>
      <c r="D577" s="1" t="s">
        <v>1691</v>
      </c>
      <c r="E577" s="2">
        <v>45840.0</v>
      </c>
      <c r="F577" s="1" t="s">
        <v>21</v>
      </c>
      <c r="G577" s="1" t="s">
        <v>35</v>
      </c>
      <c r="H577" s="1" t="s">
        <v>972</v>
      </c>
      <c r="I577" s="1">
        <v>200.0</v>
      </c>
      <c r="J577" s="1" t="s">
        <v>24</v>
      </c>
      <c r="K577" s="1">
        <v>200.0</v>
      </c>
      <c r="L577" s="1">
        <v>195.0</v>
      </c>
      <c r="M577" s="1">
        <v>5.0</v>
      </c>
      <c r="N577" s="1">
        <v>5.0</v>
      </c>
      <c r="O577" s="1" t="s">
        <v>973</v>
      </c>
      <c r="P577" s="3" t="str">
        <f>HYPERLINK("https://icf.clappia.com/app/SOM165486/submission/RLM20824631/ICF247370-SOM165486-ggehdj2ll9jm0000000/SIG-20250702_132013n6oo.jpeg", "SIG-20250702_132013n6oo.jpeg")</f>
        <v>SIG-20250702_132013n6oo.jpeg</v>
      </c>
      <c r="Q577" s="3" t="str">
        <f>HYPERLINK("https://www.google.com/maps/place/8.2269683%2C-11.6734183", "8.2269683,-11.6734183")</f>
        <v>8.2269683,-11.6734183</v>
      </c>
    </row>
    <row r="578" ht="15.75" customHeight="1">
      <c r="A578" s="1" t="s">
        <v>1695</v>
      </c>
      <c r="B578" s="1" t="s">
        <v>18</v>
      </c>
      <c r="C578" s="1" t="s">
        <v>1690</v>
      </c>
      <c r="D578" s="1" t="s">
        <v>1690</v>
      </c>
      <c r="E578" s="2">
        <v>45840.0</v>
      </c>
      <c r="F578" s="1" t="s">
        <v>68</v>
      </c>
      <c r="G578" s="1" t="s">
        <v>592</v>
      </c>
      <c r="H578" s="1" t="s">
        <v>693</v>
      </c>
      <c r="I578" s="1">
        <v>419.0</v>
      </c>
      <c r="J578" s="1" t="s">
        <v>24</v>
      </c>
      <c r="K578" s="1">
        <v>419.0</v>
      </c>
      <c r="L578" s="1">
        <v>419.0</v>
      </c>
      <c r="M578" s="1" t="s">
        <v>24</v>
      </c>
      <c r="N578" s="1" t="s">
        <v>24</v>
      </c>
      <c r="O578" s="1" t="s">
        <v>1696</v>
      </c>
      <c r="P578" s="3" t="str">
        <f>HYPERLINK("https://icf.clappia.com/app/SOM165486/submission/FAN81754454/ICF247370-SOM165486-25ooi17k94mi40000000/SIG-20250702_1155145h35.jpeg", "SIG-20250702_1155145h35.jpeg")</f>
        <v>SIG-20250702_1155145h35.jpeg</v>
      </c>
      <c r="Q578" s="3" t="str">
        <f>HYPERLINK("https://www.google.com/maps/place/8.9169636%2C-12.0317149", "8.9169636,-12.0317149")</f>
        <v>8.9169636,-12.0317149</v>
      </c>
    </row>
    <row r="579" ht="15.75" customHeight="1">
      <c r="A579" s="1" t="s">
        <v>1697</v>
      </c>
      <c r="B579" s="1" t="s">
        <v>18</v>
      </c>
      <c r="C579" s="1" t="s">
        <v>1698</v>
      </c>
      <c r="D579" s="1" t="s">
        <v>1698</v>
      </c>
      <c r="E579" s="2">
        <v>45840.0</v>
      </c>
      <c r="F579" s="1" t="s">
        <v>68</v>
      </c>
      <c r="G579" s="1" t="s">
        <v>672</v>
      </c>
      <c r="H579" s="1" t="s">
        <v>857</v>
      </c>
      <c r="I579" s="1">
        <v>150.0</v>
      </c>
      <c r="J579" s="1">
        <v>50.0</v>
      </c>
      <c r="K579" s="1">
        <v>200.0</v>
      </c>
      <c r="L579" s="1">
        <v>200.0</v>
      </c>
      <c r="M579" s="1" t="s">
        <v>24</v>
      </c>
      <c r="N579" s="1" t="s">
        <v>24</v>
      </c>
      <c r="O579" s="1" t="s">
        <v>858</v>
      </c>
      <c r="P579" s="3" t="str">
        <f>HYPERLINK("https://icf.clappia.com/app/SOM165486/submission/SVP59820781/ICF247370-SOM165486-427acp75d1ca00000000/SIG-20250702_1316m59nj.jpeg", "SIG-20250702_1316m59nj.jpeg")</f>
        <v>SIG-20250702_1316m59nj.jpeg</v>
      </c>
      <c r="Q579" s="3" t="str">
        <f>HYPERLINK("https://www.google.com/maps/place/8.8733711%2C-12.0206031", "8.8733711,-12.0206031")</f>
        <v>8.8733711,-12.0206031</v>
      </c>
    </row>
    <row r="580" ht="15.75" customHeight="1">
      <c r="A580" s="1" t="s">
        <v>1699</v>
      </c>
      <c r="B580" s="1" t="s">
        <v>18</v>
      </c>
      <c r="C580" s="1" t="s">
        <v>1700</v>
      </c>
      <c r="D580" s="1" t="s">
        <v>1700</v>
      </c>
      <c r="E580" s="2">
        <v>45840.0</v>
      </c>
      <c r="F580" s="1" t="s">
        <v>21</v>
      </c>
      <c r="G580" s="1" t="s">
        <v>164</v>
      </c>
      <c r="H580" s="1" t="s">
        <v>1692</v>
      </c>
      <c r="I580" s="1">
        <v>41.0</v>
      </c>
      <c r="J580" s="1" t="s">
        <v>24</v>
      </c>
      <c r="K580" s="1">
        <v>41.0</v>
      </c>
      <c r="L580" s="1">
        <v>41.0</v>
      </c>
      <c r="M580" s="1" t="s">
        <v>24</v>
      </c>
      <c r="N580" s="1" t="s">
        <v>24</v>
      </c>
      <c r="O580" s="1" t="s">
        <v>1693</v>
      </c>
      <c r="P580" s="3" t="str">
        <f>HYPERLINK("https://icf.clappia.com/app/SOM165486/submission/NHT05623250/ICF247370-SOM165486-6322a2f5k1a800000000/SIG-20250702_1312k251h.jpeg", "SIG-20250702_1312k251h.jpeg")</f>
        <v>SIG-20250702_1312k251h.jpeg</v>
      </c>
      <c r="Q580" s="3" t="str">
        <f>HYPERLINK("https://www.google.com/maps/place/7.9520533%2C-12.125555", "7.9520533,-12.125555")</f>
        <v>7.9520533,-12.125555</v>
      </c>
    </row>
    <row r="581" ht="15.75" customHeight="1">
      <c r="A581" s="1" t="s">
        <v>1701</v>
      </c>
      <c r="B581" s="1" t="s">
        <v>18</v>
      </c>
      <c r="C581" s="1" t="s">
        <v>1700</v>
      </c>
      <c r="D581" s="1" t="s">
        <v>1700</v>
      </c>
      <c r="E581" s="2">
        <v>45840.0</v>
      </c>
      <c r="F581" s="1" t="s">
        <v>21</v>
      </c>
      <c r="G581" s="1" t="s">
        <v>77</v>
      </c>
      <c r="H581" s="1" t="s">
        <v>639</v>
      </c>
      <c r="I581" s="1">
        <v>100.0</v>
      </c>
      <c r="J581" s="1" t="s">
        <v>24</v>
      </c>
      <c r="K581" s="1">
        <v>100.0</v>
      </c>
      <c r="L581" s="1">
        <v>93.0</v>
      </c>
      <c r="M581" s="1">
        <v>7.0</v>
      </c>
      <c r="N581" s="1">
        <v>7.0</v>
      </c>
      <c r="O581" s="1" t="s">
        <v>1214</v>
      </c>
      <c r="P581" s="3" t="str">
        <f>HYPERLINK("https://icf.clappia.com/app/SOM165486/submission/QVV19646101/ICF247370-SOM165486-9mdol1dpjk1e0000000/SIG-20250701_1144lhmjn.jpeg", "SIG-20250701_1144lhmjn.jpeg")</f>
        <v>SIG-20250701_1144lhmjn.jpeg</v>
      </c>
      <c r="Q581" s="3" t="str">
        <f>HYPERLINK("https://www.google.com/maps/place/7.9534543%2C-11.70167", "7.9534543,-11.70167")</f>
        <v>7.9534543,-11.70167</v>
      </c>
    </row>
    <row r="582" ht="15.75" customHeight="1">
      <c r="A582" s="1" t="s">
        <v>1702</v>
      </c>
      <c r="B582" s="1" t="s">
        <v>18</v>
      </c>
      <c r="C582" s="1" t="s">
        <v>1703</v>
      </c>
      <c r="D582" s="1" t="s">
        <v>1704</v>
      </c>
      <c r="E582" s="2">
        <v>45840.0</v>
      </c>
      <c r="F582" s="1" t="s">
        <v>21</v>
      </c>
      <c r="G582" s="1" t="s">
        <v>95</v>
      </c>
      <c r="H582" s="1" t="s">
        <v>369</v>
      </c>
      <c r="I582" s="1">
        <v>100.0</v>
      </c>
      <c r="J582" s="1">
        <v>40.0</v>
      </c>
      <c r="K582" s="1">
        <v>140.0</v>
      </c>
      <c r="L582" s="1">
        <v>140.0</v>
      </c>
      <c r="M582" s="1" t="s">
        <v>24</v>
      </c>
      <c r="N582" s="1" t="s">
        <v>24</v>
      </c>
      <c r="O582" s="1" t="s">
        <v>1705</v>
      </c>
      <c r="P582" s="3" t="str">
        <f>HYPERLINK("https://icf.clappia.com/app/SOM165486/submission/IJB79695883/ICF247370-SOM165486-5i3282jlcoik00000000/SIG-20250702_1259lop1o.jpeg", "SIG-20250702_1259lop1o.jpeg")</f>
        <v>SIG-20250702_1259lop1o.jpeg</v>
      </c>
      <c r="Q582" s="3" t="str">
        <f>HYPERLINK("https://www.google.com/maps/place/7.931675%2C-11.717545", "7.931675,-11.717545")</f>
        <v>7.931675,-11.717545</v>
      </c>
    </row>
    <row r="583" ht="15.75" customHeight="1">
      <c r="A583" s="1" t="s">
        <v>1706</v>
      </c>
      <c r="B583" s="1" t="s">
        <v>18</v>
      </c>
      <c r="C583" s="1" t="s">
        <v>1704</v>
      </c>
      <c r="D583" s="1" t="s">
        <v>1704</v>
      </c>
      <c r="E583" s="2">
        <v>45840.0</v>
      </c>
      <c r="F583" s="1" t="s">
        <v>68</v>
      </c>
      <c r="G583" s="1" t="s">
        <v>340</v>
      </c>
      <c r="H583" s="1" t="s">
        <v>742</v>
      </c>
      <c r="I583" s="1">
        <v>145.0</v>
      </c>
      <c r="J583" s="1" t="s">
        <v>24</v>
      </c>
      <c r="K583" s="1">
        <v>145.0</v>
      </c>
      <c r="L583" s="1">
        <v>129.0</v>
      </c>
      <c r="M583" s="1">
        <v>16.0</v>
      </c>
      <c r="N583" s="1">
        <v>16.0</v>
      </c>
      <c r="O583" s="1" t="s">
        <v>1217</v>
      </c>
      <c r="P583" s="3" t="str">
        <f>HYPERLINK("https://icf.clappia.com/app/SOM165486/submission/ZXD78970361/ICF247370-SOM165486-65bi5m2eigeg00000000/SIG-20250702_1314g04lc.jpeg", "SIG-20250702_1314g04lc.jpeg")</f>
        <v>SIG-20250702_1314g04lc.jpeg</v>
      </c>
      <c r="Q583" s="3" t="str">
        <f>HYPERLINK("https://www.google.com/maps/place/9.1569167%2C-11.9618933", "9.1569167,-11.9618933")</f>
        <v>9.1569167,-11.9618933</v>
      </c>
    </row>
    <row r="584" ht="15.75" customHeight="1">
      <c r="A584" s="1" t="s">
        <v>1707</v>
      </c>
      <c r="B584" s="1" t="s">
        <v>18</v>
      </c>
      <c r="C584" s="1" t="s">
        <v>1048</v>
      </c>
      <c r="D584" s="1" t="s">
        <v>1704</v>
      </c>
      <c r="E584" s="2">
        <v>45839.0</v>
      </c>
      <c r="F584" s="1" t="s">
        <v>21</v>
      </c>
      <c r="G584" s="1" t="s">
        <v>95</v>
      </c>
      <c r="H584" s="1" t="s">
        <v>369</v>
      </c>
      <c r="I584" s="1">
        <v>208.0</v>
      </c>
      <c r="J584" s="1" t="s">
        <v>24</v>
      </c>
      <c r="K584" s="1">
        <v>208.0</v>
      </c>
      <c r="L584" s="1">
        <v>168.0</v>
      </c>
      <c r="M584" s="1">
        <v>40.0</v>
      </c>
      <c r="N584" s="1">
        <v>40.0</v>
      </c>
      <c r="O584" s="1" t="s">
        <v>370</v>
      </c>
      <c r="P584" s="3" t="str">
        <f>HYPERLINK("https://icf.clappia.com/app/SOM165486/submission/TUC89406842/ICF247370-SOM165486-6a0pe718d7mm00000000/SIG-20250702_1247c2gmg.jpeg", "SIG-20250702_1247c2gmg.jpeg")</f>
        <v>SIG-20250702_1247c2gmg.jpeg</v>
      </c>
      <c r="Q584" s="3" t="str">
        <f>HYPERLINK("https://www.google.com/maps/place/7.9311117%2C-11.7179017", "7.9311117,-11.7179017")</f>
        <v>7.9311117,-11.7179017</v>
      </c>
    </row>
    <row r="585" ht="15.75" customHeight="1">
      <c r="A585" s="1" t="s">
        <v>1708</v>
      </c>
      <c r="B585" s="1" t="s">
        <v>18</v>
      </c>
      <c r="C585" s="1" t="s">
        <v>1709</v>
      </c>
      <c r="D585" s="1" t="s">
        <v>1709</v>
      </c>
      <c r="E585" s="2">
        <v>45840.0</v>
      </c>
      <c r="F585" s="1" t="s">
        <v>68</v>
      </c>
      <c r="G585" s="1" t="s">
        <v>69</v>
      </c>
      <c r="H585" s="1" t="s">
        <v>571</v>
      </c>
      <c r="I585" s="1">
        <v>50.0</v>
      </c>
      <c r="J585" s="1" t="s">
        <v>24</v>
      </c>
      <c r="K585" s="1">
        <v>50.0</v>
      </c>
      <c r="L585" s="1">
        <v>50.0</v>
      </c>
      <c r="M585" s="1" t="s">
        <v>24</v>
      </c>
      <c r="N585" s="1" t="s">
        <v>24</v>
      </c>
      <c r="O585" s="1" t="s">
        <v>577</v>
      </c>
      <c r="P585" s="3" t="str">
        <f>HYPERLINK("https://icf.clappia.com/app/SOM165486/submission/WLO96723433/ICF247370-SOM165486-41eafn3hj17m00000000/SIG-20250702_131117ich3.jpeg", "SIG-20250702_131117ich3.jpeg")</f>
        <v>SIG-20250702_131117ich3.jpeg</v>
      </c>
      <c r="Q585" s="3" t="str">
        <f>HYPERLINK("https://www.google.com/maps/place/8.8485467%2C-12.1146417", "8.8485467,-12.1146417")</f>
        <v>8.8485467,-12.1146417</v>
      </c>
    </row>
    <row r="586" ht="15.75" customHeight="1">
      <c r="A586" s="1" t="s">
        <v>1710</v>
      </c>
      <c r="B586" s="1" t="s">
        <v>18</v>
      </c>
      <c r="C586" s="1" t="s">
        <v>1711</v>
      </c>
      <c r="D586" s="1" t="s">
        <v>1712</v>
      </c>
      <c r="E586" s="2">
        <v>45840.0</v>
      </c>
      <c r="F586" s="1" t="s">
        <v>68</v>
      </c>
      <c r="G586" s="1" t="s">
        <v>325</v>
      </c>
      <c r="H586" s="1" t="s">
        <v>326</v>
      </c>
      <c r="I586" s="1">
        <v>151.0</v>
      </c>
      <c r="J586" s="1" t="s">
        <v>24</v>
      </c>
      <c r="K586" s="1">
        <v>151.0</v>
      </c>
      <c r="L586" s="1">
        <v>151.0</v>
      </c>
      <c r="M586" s="1" t="s">
        <v>24</v>
      </c>
      <c r="N586" s="1" t="s">
        <v>24</v>
      </c>
      <c r="O586" s="1" t="s">
        <v>755</v>
      </c>
      <c r="P586" s="3" t="str">
        <f>HYPERLINK("https://icf.clappia.com/app/SOM165486/submission/RCI73600375/ICF247370-SOM165486-392d7ameko7600000000/SIG-20250702_13103496i.jpeg", "SIG-20250702_13103496i.jpeg")</f>
        <v>SIG-20250702_13103496i.jpeg</v>
      </c>
      <c r="Q586" s="3" t="str">
        <f>HYPERLINK("https://www.google.com/maps/place/8.8772583%2C-11.9285667", "8.8772583,-11.9285667")</f>
        <v>8.8772583,-11.9285667</v>
      </c>
    </row>
    <row r="587" ht="15.75" customHeight="1">
      <c r="A587" s="1" t="s">
        <v>1713</v>
      </c>
      <c r="B587" s="1" t="s">
        <v>18</v>
      </c>
      <c r="C587" s="1" t="s">
        <v>1714</v>
      </c>
      <c r="D587" s="1" t="s">
        <v>1714</v>
      </c>
      <c r="E587" s="2">
        <v>45840.0</v>
      </c>
      <c r="F587" s="1" t="s">
        <v>68</v>
      </c>
      <c r="G587" s="1" t="s">
        <v>69</v>
      </c>
      <c r="H587" s="1" t="s">
        <v>571</v>
      </c>
      <c r="I587" s="1">
        <v>100.0</v>
      </c>
      <c r="J587" s="1" t="s">
        <v>24</v>
      </c>
      <c r="K587" s="1">
        <v>100.0</v>
      </c>
      <c r="L587" s="1">
        <v>96.0</v>
      </c>
      <c r="M587" s="1">
        <v>4.0</v>
      </c>
      <c r="N587" s="1" t="s">
        <v>24</v>
      </c>
      <c r="O587" s="1" t="s">
        <v>1715</v>
      </c>
      <c r="P587" s="3" t="str">
        <f>HYPERLINK("https://icf.clappia.com/app/SOM165486/submission/KXM01149318/ICF247370-SOM165486-4ahmpioni9l200000000/SIG-20250702_1307d4kmn.jpeg", "SIG-20250702_1307d4kmn.jpeg")</f>
        <v>SIG-20250702_1307d4kmn.jpeg</v>
      </c>
      <c r="Q587" s="3" t="str">
        <f>HYPERLINK("https://www.google.com/maps/place/8.8487117%2C-12.114565", "8.8487117,-12.114565")</f>
        <v>8.8487117,-12.114565</v>
      </c>
    </row>
    <row r="588" ht="15.75" customHeight="1">
      <c r="A588" s="1" t="s">
        <v>1716</v>
      </c>
      <c r="B588" s="1" t="s">
        <v>18</v>
      </c>
      <c r="C588" s="1" t="s">
        <v>1717</v>
      </c>
      <c r="D588" s="1" t="s">
        <v>1717</v>
      </c>
      <c r="E588" s="2">
        <v>45840.0</v>
      </c>
      <c r="F588" s="1" t="s">
        <v>21</v>
      </c>
      <c r="G588" s="1" t="s">
        <v>35</v>
      </c>
      <c r="H588" s="1" t="s">
        <v>972</v>
      </c>
      <c r="I588" s="1">
        <v>200.0</v>
      </c>
      <c r="J588" s="1" t="s">
        <v>24</v>
      </c>
      <c r="K588" s="1">
        <v>200.0</v>
      </c>
      <c r="L588" s="1">
        <v>200.0</v>
      </c>
      <c r="M588" s="1" t="s">
        <v>24</v>
      </c>
      <c r="N588" s="1" t="s">
        <v>24</v>
      </c>
      <c r="O588" s="1" t="s">
        <v>1718</v>
      </c>
      <c r="P588" s="3" t="str">
        <f>HYPERLINK("https://icf.clappia.com/app/SOM165486/submission/YJF89761768/ICF247370-SOM165486-9ma86jnbjmh60000000/SIG-20250702_1048152jo4.jpeg", "SIG-20250702_1048152jo4.jpeg")</f>
        <v>SIG-20250702_1048152jo4.jpeg</v>
      </c>
      <c r="Q588" s="3" t="str">
        <f>HYPERLINK("https://www.google.com/maps/place/8.2271483%2C-11.6727883", "8.2271483,-11.6727883")</f>
        <v>8.2271483,-11.6727883</v>
      </c>
    </row>
    <row r="589" ht="15.75" customHeight="1">
      <c r="A589" s="1" t="s">
        <v>1719</v>
      </c>
      <c r="B589" s="1" t="s">
        <v>18</v>
      </c>
      <c r="C589" s="1" t="s">
        <v>1717</v>
      </c>
      <c r="D589" s="1" t="s">
        <v>1717</v>
      </c>
      <c r="E589" s="2">
        <v>45840.0</v>
      </c>
      <c r="F589" s="1" t="s">
        <v>21</v>
      </c>
      <c r="G589" s="1" t="s">
        <v>77</v>
      </c>
      <c r="H589" s="1" t="s">
        <v>568</v>
      </c>
      <c r="I589" s="1">
        <v>100.0</v>
      </c>
      <c r="J589" s="1" t="s">
        <v>24</v>
      </c>
      <c r="K589" s="1">
        <v>100.0</v>
      </c>
      <c r="L589" s="1">
        <v>68.0</v>
      </c>
      <c r="M589" s="1">
        <v>32.0</v>
      </c>
      <c r="N589" s="1" t="s">
        <v>24</v>
      </c>
      <c r="O589" s="1" t="s">
        <v>569</v>
      </c>
      <c r="P589" s="3" t="str">
        <f>HYPERLINK("https://icf.clappia.com/app/SOM165486/submission/MLI73862922/ICF247370-SOM165486-3ckaidikp4b800000000/SIG-20250702_130517fe8b.jpeg", "SIG-20250702_130517fe8b.jpeg")</f>
        <v>SIG-20250702_130517fe8b.jpeg</v>
      </c>
      <c r="Q589" s="3" t="str">
        <f>HYPERLINK("https://www.google.com/maps/place/7.9725%2C-11.716035", "7.9725,-11.716035")</f>
        <v>7.9725,-11.716035</v>
      </c>
    </row>
    <row r="590" ht="15.75" customHeight="1">
      <c r="A590" s="1" t="s">
        <v>1720</v>
      </c>
      <c r="B590" s="1" t="s">
        <v>18</v>
      </c>
      <c r="C590" s="1" t="s">
        <v>273</v>
      </c>
      <c r="D590" s="1" t="s">
        <v>273</v>
      </c>
      <c r="E590" s="2">
        <v>45840.0</v>
      </c>
      <c r="F590" s="1" t="s">
        <v>68</v>
      </c>
      <c r="G590" s="1" t="s">
        <v>597</v>
      </c>
      <c r="H590" s="1" t="s">
        <v>739</v>
      </c>
      <c r="I590" s="1">
        <v>142.0</v>
      </c>
      <c r="J590" s="1" t="s">
        <v>24</v>
      </c>
      <c r="K590" s="1">
        <v>142.0</v>
      </c>
      <c r="L590" s="1">
        <v>121.0</v>
      </c>
      <c r="M590" s="1">
        <v>21.0</v>
      </c>
      <c r="N590" s="1">
        <v>21.0</v>
      </c>
      <c r="O590" s="1" t="s">
        <v>812</v>
      </c>
      <c r="P590" s="3" t="str">
        <f>HYPERLINK("https://icf.clappia.com/app/SOM165486/submission/PVL11480346/ICF247370-SOM165486-fm9kh4p46jig0000000/SIG-20250702_130312e2nc.jpeg", "SIG-20250702_130312e2nc.jpeg")</f>
        <v>SIG-20250702_130312e2nc.jpeg</v>
      </c>
      <c r="Q590" s="3" t="str">
        <f>HYPERLINK("https://www.google.com/maps/place/8.8529219%2C-12.1395105", "8.8529219,-12.1395105")</f>
        <v>8.8529219,-12.1395105</v>
      </c>
    </row>
    <row r="591" ht="15.75" customHeight="1">
      <c r="A591" s="1" t="s">
        <v>1721</v>
      </c>
      <c r="B591" s="1" t="s">
        <v>18</v>
      </c>
      <c r="C591" s="1" t="s">
        <v>273</v>
      </c>
      <c r="D591" s="1" t="s">
        <v>273</v>
      </c>
      <c r="E591" s="2">
        <v>45840.0</v>
      </c>
      <c r="F591" s="1" t="s">
        <v>21</v>
      </c>
      <c r="G591" s="1" t="s">
        <v>129</v>
      </c>
      <c r="H591" s="1" t="s">
        <v>1250</v>
      </c>
      <c r="I591" s="1">
        <v>71.0</v>
      </c>
      <c r="J591" s="1" t="s">
        <v>24</v>
      </c>
      <c r="K591" s="1">
        <v>71.0</v>
      </c>
      <c r="L591" s="1">
        <v>69.0</v>
      </c>
      <c r="M591" s="1">
        <v>2.0</v>
      </c>
      <c r="N591" s="1">
        <v>2.0</v>
      </c>
      <c r="O591" s="1" t="s">
        <v>1722</v>
      </c>
      <c r="P591" s="3" t="str">
        <f>HYPERLINK("https://icf.clappia.com/app/SOM165486/submission/MIR07289796/ICF247370-SOM165486-489ap0c2jeio00000000/SIG-20250702_1303e81ad.jpeg", "SIG-20250702_1303e81ad.jpeg")</f>
        <v>SIG-20250702_1303e81ad.jpeg</v>
      </c>
      <c r="Q591" s="3" t="str">
        <f>HYPERLINK("https://www.google.com/maps/place/7.61168%2C-11.8634617", "7.61168,-11.8634617")</f>
        <v>7.61168,-11.8634617</v>
      </c>
    </row>
    <row r="592" ht="15.75" customHeight="1">
      <c r="A592" s="1" t="s">
        <v>1723</v>
      </c>
      <c r="B592" s="1" t="s">
        <v>18</v>
      </c>
      <c r="C592" s="1" t="s">
        <v>1724</v>
      </c>
      <c r="D592" s="1" t="s">
        <v>1724</v>
      </c>
      <c r="E592" s="2">
        <v>45840.0</v>
      </c>
      <c r="F592" s="1" t="s">
        <v>68</v>
      </c>
      <c r="G592" s="1" t="s">
        <v>88</v>
      </c>
      <c r="H592" s="1" t="s">
        <v>1314</v>
      </c>
      <c r="I592" s="1">
        <v>200.0</v>
      </c>
      <c r="J592" s="1" t="s">
        <v>24</v>
      </c>
      <c r="K592" s="1">
        <v>200.0</v>
      </c>
      <c r="L592" s="1">
        <v>200.0</v>
      </c>
      <c r="M592" s="1" t="s">
        <v>24</v>
      </c>
      <c r="N592" s="1" t="s">
        <v>24</v>
      </c>
      <c r="O592" s="1" t="s">
        <v>1725</v>
      </c>
      <c r="P592" s="3" t="str">
        <f>HYPERLINK("https://icf.clappia.com/app/SOM165486/submission/XCS84448373/ICF247370-SOM165486-jdmab4l11dok0000000/SIG-20250702_1259140ilj.jpeg", "SIG-20250702_1259140ilj.jpeg")</f>
        <v>SIG-20250702_1259140ilj.jpeg</v>
      </c>
      <c r="Q592" s="3" t="str">
        <f>HYPERLINK("https://www.google.com/maps/place/8.8783298%2C-12.0503368", "8.8783298,-12.0503368")</f>
        <v>8.8783298,-12.0503368</v>
      </c>
    </row>
    <row r="593" ht="15.75" customHeight="1">
      <c r="A593" s="1" t="s">
        <v>1726</v>
      </c>
      <c r="B593" s="1" t="s">
        <v>18</v>
      </c>
      <c r="C593" s="1" t="s">
        <v>1727</v>
      </c>
      <c r="D593" s="1" t="s">
        <v>1724</v>
      </c>
      <c r="E593" s="2">
        <v>45840.0</v>
      </c>
      <c r="F593" s="1" t="s">
        <v>68</v>
      </c>
      <c r="G593" s="1" t="s">
        <v>88</v>
      </c>
      <c r="H593" s="1" t="s">
        <v>1314</v>
      </c>
      <c r="I593" s="1">
        <v>200.0</v>
      </c>
      <c r="J593" s="1" t="s">
        <v>24</v>
      </c>
      <c r="K593" s="1">
        <v>200.0</v>
      </c>
      <c r="L593" s="1">
        <v>200.0</v>
      </c>
      <c r="M593" s="1" t="s">
        <v>24</v>
      </c>
      <c r="N593" s="1" t="s">
        <v>24</v>
      </c>
      <c r="O593" s="1" t="s">
        <v>1725</v>
      </c>
      <c r="P593" s="3" t="str">
        <f>HYPERLINK("https://icf.clappia.com/app/SOM165486/submission/KPC26877338/ICF247370-SOM165486-157g7130meha80000000/SIG-20250702_11116ob53.jpeg", "SIG-20250702_11116ob53.jpeg")</f>
        <v>SIG-20250702_11116ob53.jpeg</v>
      </c>
      <c r="Q593" s="3" t="str">
        <f>HYPERLINK("https://www.google.com/maps/place/8.8778983%2C-12.0364526", "8.8778983,-12.0364526")</f>
        <v>8.8778983,-12.0364526</v>
      </c>
    </row>
    <row r="594" ht="15.75" customHeight="1">
      <c r="A594" s="1" t="s">
        <v>1728</v>
      </c>
      <c r="B594" s="1" t="s">
        <v>18</v>
      </c>
      <c r="C594" s="1" t="s">
        <v>219</v>
      </c>
      <c r="D594" s="1" t="s">
        <v>219</v>
      </c>
      <c r="E594" s="2">
        <v>45840.0</v>
      </c>
      <c r="F594" s="1" t="s">
        <v>21</v>
      </c>
      <c r="G594" s="1" t="s">
        <v>58</v>
      </c>
      <c r="H594" s="1" t="s">
        <v>1619</v>
      </c>
      <c r="I594" s="1">
        <v>250.0</v>
      </c>
      <c r="J594" s="1" t="s">
        <v>24</v>
      </c>
      <c r="K594" s="1">
        <v>250.0</v>
      </c>
      <c r="L594" s="1">
        <v>244.0</v>
      </c>
      <c r="M594" s="1">
        <v>6.0</v>
      </c>
      <c r="N594" s="1">
        <v>6.0</v>
      </c>
      <c r="O594" s="1">
        <v>3.0</v>
      </c>
      <c r="P594" s="3" t="str">
        <f>HYPERLINK("https://icf.clappia.com/app/SOM165486/submission/XVN71366370/ICF247370-SOM165486-5fl834ccfigc00000000/SIG-20250702_1258peimi.jpeg", "SIG-20250702_1258peimi.jpeg")</f>
        <v>SIG-20250702_1258peimi.jpeg</v>
      </c>
      <c r="Q594" s="3" t="str">
        <f>HYPERLINK("https://www.google.com/maps/place/7.9267649%2C-11.7230208", "7.9267649,-11.7230208")</f>
        <v>7.9267649,-11.7230208</v>
      </c>
    </row>
    <row r="595" ht="15.75" customHeight="1">
      <c r="A595" s="1" t="s">
        <v>1729</v>
      </c>
      <c r="B595" s="1" t="s">
        <v>18</v>
      </c>
      <c r="C595" s="1" t="s">
        <v>223</v>
      </c>
      <c r="D595" s="1" t="s">
        <v>223</v>
      </c>
      <c r="E595" s="2">
        <v>45840.0</v>
      </c>
      <c r="F595" s="1" t="s">
        <v>21</v>
      </c>
      <c r="G595" s="1" t="s">
        <v>95</v>
      </c>
      <c r="H595" s="1" t="s">
        <v>1301</v>
      </c>
      <c r="I595" s="1">
        <v>100.0</v>
      </c>
      <c r="J595" s="1" t="s">
        <v>24</v>
      </c>
      <c r="K595" s="1">
        <v>100.0</v>
      </c>
      <c r="L595" s="1">
        <v>100.0</v>
      </c>
      <c r="M595" s="1" t="s">
        <v>24</v>
      </c>
      <c r="N595" s="1" t="s">
        <v>24</v>
      </c>
      <c r="O595" s="1" t="s">
        <v>1382</v>
      </c>
      <c r="P595" s="3" t="str">
        <f>HYPERLINK("https://icf.clappia.com/app/SOM165486/submission/QUS55201537/ICF247370-SOM165486-2ln41bo28imk00000000/SIG-20250702_1256f5ld7.jpeg", "SIG-20250702_1256f5ld7.jpeg")</f>
        <v>SIG-20250702_1256f5ld7.jpeg</v>
      </c>
      <c r="Q595" s="3" t="str">
        <f>HYPERLINK("https://www.google.com/maps/place/7.9063067%2C-11.6353233", "7.9063067,-11.6353233")</f>
        <v>7.9063067,-11.6353233</v>
      </c>
    </row>
    <row r="596" ht="15.75" customHeight="1">
      <c r="A596" s="1" t="s">
        <v>1730</v>
      </c>
      <c r="B596" s="1" t="s">
        <v>18</v>
      </c>
      <c r="C596" s="1" t="s">
        <v>1731</v>
      </c>
      <c r="D596" s="1" t="s">
        <v>1732</v>
      </c>
      <c r="E596" s="2">
        <v>45840.0</v>
      </c>
      <c r="F596" s="1" t="s">
        <v>21</v>
      </c>
      <c r="G596" s="1" t="s">
        <v>164</v>
      </c>
      <c r="H596" s="1" t="s">
        <v>887</v>
      </c>
      <c r="I596" s="1">
        <v>220.0</v>
      </c>
      <c r="J596" s="1" t="s">
        <v>24</v>
      </c>
      <c r="K596" s="1">
        <v>220.0</v>
      </c>
      <c r="L596" s="1">
        <v>220.0</v>
      </c>
      <c r="M596" s="1" t="s">
        <v>24</v>
      </c>
      <c r="N596" s="1" t="s">
        <v>24</v>
      </c>
      <c r="O596" s="1" t="s">
        <v>1733</v>
      </c>
      <c r="P596" s="3" t="str">
        <f>HYPERLINK("https://icf.clappia.com/app/SOM165486/submission/HMN97377870/ICF247370-SOM165486-4jak49836m0k00000000/SIG-20250702_123385m8b.jpeg", "SIG-20250702_123385m8b.jpeg")</f>
        <v>SIG-20250702_123385m8b.jpeg</v>
      </c>
      <c r="Q596" s="3" t="str">
        <f>HYPERLINK("https://www.google.com/maps/place/7.8650283%2C-11.86352", "7.8650283,-11.86352")</f>
        <v>7.8650283,-11.86352</v>
      </c>
    </row>
    <row r="597" ht="15.75" customHeight="1">
      <c r="A597" s="1" t="s">
        <v>1734</v>
      </c>
      <c r="B597" s="1" t="s">
        <v>18</v>
      </c>
      <c r="C597" s="1" t="s">
        <v>1735</v>
      </c>
      <c r="D597" s="1" t="s">
        <v>1735</v>
      </c>
      <c r="E597" s="2">
        <v>45840.0</v>
      </c>
      <c r="F597" s="1" t="s">
        <v>21</v>
      </c>
      <c r="G597" s="1" t="s">
        <v>95</v>
      </c>
      <c r="H597" s="1" t="s">
        <v>216</v>
      </c>
      <c r="I597" s="1">
        <v>11.0</v>
      </c>
      <c r="J597" s="1" t="s">
        <v>24</v>
      </c>
      <c r="K597" s="1">
        <v>11.0</v>
      </c>
      <c r="L597" s="1">
        <v>11.0</v>
      </c>
      <c r="M597" s="1" t="s">
        <v>24</v>
      </c>
      <c r="N597" s="1" t="s">
        <v>24</v>
      </c>
      <c r="O597" s="1" t="s">
        <v>217</v>
      </c>
      <c r="P597" s="3" t="str">
        <f>HYPERLINK("https://icf.clappia.com/app/SOM165486/submission/EHD39680014/ICF247370-SOM165486-f0nnhoh89pfm0000000/SIG-20250702_1252him26.jpeg", "SIG-20250702_1252him26.jpeg")</f>
        <v>SIG-20250702_1252him26.jpeg</v>
      </c>
      <c r="Q597" s="3" t="str">
        <f>HYPERLINK("https://www.google.com/maps/place/7.9562848%2C-11.7607299", "7.9562848,-11.7607299")</f>
        <v>7.9562848,-11.7607299</v>
      </c>
    </row>
    <row r="598" ht="15.75" customHeight="1">
      <c r="A598" s="1" t="s">
        <v>1736</v>
      </c>
      <c r="B598" s="1" t="s">
        <v>18</v>
      </c>
      <c r="C598" s="1" t="s">
        <v>1737</v>
      </c>
      <c r="D598" s="1" t="s">
        <v>1737</v>
      </c>
      <c r="E598" s="2">
        <v>45840.0</v>
      </c>
      <c r="F598" s="1" t="s">
        <v>68</v>
      </c>
      <c r="G598" s="1" t="s">
        <v>88</v>
      </c>
      <c r="H598" s="1" t="s">
        <v>515</v>
      </c>
      <c r="I598" s="1">
        <v>150.0</v>
      </c>
      <c r="J598" s="1" t="s">
        <v>24</v>
      </c>
      <c r="K598" s="1">
        <v>150.0</v>
      </c>
      <c r="L598" s="1">
        <v>150.0</v>
      </c>
      <c r="M598" s="1" t="s">
        <v>24</v>
      </c>
      <c r="N598" s="1" t="s">
        <v>24</v>
      </c>
      <c r="O598" s="1" t="s">
        <v>1738</v>
      </c>
      <c r="P598" s="3" t="str">
        <f>HYPERLINK("https://icf.clappia.com/app/SOM165486/submission/POY96684464/ICF247370-SOM165486-2gek2eb0f62k00000000/SIG-20250702_12515lfg.jpeg", "SIG-20250702_12515lfg.jpeg")</f>
        <v>SIG-20250702_12515lfg.jpeg</v>
      </c>
      <c r="Q598" s="3" t="str">
        <f>HYPERLINK("https://www.google.com/maps/place/8.9032117%2C-12.0455417", "8.9032117,-12.0455417")</f>
        <v>8.9032117,-12.0455417</v>
      </c>
    </row>
    <row r="599" ht="15.75" customHeight="1">
      <c r="A599" s="1" t="s">
        <v>1739</v>
      </c>
      <c r="B599" s="1" t="s">
        <v>18</v>
      </c>
      <c r="C599" s="1" t="s">
        <v>1737</v>
      </c>
      <c r="D599" s="1" t="s">
        <v>1737</v>
      </c>
      <c r="E599" s="2">
        <v>45840.0</v>
      </c>
      <c r="F599" s="1" t="s">
        <v>68</v>
      </c>
      <c r="G599" s="1" t="s">
        <v>83</v>
      </c>
      <c r="H599" s="1" t="s">
        <v>1097</v>
      </c>
      <c r="I599" s="1">
        <v>300.0</v>
      </c>
      <c r="J599" s="1" t="s">
        <v>24</v>
      </c>
      <c r="K599" s="1">
        <v>300.0</v>
      </c>
      <c r="L599" s="1">
        <v>292.0</v>
      </c>
      <c r="M599" s="1">
        <v>8.0</v>
      </c>
      <c r="N599" s="1">
        <v>8.0</v>
      </c>
      <c r="O599" s="1" t="s">
        <v>1740</v>
      </c>
      <c r="P599" s="3" t="str">
        <f>HYPERLINK("https://icf.clappia.com/app/SOM165486/submission/PJO74177567/ICF247370-SOM165486-5f13bphccjeo0000000/SIG-20250702_1250calid.jpeg", "SIG-20250702_1250calid.jpeg")</f>
        <v>SIG-20250702_1250calid.jpeg</v>
      </c>
      <c r="Q599" s="3" t="str">
        <f>HYPERLINK("https://www.google.com/maps/place/8.86001%2C-12.0381617", "8.86001,-12.0381617")</f>
        <v>8.86001,-12.0381617</v>
      </c>
    </row>
    <row r="600" ht="15.75" customHeight="1">
      <c r="A600" s="1" t="s">
        <v>1741</v>
      </c>
      <c r="B600" s="1" t="s">
        <v>18</v>
      </c>
      <c r="C600" s="1" t="s">
        <v>1737</v>
      </c>
      <c r="D600" s="1" t="s">
        <v>1737</v>
      </c>
      <c r="E600" s="2">
        <v>45840.0</v>
      </c>
      <c r="F600" s="1" t="s">
        <v>68</v>
      </c>
      <c r="G600" s="1" t="s">
        <v>83</v>
      </c>
      <c r="H600" s="1" t="s">
        <v>1097</v>
      </c>
      <c r="I600" s="1">
        <v>100.0</v>
      </c>
      <c r="J600" s="1" t="s">
        <v>24</v>
      </c>
      <c r="K600" s="1">
        <v>100.0</v>
      </c>
      <c r="L600" s="1">
        <v>56.0</v>
      </c>
      <c r="M600" s="1">
        <v>44.0</v>
      </c>
      <c r="N600" s="1">
        <v>44.0</v>
      </c>
      <c r="O600" s="1" t="s">
        <v>1742</v>
      </c>
      <c r="P600" s="3" t="str">
        <f>HYPERLINK("https://icf.clappia.com/app/SOM165486/submission/FHG29307002/ICF247370-SOM165486-5k23lf2l3ofe00000000/SIG-20250702_1250hbj3d.jpeg", "SIG-20250702_1250hbj3d.jpeg")</f>
        <v>SIG-20250702_1250hbj3d.jpeg</v>
      </c>
      <c r="Q600" s="3" t="str">
        <f>HYPERLINK("https://www.google.com/maps/place/8.8589368%2C-12.0383417", "8.8589368,-12.0383417")</f>
        <v>8.8589368,-12.0383417</v>
      </c>
    </row>
    <row r="601" ht="15.75" customHeight="1">
      <c r="A601" s="1" t="s">
        <v>1743</v>
      </c>
      <c r="B601" s="1" t="s">
        <v>18</v>
      </c>
      <c r="C601" s="1" t="s">
        <v>1744</v>
      </c>
      <c r="D601" s="1" t="s">
        <v>1048</v>
      </c>
      <c r="E601" s="2">
        <v>45840.0</v>
      </c>
      <c r="F601" s="1" t="s">
        <v>21</v>
      </c>
      <c r="G601" s="1" t="s">
        <v>421</v>
      </c>
      <c r="H601" s="1" t="s">
        <v>422</v>
      </c>
      <c r="I601" s="1">
        <v>132.0</v>
      </c>
      <c r="J601" s="1" t="s">
        <v>24</v>
      </c>
      <c r="K601" s="1">
        <v>132.0</v>
      </c>
      <c r="L601" s="1">
        <v>39.0</v>
      </c>
      <c r="M601" s="1">
        <v>93.0</v>
      </c>
      <c r="N601" s="1">
        <v>93.0</v>
      </c>
      <c r="O601" s="1" t="s">
        <v>423</v>
      </c>
      <c r="P601" s="3" t="str">
        <f>HYPERLINK("https://icf.clappia.com/app/SOM165486/submission/DZO99396338/ICF247370-SOM165486-653ncalmi36600000000/SIG-20250702_1249nccdd.jpeg", "SIG-20250702_1249nccdd.jpeg")</f>
        <v>SIG-20250702_1249nccdd.jpeg</v>
      </c>
      <c r="Q601" s="3" t="str">
        <f>HYPERLINK("https://www.google.com/maps/place/8.0746184%2C-11.6013784", "8.0746184,-11.6013784")</f>
        <v>8.0746184,-11.6013784</v>
      </c>
    </row>
    <row r="602" ht="15.75" customHeight="1">
      <c r="A602" s="1" t="s">
        <v>1745</v>
      </c>
      <c r="B602" s="1" t="s">
        <v>18</v>
      </c>
      <c r="C602" s="1" t="s">
        <v>1746</v>
      </c>
      <c r="D602" s="1" t="s">
        <v>1746</v>
      </c>
      <c r="E602" s="2">
        <v>45840.0</v>
      </c>
      <c r="F602" s="1" t="s">
        <v>21</v>
      </c>
      <c r="G602" s="1" t="s">
        <v>95</v>
      </c>
      <c r="H602" s="1" t="s">
        <v>1747</v>
      </c>
      <c r="I602" s="1">
        <v>669.0</v>
      </c>
      <c r="J602" s="1" t="s">
        <v>24</v>
      </c>
      <c r="K602" s="1">
        <v>669.0</v>
      </c>
      <c r="L602" s="1">
        <v>649.0</v>
      </c>
      <c r="M602" s="1">
        <v>20.0</v>
      </c>
      <c r="N602" s="1">
        <v>20.0</v>
      </c>
      <c r="O602" s="1" t="s">
        <v>1748</v>
      </c>
      <c r="P602" s="3" t="str">
        <f>HYPERLINK("https://icf.clappia.com/app/SOM165486/submission/MNE62183017/ICF247370-SOM165486-36da7epnn38800000000/SIG-20250702_1240pjhdh.jpeg", "SIG-20250702_1240pjhdh.jpeg")</f>
        <v>SIG-20250702_1240pjhdh.jpeg</v>
      </c>
      <c r="Q602" s="3" t="str">
        <f>HYPERLINK("https://www.google.com/maps/place/8.0135833%2C-11.72838", "8.0135833,-11.72838")</f>
        <v>8.0135833,-11.72838</v>
      </c>
    </row>
    <row r="603" ht="15.75" customHeight="1">
      <c r="A603" s="1" t="s">
        <v>1749</v>
      </c>
      <c r="B603" s="1" t="s">
        <v>283</v>
      </c>
      <c r="C603" s="1" t="s">
        <v>1750</v>
      </c>
      <c r="D603" s="1" t="s">
        <v>1750</v>
      </c>
      <c r="E603" s="2">
        <v>45840.0</v>
      </c>
      <c r="F603" s="1" t="s">
        <v>68</v>
      </c>
      <c r="G603" s="1" t="s">
        <v>592</v>
      </c>
      <c r="H603" s="1" t="s">
        <v>665</v>
      </c>
      <c r="I603" s="1">
        <v>203.0</v>
      </c>
      <c r="J603" s="1" t="s">
        <v>24</v>
      </c>
      <c r="K603" s="1">
        <v>203.0</v>
      </c>
      <c r="L603" s="1">
        <v>203.0</v>
      </c>
      <c r="M603" s="1" t="s">
        <v>24</v>
      </c>
      <c r="N603" s="1" t="s">
        <v>24</v>
      </c>
      <c r="O603" s="1" t="s">
        <v>1751</v>
      </c>
      <c r="P603" s="3" t="str">
        <f>HYPERLINK("https://icf.clappia.com/app/SOM165486/submission/XEU57215452/ICF247370-SOM165486-61ogj1ogbaa800000000/SIG-20250702_1247nkaa.jpeg", "SIG-20250702_1247nkaa.jpeg")</f>
        <v>SIG-20250702_1247nkaa.jpeg</v>
      </c>
      <c r="Q603" s="3" t="str">
        <f>HYPERLINK("https://www.google.com/maps/place/8.9008302%2C-12.0582041", "8.9008302,-12.0582041")</f>
        <v>8.9008302,-12.0582041</v>
      </c>
    </row>
    <row r="604" ht="15.75" customHeight="1">
      <c r="A604" s="1" t="s">
        <v>1752</v>
      </c>
      <c r="B604" s="1" t="s">
        <v>18</v>
      </c>
      <c r="C604" s="1" t="s">
        <v>1750</v>
      </c>
      <c r="D604" s="1" t="s">
        <v>1750</v>
      </c>
      <c r="E604" s="2">
        <v>45838.0</v>
      </c>
      <c r="F604" s="1" t="s">
        <v>68</v>
      </c>
      <c r="G604" s="1" t="s">
        <v>592</v>
      </c>
      <c r="H604" s="1" t="s">
        <v>593</v>
      </c>
      <c r="I604" s="1">
        <v>50.0</v>
      </c>
      <c r="J604" s="1" t="s">
        <v>24</v>
      </c>
      <c r="K604" s="1">
        <v>50.0</v>
      </c>
      <c r="L604" s="1">
        <v>40.0</v>
      </c>
      <c r="M604" s="1">
        <v>10.0</v>
      </c>
      <c r="N604" s="1">
        <v>10.0</v>
      </c>
      <c r="O604" s="1" t="s">
        <v>594</v>
      </c>
      <c r="P604" s="3" t="str">
        <f>HYPERLINK("https://icf.clappia.com/app/SOM165486/submission/YBM77316134/ICF247370-SOM165486-l4d3l7kmckb80000000/SIG-20250702_124614bki3.jpeg", "SIG-20250702_124614bki3.jpeg")</f>
        <v>SIG-20250702_124614bki3.jpeg</v>
      </c>
      <c r="Q604" s="3" t="str">
        <f>HYPERLINK("https://www.google.com/maps/place/8.9174%2C-12.0312467", "8.9174,-12.0312467")</f>
        <v>8.9174,-12.0312467</v>
      </c>
    </row>
    <row r="605" ht="15.75" customHeight="1">
      <c r="A605" s="1" t="s">
        <v>1753</v>
      </c>
      <c r="B605" s="1" t="s">
        <v>18</v>
      </c>
      <c r="C605" s="1" t="s">
        <v>1754</v>
      </c>
      <c r="D605" s="1" t="s">
        <v>1754</v>
      </c>
      <c r="E605" s="2">
        <v>45840.0</v>
      </c>
      <c r="F605" s="1" t="s">
        <v>21</v>
      </c>
      <c r="G605" s="1" t="s">
        <v>722</v>
      </c>
      <c r="H605" s="1" t="s">
        <v>723</v>
      </c>
      <c r="I605" s="1">
        <v>210.0</v>
      </c>
      <c r="J605" s="1" t="s">
        <v>24</v>
      </c>
      <c r="K605" s="1">
        <v>210.0</v>
      </c>
      <c r="L605" s="1">
        <v>210.0</v>
      </c>
      <c r="M605" s="1" t="s">
        <v>24</v>
      </c>
      <c r="N605" s="1" t="s">
        <v>24</v>
      </c>
      <c r="O605" s="1" t="s">
        <v>724</v>
      </c>
      <c r="P605" s="3" t="str">
        <f>HYPERLINK("https://icf.clappia.com/app/SOM165486/submission/FDW18741192/ICF247370-SOM165486-91f5bg713hak0000000/SIG-20250702_1244jk1ki.jpeg", "SIG-20250702_1244jk1ki.jpeg")</f>
        <v>SIG-20250702_1244jk1ki.jpeg</v>
      </c>
      <c r="Q605" s="3" t="str">
        <f>HYPERLINK("https://www.google.com/maps/place/8.1219783%2C-11.7004267", "8.1219783,-11.7004267")</f>
        <v>8.1219783,-11.7004267</v>
      </c>
    </row>
    <row r="606" ht="15.75" customHeight="1">
      <c r="A606" s="1" t="s">
        <v>1755</v>
      </c>
      <c r="B606" s="1" t="s">
        <v>18</v>
      </c>
      <c r="C606" s="1" t="s">
        <v>1756</v>
      </c>
      <c r="D606" s="1" t="s">
        <v>1756</v>
      </c>
      <c r="E606" s="2">
        <v>45840.0</v>
      </c>
      <c r="F606" s="1" t="s">
        <v>68</v>
      </c>
      <c r="G606" s="1" t="s">
        <v>592</v>
      </c>
      <c r="H606" s="1" t="s">
        <v>593</v>
      </c>
      <c r="I606" s="1">
        <v>100.0</v>
      </c>
      <c r="J606" s="1" t="s">
        <v>24</v>
      </c>
      <c r="K606" s="1">
        <v>100.0</v>
      </c>
      <c r="L606" s="1">
        <v>90.0</v>
      </c>
      <c r="M606" s="1">
        <v>10.0</v>
      </c>
      <c r="N606" s="1">
        <v>10.0</v>
      </c>
      <c r="O606" s="1" t="s">
        <v>594</v>
      </c>
      <c r="P606" s="3" t="str">
        <f>HYPERLINK("https://icf.clappia.com/app/SOM165486/submission/EXG31113168/ICF247370-SOM165486-2lmfa3n3clle00000000/SIG-20250702_1227j1844.jpeg", "SIG-20250702_1227j1844.jpeg")</f>
        <v>SIG-20250702_1227j1844.jpeg</v>
      </c>
      <c r="Q606" s="3" t="str">
        <f>HYPERLINK("https://www.google.com/maps/place/8.9173905%2C-12.0312598", "8.9173905,-12.0312598")</f>
        <v>8.9173905,-12.0312598</v>
      </c>
    </row>
    <row r="607" ht="15.75" customHeight="1">
      <c r="A607" s="1" t="s">
        <v>1757</v>
      </c>
      <c r="B607" s="1" t="s">
        <v>18</v>
      </c>
      <c r="C607" s="1" t="s">
        <v>1756</v>
      </c>
      <c r="D607" s="1" t="s">
        <v>1756</v>
      </c>
      <c r="E607" s="2">
        <v>45840.0</v>
      </c>
      <c r="F607" s="1" t="s">
        <v>21</v>
      </c>
      <c r="G607" s="1" t="s">
        <v>129</v>
      </c>
      <c r="H607" s="1" t="s">
        <v>959</v>
      </c>
      <c r="I607" s="1">
        <v>167.0</v>
      </c>
      <c r="J607" s="1" t="s">
        <v>24</v>
      </c>
      <c r="K607" s="1">
        <v>167.0</v>
      </c>
      <c r="L607" s="1">
        <v>167.0</v>
      </c>
      <c r="M607" s="1" t="s">
        <v>24</v>
      </c>
      <c r="N607" s="1" t="s">
        <v>24</v>
      </c>
      <c r="O607" s="1" t="s">
        <v>1758</v>
      </c>
      <c r="P607" s="3" t="str">
        <f>HYPERLINK("https://icf.clappia.com/app/SOM165486/submission/HOY55873697/ICF247370-SOM165486-264n7amohme560000000/SIG-20250702_12421aedf9.jpeg", "SIG-20250702_12421aedf9.jpeg")</f>
        <v>SIG-20250702_12421aedf9.jpeg</v>
      </c>
      <c r="Q607" s="3" t="str">
        <f>HYPERLINK("https://www.google.com/maps/place/7.6057033%2C-11.9069483", "7.6057033,-11.9069483")</f>
        <v>7.6057033,-11.9069483</v>
      </c>
    </row>
    <row r="608" ht="15.75" customHeight="1">
      <c r="A608" s="1" t="s">
        <v>1759</v>
      </c>
      <c r="B608" s="1" t="s">
        <v>18</v>
      </c>
      <c r="C608" s="1" t="s">
        <v>1760</v>
      </c>
      <c r="D608" s="1" t="s">
        <v>1760</v>
      </c>
      <c r="E608" s="2">
        <v>45840.0</v>
      </c>
      <c r="F608" s="1" t="s">
        <v>21</v>
      </c>
      <c r="G608" s="1" t="s">
        <v>58</v>
      </c>
      <c r="H608" s="1" t="s">
        <v>1054</v>
      </c>
      <c r="I608" s="1">
        <v>156.0</v>
      </c>
      <c r="J608" s="1" t="s">
        <v>24</v>
      </c>
      <c r="K608" s="1">
        <v>156.0</v>
      </c>
      <c r="L608" s="1">
        <v>156.0</v>
      </c>
      <c r="M608" s="1" t="s">
        <v>24</v>
      </c>
      <c r="N608" s="1" t="s">
        <v>24</v>
      </c>
      <c r="O608" s="1" t="s">
        <v>1373</v>
      </c>
      <c r="P608" s="3" t="str">
        <f>HYPERLINK("https://icf.clappia.com/app/SOM165486/submission/NNI14130216/ICF247370-SOM165486-2ap8bbppj806k0000000/SIG-20250702_123613pmd7.jpeg", "SIG-20250702_123613pmd7.jpeg")</f>
        <v>SIG-20250702_123613pmd7.jpeg</v>
      </c>
      <c r="Q608" s="3" t="str">
        <f>HYPERLINK("https://www.google.com/maps/place/7.9610483%2C-11.7733967", "7.9610483,-11.7733967")</f>
        <v>7.9610483,-11.7733967</v>
      </c>
    </row>
    <row r="609" ht="15.75" customHeight="1">
      <c r="A609" s="1" t="s">
        <v>1761</v>
      </c>
      <c r="B609" s="1" t="s">
        <v>18</v>
      </c>
      <c r="C609" s="1" t="s">
        <v>1760</v>
      </c>
      <c r="D609" s="1" t="s">
        <v>1760</v>
      </c>
      <c r="E609" s="2">
        <v>45840.0</v>
      </c>
      <c r="F609" s="1" t="s">
        <v>68</v>
      </c>
      <c r="G609" s="1" t="s">
        <v>88</v>
      </c>
      <c r="H609" s="1" t="s">
        <v>515</v>
      </c>
      <c r="I609" s="1">
        <v>200.0</v>
      </c>
      <c r="J609" s="1">
        <v>100.0</v>
      </c>
      <c r="K609" s="1">
        <v>300.0</v>
      </c>
      <c r="L609" s="1">
        <v>300.0</v>
      </c>
      <c r="M609" s="1" t="s">
        <v>24</v>
      </c>
      <c r="N609" s="1" t="s">
        <v>24</v>
      </c>
      <c r="O609" s="1" t="s">
        <v>544</v>
      </c>
      <c r="P609" s="3" t="str">
        <f>HYPERLINK("https://icf.clappia.com/app/SOM165486/submission/ZLC44101317/ICF247370-SOM165486-43dfdl0h3jk200000000/SIG-20250702_1231omag6.jpeg", "SIG-20250702_1231omag6.jpeg")</f>
        <v>SIG-20250702_1231omag6.jpeg</v>
      </c>
      <c r="Q609" s="3" t="str">
        <f>HYPERLINK("https://www.google.com/maps/place/8.9033817%2C-12.04539", "8.9033817,-12.04539")</f>
        <v>8.9033817,-12.04539</v>
      </c>
    </row>
    <row r="610" ht="15.75" customHeight="1">
      <c r="A610" s="1" t="s">
        <v>1762</v>
      </c>
      <c r="B610" s="1" t="s">
        <v>18</v>
      </c>
      <c r="C610" s="1" t="s">
        <v>1760</v>
      </c>
      <c r="D610" s="1" t="s">
        <v>1760</v>
      </c>
      <c r="E610" s="2">
        <v>45840.0</v>
      </c>
      <c r="F610" s="1" t="s">
        <v>21</v>
      </c>
      <c r="G610" s="1" t="s">
        <v>77</v>
      </c>
      <c r="H610" s="1" t="s">
        <v>561</v>
      </c>
      <c r="I610" s="1">
        <v>961.0</v>
      </c>
      <c r="J610" s="1" t="s">
        <v>24</v>
      </c>
      <c r="K610" s="1">
        <v>961.0</v>
      </c>
      <c r="L610" s="1">
        <v>504.0</v>
      </c>
      <c r="M610" s="1">
        <v>457.0</v>
      </c>
      <c r="N610" s="1" t="s">
        <v>24</v>
      </c>
      <c r="O610" s="1" t="s">
        <v>562</v>
      </c>
      <c r="P610" s="3" t="str">
        <f>HYPERLINK("https://icf.clappia.com/app/SOM165486/submission/FVV45707309/ICF247370-SOM165486-634cenfdln1m00000000/SIG-20250702_1235gka3o.jpeg", "SIG-20250702_1235gka3o.jpeg")</f>
        <v>SIG-20250702_1235gka3o.jpeg</v>
      </c>
      <c r="Q610" s="3" t="str">
        <f>HYPERLINK("https://www.google.com/maps/place/7.9453267%2C-11.7338967", "7.9453267,-11.7338967")</f>
        <v>7.9453267,-11.7338967</v>
      </c>
    </row>
    <row r="611" ht="15.75" customHeight="1">
      <c r="A611" s="1" t="s">
        <v>1763</v>
      </c>
      <c r="B611" s="1" t="s">
        <v>18</v>
      </c>
      <c r="C611" s="1" t="s">
        <v>1764</v>
      </c>
      <c r="D611" s="1" t="s">
        <v>1765</v>
      </c>
      <c r="E611" s="2">
        <v>45839.0</v>
      </c>
      <c r="F611" s="1" t="s">
        <v>21</v>
      </c>
      <c r="G611" s="1" t="s">
        <v>722</v>
      </c>
      <c r="H611" s="1" t="s">
        <v>1766</v>
      </c>
      <c r="I611" s="1">
        <v>94.0</v>
      </c>
      <c r="J611" s="1" t="s">
        <v>24</v>
      </c>
      <c r="K611" s="1">
        <v>94.0</v>
      </c>
      <c r="L611" s="1">
        <v>55.0</v>
      </c>
      <c r="M611" s="1">
        <v>39.0</v>
      </c>
      <c r="N611" s="1">
        <v>39.0</v>
      </c>
      <c r="O611" s="1" t="s">
        <v>1767</v>
      </c>
      <c r="P611" s="3" t="str">
        <f>HYPERLINK("https://icf.clappia.com/app/SOM165486/submission/UYB04249308/ICF247370-SOM165486-3ho9n49p25a000000000/SIG-20250701_152115k282.jpeg", "SIG-20250701_152115k282.jpeg")</f>
        <v>SIG-20250701_152115k282.jpeg</v>
      </c>
      <c r="Q611" s="3" t="str">
        <f>HYPERLINK("https://www.google.com/maps/place/8.121525%2C-11.7575467", "8.121525,-11.7575467")</f>
        <v>8.121525,-11.7575467</v>
      </c>
    </row>
    <row r="612" ht="15.75" customHeight="1">
      <c r="A612" s="1" t="s">
        <v>1768</v>
      </c>
      <c r="B612" s="1" t="s">
        <v>18</v>
      </c>
      <c r="C612" s="1" t="s">
        <v>1769</v>
      </c>
      <c r="D612" s="1" t="s">
        <v>1765</v>
      </c>
      <c r="E612" s="2">
        <v>45838.0</v>
      </c>
      <c r="F612" s="1" t="s">
        <v>21</v>
      </c>
      <c r="G612" s="1" t="s">
        <v>722</v>
      </c>
      <c r="H612" s="1" t="s">
        <v>1766</v>
      </c>
      <c r="I612" s="1">
        <v>240.0</v>
      </c>
      <c r="J612" s="1" t="s">
        <v>24</v>
      </c>
      <c r="K612" s="1">
        <v>240.0</v>
      </c>
      <c r="L612" s="1">
        <v>114.0</v>
      </c>
      <c r="M612" s="1">
        <v>126.0</v>
      </c>
      <c r="N612" s="1">
        <v>114.0</v>
      </c>
      <c r="O612" s="1" t="s">
        <v>1770</v>
      </c>
      <c r="P612" s="3" t="str">
        <f>HYPERLINK("https://icf.clappia.com/app/SOM165486/submission/RSO01473121/ICF247370-SOM165486-5j9k3l4599o000000000/SIG-20250701_09063gp1a.jpeg", "SIG-20250701_09063gp1a.jpeg")</f>
        <v>SIG-20250701_09063gp1a.jpeg</v>
      </c>
      <c r="Q612" s="3" t="str">
        <f>HYPERLINK("https://www.google.com/maps/place/8.1215017%2C-11.7576717", "8.1215017,-11.7576717")</f>
        <v>8.1215017,-11.7576717</v>
      </c>
    </row>
    <row r="613" ht="15.75" customHeight="1">
      <c r="A613" s="1" t="s">
        <v>1771</v>
      </c>
      <c r="B613" s="1" t="s">
        <v>18</v>
      </c>
      <c r="C613" s="1" t="s">
        <v>1765</v>
      </c>
      <c r="D613" s="1" t="s">
        <v>1765</v>
      </c>
      <c r="E613" s="2">
        <v>45840.0</v>
      </c>
      <c r="F613" s="1" t="s">
        <v>21</v>
      </c>
      <c r="G613" s="1" t="s">
        <v>95</v>
      </c>
      <c r="H613" s="1" t="s">
        <v>216</v>
      </c>
      <c r="I613" s="1">
        <v>26.0</v>
      </c>
      <c r="J613" s="1" t="s">
        <v>24</v>
      </c>
      <c r="K613" s="1">
        <v>26.0</v>
      </c>
      <c r="L613" s="1">
        <v>26.0</v>
      </c>
      <c r="M613" s="1" t="s">
        <v>24</v>
      </c>
      <c r="N613" s="1" t="s">
        <v>24</v>
      </c>
      <c r="O613" s="1" t="s">
        <v>992</v>
      </c>
      <c r="P613" s="3" t="str">
        <f>HYPERLINK("https://icf.clappia.com/app/SOM165486/submission/CTF51255267/ICF247370-SOM165486-1g74h17h3md440000000/SIG-20250702_12344iaco.jpeg", "SIG-20250702_12344iaco.jpeg")</f>
        <v>SIG-20250702_12344iaco.jpeg</v>
      </c>
      <c r="Q613" s="3" t="str">
        <f>HYPERLINK("https://www.google.com/maps/place/7.95629%2C-11.7606883", "7.95629,-11.7606883")</f>
        <v>7.95629,-11.7606883</v>
      </c>
    </row>
    <row r="614" ht="15.75" customHeight="1">
      <c r="A614" s="1" t="s">
        <v>1772</v>
      </c>
      <c r="B614" s="1" t="s">
        <v>18</v>
      </c>
      <c r="C614" s="1" t="s">
        <v>1773</v>
      </c>
      <c r="D614" s="1" t="s">
        <v>1773</v>
      </c>
      <c r="E614" s="2">
        <v>45840.0</v>
      </c>
      <c r="F614" s="1" t="s">
        <v>68</v>
      </c>
      <c r="G614" s="1" t="s">
        <v>83</v>
      </c>
      <c r="H614" s="1" t="s">
        <v>653</v>
      </c>
      <c r="I614" s="1">
        <v>162.0</v>
      </c>
      <c r="J614" s="1" t="s">
        <v>24</v>
      </c>
      <c r="K614" s="1">
        <v>162.0</v>
      </c>
      <c r="L614" s="1">
        <v>162.0</v>
      </c>
      <c r="M614" s="1" t="s">
        <v>24</v>
      </c>
      <c r="N614" s="1" t="s">
        <v>24</v>
      </c>
      <c r="O614" s="1" t="s">
        <v>654</v>
      </c>
      <c r="P614" s="3" t="str">
        <f>HYPERLINK("https://icf.clappia.com/app/SOM165486/submission/IXZ36211509/ICF247370-SOM165486-2a53gilk23ac80000000/SIG-20250702_1234il1ep.jpeg", "SIG-20250702_1234il1ep.jpeg")</f>
        <v>SIG-20250702_1234il1ep.jpeg</v>
      </c>
      <c r="Q614" s="3" t="str">
        <f>HYPERLINK("https://www.google.com/maps/place/8.8597833%2C-12.0726933", "8.8597833,-12.0726933")</f>
        <v>8.8597833,-12.0726933</v>
      </c>
    </row>
    <row r="615" ht="15.75" customHeight="1">
      <c r="A615" s="1" t="s">
        <v>1774</v>
      </c>
      <c r="B615" s="1" t="s">
        <v>18</v>
      </c>
      <c r="C615" s="1" t="s">
        <v>1775</v>
      </c>
      <c r="D615" s="1" t="s">
        <v>1775</v>
      </c>
      <c r="E615" s="2">
        <v>45840.0</v>
      </c>
      <c r="F615" s="1" t="s">
        <v>21</v>
      </c>
      <c r="G615" s="1" t="s">
        <v>58</v>
      </c>
      <c r="H615" s="1" t="s">
        <v>59</v>
      </c>
      <c r="I615" s="1">
        <v>150.0</v>
      </c>
      <c r="J615" s="1" t="s">
        <v>24</v>
      </c>
      <c r="K615" s="1">
        <v>150.0</v>
      </c>
      <c r="L615" s="1">
        <v>127.0</v>
      </c>
      <c r="M615" s="1">
        <v>23.0</v>
      </c>
      <c r="N615" s="1">
        <v>23.0</v>
      </c>
      <c r="O615" s="1" t="s">
        <v>60</v>
      </c>
      <c r="P615" s="3" t="str">
        <f>HYPERLINK("https://icf.clappia.com/app/SOM165486/submission/TLR92868363/ICF247370-SOM165486-1924d5ppa39ok0000000/SIG-20250702_12304cc4e.jpeg", "SIG-20250702_12304cc4e.jpeg")</f>
        <v>SIG-20250702_12304cc4e.jpeg</v>
      </c>
      <c r="Q615" s="3" t="str">
        <f>HYPERLINK("https://www.google.com/maps/place/7.932155%2C-11.745905", "7.932155,-11.745905")</f>
        <v>7.932155,-11.745905</v>
      </c>
    </row>
    <row r="616" ht="15.75" customHeight="1">
      <c r="A616" s="1" t="s">
        <v>1776</v>
      </c>
      <c r="B616" s="1" t="s">
        <v>18</v>
      </c>
      <c r="C616" s="1" t="s">
        <v>1775</v>
      </c>
      <c r="D616" s="1" t="s">
        <v>1775</v>
      </c>
      <c r="E616" s="2">
        <v>45839.0</v>
      </c>
      <c r="F616" s="1" t="s">
        <v>21</v>
      </c>
      <c r="G616" s="1" t="s">
        <v>95</v>
      </c>
      <c r="H616" s="1" t="s">
        <v>615</v>
      </c>
      <c r="I616" s="1">
        <v>209.0</v>
      </c>
      <c r="J616" s="1" t="s">
        <v>24</v>
      </c>
      <c r="K616" s="1">
        <v>209.0</v>
      </c>
      <c r="L616" s="1">
        <v>209.0</v>
      </c>
      <c r="M616" s="1" t="s">
        <v>24</v>
      </c>
      <c r="N616" s="1" t="s">
        <v>24</v>
      </c>
      <c r="O616" s="1" t="s">
        <v>616</v>
      </c>
      <c r="P616" s="3" t="str">
        <f>HYPERLINK("https://icf.clappia.com/app/SOM165486/submission/AWS47906689/ICF247370-SOM165486-55g6i1mhn36600000000/SIG-20250702_1230p4flc.jpeg", "SIG-20250702_1230p4flc.jpeg")</f>
        <v>SIG-20250702_1230p4flc.jpeg</v>
      </c>
      <c r="Q616" s="3" t="str">
        <f>HYPERLINK("https://www.google.com/maps/place/7.9700133%2C-11.761475", "7.9700133,-11.761475")</f>
        <v>7.9700133,-11.761475</v>
      </c>
    </row>
    <row r="617" ht="15.75" customHeight="1">
      <c r="A617" s="1" t="s">
        <v>1777</v>
      </c>
      <c r="B617" s="1" t="s">
        <v>18</v>
      </c>
      <c r="C617" s="1" t="s">
        <v>1778</v>
      </c>
      <c r="D617" s="1" t="s">
        <v>1778</v>
      </c>
      <c r="E617" s="2">
        <v>45840.0</v>
      </c>
      <c r="F617" s="1" t="s">
        <v>68</v>
      </c>
      <c r="G617" s="1" t="s">
        <v>786</v>
      </c>
      <c r="H617" s="1" t="s">
        <v>1779</v>
      </c>
      <c r="I617" s="1">
        <v>150.0</v>
      </c>
      <c r="J617" s="1">
        <v>400.0</v>
      </c>
      <c r="K617" s="1">
        <v>550.0</v>
      </c>
      <c r="L617" s="1">
        <v>503.0</v>
      </c>
      <c r="M617" s="1">
        <v>47.0</v>
      </c>
      <c r="N617" s="1">
        <v>47.0</v>
      </c>
      <c r="O617" s="1" t="s">
        <v>1780</v>
      </c>
      <c r="P617" s="3" t="str">
        <f>HYPERLINK("https://icf.clappia.com/app/SOM165486/submission/ZJV97851973/ICF247370-SOM165486-1a7fb4f7eg7o40000000/SIG-20250702_1225a86l.jpeg", "SIG-20250702_1225a86l.jpeg")</f>
        <v>SIG-20250702_1225a86l.jpeg</v>
      </c>
      <c r="Q617" s="3" t="str">
        <f>HYPERLINK("https://www.google.com/maps/place/8.7465483%2C-12.0494", "8.7465483,-12.0494")</f>
        <v>8.7465483,-12.0494</v>
      </c>
    </row>
    <row r="618" ht="15.75" customHeight="1">
      <c r="A618" s="1" t="s">
        <v>1781</v>
      </c>
      <c r="B618" s="1" t="s">
        <v>18</v>
      </c>
      <c r="C618" s="1" t="s">
        <v>1616</v>
      </c>
      <c r="D618" s="1" t="s">
        <v>1616</v>
      </c>
      <c r="E618" s="2">
        <v>45840.0</v>
      </c>
      <c r="F618" s="1" t="s">
        <v>68</v>
      </c>
      <c r="G618" s="1" t="s">
        <v>286</v>
      </c>
      <c r="H618" s="1" t="s">
        <v>320</v>
      </c>
      <c r="I618" s="1">
        <v>100.0</v>
      </c>
      <c r="J618" s="1" t="s">
        <v>24</v>
      </c>
      <c r="K618" s="1">
        <v>100.0</v>
      </c>
      <c r="L618" s="1">
        <v>100.0</v>
      </c>
      <c r="M618" s="1" t="s">
        <v>24</v>
      </c>
      <c r="N618" s="1" t="s">
        <v>24</v>
      </c>
      <c r="O618" s="1" t="s">
        <v>1782</v>
      </c>
      <c r="P618" s="3" t="str">
        <f>HYPERLINK("https://icf.clappia.com/app/SOM165486/submission/YWJ02343766/ICF247370-SOM165486-14gp674pfomf80000000/SIG-20250701_1512bgnb2.jpeg", "SIG-20250701_1512bgnb2.jpeg")</f>
        <v>SIG-20250701_1512bgnb2.jpeg</v>
      </c>
      <c r="Q618" s="3" t="str">
        <f>HYPERLINK("https://www.google.com/maps/place/9.0295167%2C-12.1579683", "9.0295167,-12.1579683")</f>
        <v>9.0295167,-12.1579683</v>
      </c>
    </row>
    <row r="619" ht="15.75" customHeight="1">
      <c r="A619" s="1" t="s">
        <v>1783</v>
      </c>
      <c r="B619" s="1" t="s">
        <v>18</v>
      </c>
      <c r="C619" s="1" t="s">
        <v>1784</v>
      </c>
      <c r="D619" s="1" t="s">
        <v>1784</v>
      </c>
      <c r="E619" s="2">
        <v>45840.0</v>
      </c>
      <c r="F619" s="1" t="s">
        <v>21</v>
      </c>
      <c r="G619" s="1" t="s">
        <v>58</v>
      </c>
      <c r="H619" s="1" t="s">
        <v>59</v>
      </c>
      <c r="I619" s="1">
        <v>150.0</v>
      </c>
      <c r="J619" s="1" t="s">
        <v>24</v>
      </c>
      <c r="K619" s="1">
        <v>150.0</v>
      </c>
      <c r="L619" s="1">
        <v>127.0</v>
      </c>
      <c r="M619" s="1">
        <v>23.0</v>
      </c>
      <c r="N619" s="1">
        <v>23.0</v>
      </c>
      <c r="O619" s="1" t="s">
        <v>60</v>
      </c>
      <c r="P619" s="3" t="str">
        <f>HYPERLINK("https://icf.clappia.com/app/SOM165486/submission/JUN13159384/ICF247370-SOM165486-3hkflglmh5g800000000/SIG-20250702_1226o62ed.jpeg", "SIG-20250702_1226o62ed.jpeg")</f>
        <v>SIG-20250702_1226o62ed.jpeg</v>
      </c>
      <c r="Q619" s="3" t="str">
        <f>HYPERLINK("https://www.google.com/maps/place/7.9321883%2C-11.7457433", "7.9321883,-11.7457433")</f>
        <v>7.9321883,-11.7457433</v>
      </c>
    </row>
    <row r="620" ht="15.75" customHeight="1">
      <c r="A620" s="1" t="s">
        <v>1785</v>
      </c>
      <c r="B620" s="1" t="s">
        <v>18</v>
      </c>
      <c r="C620" s="1" t="s">
        <v>1786</v>
      </c>
      <c r="D620" s="1" t="s">
        <v>1787</v>
      </c>
      <c r="E620" s="2">
        <v>45840.0</v>
      </c>
      <c r="F620" s="1" t="s">
        <v>21</v>
      </c>
      <c r="G620" s="1" t="s">
        <v>95</v>
      </c>
      <c r="H620" s="1" t="s">
        <v>697</v>
      </c>
      <c r="I620" s="1">
        <v>150.0</v>
      </c>
      <c r="J620" s="1" t="s">
        <v>24</v>
      </c>
      <c r="K620" s="1">
        <v>150.0</v>
      </c>
      <c r="L620" s="1">
        <v>103.0</v>
      </c>
      <c r="M620" s="1">
        <v>47.0</v>
      </c>
      <c r="N620" s="1">
        <v>47.0</v>
      </c>
      <c r="O620" s="1" t="s">
        <v>1788</v>
      </c>
      <c r="P620" s="3" t="str">
        <f>HYPERLINK("https://icf.clappia.com/app/SOM165486/submission/QMZ65669624/ICF247370-SOM165486-18aemcma6nj1i000000/SIG-20250702_1128nmcc1.jpeg", "SIG-20250702_1128nmcc1.jpeg")</f>
        <v>SIG-20250702_1128nmcc1.jpeg</v>
      </c>
      <c r="Q620" s="3" t="str">
        <f>HYPERLINK("https://www.google.com/maps/place/7.9543083%2C-11.7520517", "7.9543083,-11.7520517")</f>
        <v>7.9543083,-11.7520517</v>
      </c>
    </row>
    <row r="621" ht="15.75" customHeight="1">
      <c r="A621" s="1" t="s">
        <v>1789</v>
      </c>
      <c r="B621" s="1" t="s">
        <v>18</v>
      </c>
      <c r="C621" s="1" t="s">
        <v>1790</v>
      </c>
      <c r="D621" s="1" t="s">
        <v>1787</v>
      </c>
      <c r="E621" s="2">
        <v>45839.0</v>
      </c>
      <c r="F621" s="1" t="s">
        <v>21</v>
      </c>
      <c r="G621" s="1" t="s">
        <v>95</v>
      </c>
      <c r="H621" s="1" t="s">
        <v>697</v>
      </c>
      <c r="I621" s="1">
        <v>100.0</v>
      </c>
      <c r="J621" s="1" t="s">
        <v>24</v>
      </c>
      <c r="K621" s="1">
        <v>100.0</v>
      </c>
      <c r="L621" s="1">
        <v>85.0</v>
      </c>
      <c r="M621" s="1">
        <v>15.0</v>
      </c>
      <c r="N621" s="1">
        <v>15.0</v>
      </c>
      <c r="O621" s="1" t="s">
        <v>698</v>
      </c>
      <c r="P621" s="3" t="str">
        <f>HYPERLINK("https://icf.clappia.com/app/SOM165486/submission/YCA35980683/ICF247370-SOM165486-bihjjb4bg31i0000000/SIG-20250701_1435f710l.jpeg", "SIG-20250701_1435f710l.jpeg")</f>
        <v>SIG-20250701_1435f710l.jpeg</v>
      </c>
    </row>
    <row r="622" ht="15.75" customHeight="1">
      <c r="A622" s="1" t="s">
        <v>1791</v>
      </c>
      <c r="B622" s="1" t="s">
        <v>18</v>
      </c>
      <c r="C622" s="1" t="s">
        <v>512</v>
      </c>
      <c r="D622" s="1" t="s">
        <v>1787</v>
      </c>
      <c r="E622" s="2">
        <v>45838.0</v>
      </c>
      <c r="F622" s="1" t="s">
        <v>21</v>
      </c>
      <c r="G622" s="1" t="s">
        <v>95</v>
      </c>
      <c r="H622" s="1" t="s">
        <v>697</v>
      </c>
      <c r="I622" s="1">
        <v>100.0</v>
      </c>
      <c r="J622" s="1" t="s">
        <v>24</v>
      </c>
      <c r="K622" s="1">
        <v>100.0</v>
      </c>
      <c r="L622" s="1">
        <v>78.0</v>
      </c>
      <c r="M622" s="1">
        <v>22.0</v>
      </c>
      <c r="N622" s="1">
        <v>22.0</v>
      </c>
      <c r="O622" s="1" t="s">
        <v>698</v>
      </c>
      <c r="P622" s="3" t="str">
        <f>HYPERLINK("https://icf.clappia.com/app/SOM165486/submission/NCY82453156/ICF247370-SOM165486-5a1ph07kd1cc00000000/SIG-20250701_1427egl8c.jpeg", "SIG-20250701_1427egl8c.jpeg")</f>
        <v>SIG-20250701_1427egl8c.jpeg</v>
      </c>
    </row>
    <row r="623" ht="15.75" customHeight="1">
      <c r="A623" s="1" t="s">
        <v>1792</v>
      </c>
      <c r="B623" s="1" t="s">
        <v>18</v>
      </c>
      <c r="C623" s="1" t="s">
        <v>1787</v>
      </c>
      <c r="D623" s="1" t="s">
        <v>1787</v>
      </c>
      <c r="E623" s="2">
        <v>45840.0</v>
      </c>
      <c r="F623" s="1" t="s">
        <v>68</v>
      </c>
      <c r="G623" s="1" t="s">
        <v>88</v>
      </c>
      <c r="H623" s="1" t="s">
        <v>797</v>
      </c>
      <c r="I623" s="1">
        <v>267.0</v>
      </c>
      <c r="J623" s="1" t="s">
        <v>24</v>
      </c>
      <c r="K623" s="1">
        <v>267.0</v>
      </c>
      <c r="L623" s="1">
        <v>207.0</v>
      </c>
      <c r="M623" s="1">
        <v>60.0</v>
      </c>
      <c r="N623" s="1">
        <v>60.0</v>
      </c>
      <c r="O623" s="1" t="s">
        <v>1793</v>
      </c>
      <c r="P623" s="3" t="str">
        <f>HYPERLINK("https://icf.clappia.com/app/SOM165486/submission/XVP17880748/ICF247370-SOM165486-1ef7b174f8nj60000000/SIG-20250702_122519117h.jpeg", "SIG-20250702_122519117h.jpeg")</f>
        <v>SIG-20250702_122519117h.jpeg</v>
      </c>
      <c r="Q623" s="3" t="str">
        <f>HYPERLINK("https://www.google.com/maps/place/8.887612%2C-12.0509425", "8.887612,-12.0509425")</f>
        <v>8.887612,-12.0509425</v>
      </c>
    </row>
    <row r="624" ht="15.75" customHeight="1">
      <c r="A624" s="1" t="s">
        <v>1794</v>
      </c>
      <c r="B624" s="1" t="s">
        <v>18</v>
      </c>
      <c r="C624" s="1" t="s">
        <v>1795</v>
      </c>
      <c r="D624" s="1" t="s">
        <v>1787</v>
      </c>
      <c r="E624" s="2">
        <v>45838.0</v>
      </c>
      <c r="F624" s="1" t="s">
        <v>21</v>
      </c>
      <c r="G624" s="1" t="s">
        <v>77</v>
      </c>
      <c r="H624" s="1" t="s">
        <v>697</v>
      </c>
      <c r="I624" s="1">
        <v>100.0</v>
      </c>
      <c r="J624" s="1" t="s">
        <v>24</v>
      </c>
      <c r="K624" s="1">
        <v>100.0</v>
      </c>
      <c r="L624" s="1">
        <v>78.0</v>
      </c>
      <c r="M624" s="1">
        <v>22.0</v>
      </c>
      <c r="N624" s="1">
        <v>22.0</v>
      </c>
      <c r="O624" s="1" t="s">
        <v>698</v>
      </c>
      <c r="P624" s="3" t="str">
        <f>HYPERLINK("https://icf.clappia.com/app/SOM165486/submission/RVK16843667/ICF247370-SOM165486-5k9dmd1o32a400000000/SIG-20250701_1422n55d3.jpeg", "SIG-20250701_1422n55d3.jpeg")</f>
        <v>SIG-20250701_1422n55d3.jpeg</v>
      </c>
    </row>
    <row r="625" ht="15.75" customHeight="1">
      <c r="A625" s="1" t="s">
        <v>1796</v>
      </c>
      <c r="B625" s="1" t="s">
        <v>18</v>
      </c>
      <c r="C625" s="1" t="s">
        <v>1797</v>
      </c>
      <c r="D625" s="1" t="s">
        <v>1797</v>
      </c>
      <c r="E625" s="2">
        <v>45840.0</v>
      </c>
      <c r="F625" s="1" t="s">
        <v>21</v>
      </c>
      <c r="G625" s="1" t="s">
        <v>95</v>
      </c>
      <c r="H625" s="1" t="s">
        <v>369</v>
      </c>
      <c r="I625" s="1">
        <v>85.0</v>
      </c>
      <c r="J625" s="1" t="s">
        <v>24</v>
      </c>
      <c r="K625" s="1">
        <v>85.0</v>
      </c>
      <c r="L625" s="1">
        <v>71.0</v>
      </c>
      <c r="M625" s="1">
        <v>14.0</v>
      </c>
      <c r="N625" s="1">
        <v>14.0</v>
      </c>
      <c r="O625" s="1" t="s">
        <v>370</v>
      </c>
      <c r="P625" s="3" t="str">
        <f>HYPERLINK("https://icf.clappia.com/app/SOM165486/submission/WLO90092470/ICF247370-SOM165486-4jf74c8apffk00000000/SIG-20250702_1225145app.jpeg", "SIG-20250702_1225145app.jpeg")</f>
        <v>SIG-20250702_1225145app.jpeg</v>
      </c>
      <c r="Q625" s="3" t="str">
        <f>HYPERLINK("https://www.google.com/maps/place/7.9238164%2C-11.7208856", "7.9238164,-11.7208856")</f>
        <v>7.9238164,-11.7208856</v>
      </c>
    </row>
    <row r="626" ht="15.75" customHeight="1">
      <c r="A626" s="1" t="s">
        <v>1798</v>
      </c>
      <c r="B626" s="1" t="s">
        <v>18</v>
      </c>
      <c r="C626" s="1" t="s">
        <v>1799</v>
      </c>
      <c r="D626" s="1" t="s">
        <v>1799</v>
      </c>
      <c r="E626" s="2">
        <v>45840.0</v>
      </c>
      <c r="F626" s="1" t="s">
        <v>21</v>
      </c>
      <c r="G626" s="1" t="s">
        <v>95</v>
      </c>
      <c r="H626" s="1" t="s">
        <v>697</v>
      </c>
      <c r="I626" s="1">
        <v>94.0</v>
      </c>
      <c r="J626" s="1" t="s">
        <v>24</v>
      </c>
      <c r="K626" s="1">
        <v>94.0</v>
      </c>
      <c r="L626" s="1">
        <v>81.0</v>
      </c>
      <c r="M626" s="1">
        <v>13.0</v>
      </c>
      <c r="N626" s="1">
        <v>13.0</v>
      </c>
      <c r="O626" s="1" t="s">
        <v>1800</v>
      </c>
      <c r="P626" s="3" t="str">
        <f>HYPERLINK("https://icf.clappia.com/app/SOM165486/submission/KPH85719240/ICF247370-SOM165486-11d2m9d9dc2fi0000000/SIG-20250702_1224ca8dc.jpeg", "SIG-20250702_1224ca8dc.jpeg")</f>
        <v>SIG-20250702_1224ca8dc.jpeg</v>
      </c>
      <c r="Q626" s="3" t="str">
        <f>HYPERLINK("https://www.google.com/maps/place/7.9442217%2C-11.74692", "7.9442217,-11.74692")</f>
        <v>7.9442217,-11.74692</v>
      </c>
    </row>
    <row r="627" ht="15.75" customHeight="1">
      <c r="A627" s="1" t="s">
        <v>1801</v>
      </c>
      <c r="B627" s="1" t="s">
        <v>18</v>
      </c>
      <c r="C627" s="1" t="s">
        <v>1802</v>
      </c>
      <c r="D627" s="1" t="s">
        <v>1802</v>
      </c>
      <c r="E627" s="2">
        <v>45840.0</v>
      </c>
      <c r="F627" s="1" t="s">
        <v>21</v>
      </c>
      <c r="G627" s="1" t="s">
        <v>95</v>
      </c>
      <c r="H627" s="1" t="s">
        <v>697</v>
      </c>
      <c r="I627" s="1">
        <v>84.0</v>
      </c>
      <c r="J627" s="1" t="s">
        <v>24</v>
      </c>
      <c r="K627" s="1">
        <v>84.0</v>
      </c>
      <c r="L627" s="1">
        <v>78.0</v>
      </c>
      <c r="M627" s="1">
        <v>6.0</v>
      </c>
      <c r="N627" s="1">
        <v>6.0</v>
      </c>
      <c r="O627" s="1" t="s">
        <v>1803</v>
      </c>
      <c r="P627" s="3" t="str">
        <f>HYPERLINK("https://icf.clappia.com/app/SOM165486/submission/MDQ48399271/ICF247370-SOM165486-458kf6f8h05c00000000/SIG-20250702_122341mj7.jpeg", "SIG-20250702_122341mj7.jpeg")</f>
        <v>SIG-20250702_122341mj7.jpeg</v>
      </c>
      <c r="Q627" s="3" t="str">
        <f>HYPERLINK("https://www.google.com/maps/place/7.9443762%2C-11.7504275", "7.9443762,-11.7504275")</f>
        <v>7.9443762,-11.7504275</v>
      </c>
    </row>
    <row r="628" ht="15.75" customHeight="1">
      <c r="A628" s="1" t="s">
        <v>1804</v>
      </c>
      <c r="B628" s="1" t="s">
        <v>18</v>
      </c>
      <c r="C628" s="1" t="s">
        <v>1802</v>
      </c>
      <c r="D628" s="1" t="s">
        <v>1802</v>
      </c>
      <c r="E628" s="2">
        <v>45840.0</v>
      </c>
      <c r="F628" s="1" t="s">
        <v>68</v>
      </c>
      <c r="G628" s="1" t="s">
        <v>88</v>
      </c>
      <c r="H628" s="1" t="s">
        <v>797</v>
      </c>
      <c r="I628" s="1">
        <v>783.0</v>
      </c>
      <c r="J628" s="1" t="s">
        <v>24</v>
      </c>
      <c r="K628" s="1">
        <v>783.0</v>
      </c>
      <c r="L628" s="1">
        <v>740.0</v>
      </c>
      <c r="M628" s="1">
        <v>43.0</v>
      </c>
      <c r="N628" s="1">
        <v>40.0</v>
      </c>
      <c r="O628" s="1" t="s">
        <v>1805</v>
      </c>
      <c r="P628" s="3" t="str">
        <f>HYPERLINK("https://icf.clappia.com/app/SOM165486/submission/RPL68543548/ICF247370-SOM165486-54pngekb8bhe00000000/SIG-20250702_12224a68a.jpeg", "SIG-20250702_12224a68a.jpeg")</f>
        <v>SIG-20250702_12224a68a.jpeg</v>
      </c>
      <c r="Q628" s="3" t="str">
        <f>HYPERLINK("https://www.google.com/maps/place/8.896431%2C-12.0526966", "8.896431,-12.0526966")</f>
        <v>8.896431,-12.0526966</v>
      </c>
    </row>
    <row r="629" ht="15.75" customHeight="1">
      <c r="A629" s="1" t="s">
        <v>1806</v>
      </c>
      <c r="B629" s="1" t="s">
        <v>18</v>
      </c>
      <c r="C629" s="1" t="s">
        <v>1807</v>
      </c>
      <c r="D629" s="1" t="s">
        <v>1807</v>
      </c>
      <c r="E629" s="2">
        <v>45840.0</v>
      </c>
      <c r="F629" s="1" t="s">
        <v>21</v>
      </c>
      <c r="G629" s="1" t="s">
        <v>35</v>
      </c>
      <c r="H629" s="1" t="s">
        <v>51</v>
      </c>
      <c r="I629" s="1">
        <v>154.0</v>
      </c>
      <c r="J629" s="1" t="s">
        <v>24</v>
      </c>
      <c r="K629" s="1">
        <v>154.0</v>
      </c>
      <c r="L629" s="1">
        <v>144.0</v>
      </c>
      <c r="M629" s="1">
        <v>10.0</v>
      </c>
      <c r="N629" s="1">
        <v>10.0</v>
      </c>
      <c r="O629" s="1" t="s">
        <v>1557</v>
      </c>
      <c r="P629" s="3" t="str">
        <f>HYPERLINK("https://icf.clappia.com/app/SOM165486/submission/WWM78368529/ICF247370-SOM165486-4m1on683d42400000000/SIG-20250702_122010229h.jpeg", "SIG-20250702_122010229h.jpeg")</f>
        <v>SIG-20250702_122010229h.jpeg</v>
      </c>
      <c r="Q629" s="3" t="str">
        <f>HYPERLINK("https://www.google.com/maps/place/8.266935%2C-11.7112533", "8.266935,-11.7112533")</f>
        <v>8.266935,-11.7112533</v>
      </c>
    </row>
    <row r="630" ht="15.75" customHeight="1">
      <c r="A630" s="1" t="s">
        <v>1808</v>
      </c>
      <c r="B630" s="1" t="s">
        <v>18</v>
      </c>
      <c r="C630" s="1" t="s">
        <v>1807</v>
      </c>
      <c r="D630" s="1" t="s">
        <v>1807</v>
      </c>
      <c r="E630" s="2">
        <v>45840.0</v>
      </c>
      <c r="F630" s="1" t="s">
        <v>68</v>
      </c>
      <c r="G630" s="1" t="s">
        <v>597</v>
      </c>
      <c r="H630" s="1" t="s">
        <v>598</v>
      </c>
      <c r="I630" s="1">
        <v>50.0</v>
      </c>
      <c r="J630" s="1" t="s">
        <v>24</v>
      </c>
      <c r="K630" s="1">
        <v>50.0</v>
      </c>
      <c r="L630" s="1">
        <v>22.0</v>
      </c>
      <c r="M630" s="1">
        <v>28.0</v>
      </c>
      <c r="N630" s="1">
        <v>28.0</v>
      </c>
      <c r="O630" s="1" t="s">
        <v>599</v>
      </c>
      <c r="P630" s="3" t="str">
        <f>HYPERLINK("https://icf.clappia.com/app/SOM165486/submission/FEQ49622986/ICF247370-SOM165486-25b2p7m61d9g40000000/SIG-20250702_1216aknfn.jpeg", "SIG-20250702_1216aknfn.jpeg")</f>
        <v>SIG-20250702_1216aknfn.jpeg</v>
      </c>
      <c r="Q630" s="3" t="str">
        <f>HYPERLINK("https://www.google.com/maps/place/8.6621967%2C-12.2456183", "8.6621967,-12.2456183")</f>
        <v>8.6621967,-12.2456183</v>
      </c>
    </row>
    <row r="631" ht="15.75" customHeight="1">
      <c r="A631" s="1" t="s">
        <v>1809</v>
      </c>
      <c r="B631" s="1" t="s">
        <v>18</v>
      </c>
      <c r="C631" s="1" t="s">
        <v>1810</v>
      </c>
      <c r="D631" s="1" t="s">
        <v>1811</v>
      </c>
      <c r="E631" s="2">
        <v>45839.0</v>
      </c>
      <c r="F631" s="1" t="s">
        <v>21</v>
      </c>
      <c r="G631" s="1" t="s">
        <v>1331</v>
      </c>
      <c r="H631" s="1" t="s">
        <v>1812</v>
      </c>
      <c r="I631" s="1">
        <v>150.0</v>
      </c>
      <c r="J631" s="1" t="s">
        <v>24</v>
      </c>
      <c r="K631" s="1">
        <v>150.0</v>
      </c>
      <c r="L631" s="1">
        <v>135.0</v>
      </c>
      <c r="M631" s="1">
        <v>15.0</v>
      </c>
      <c r="N631" s="1">
        <v>15.0</v>
      </c>
      <c r="O631" s="1" t="s">
        <v>1813</v>
      </c>
      <c r="P631" s="3" t="str">
        <f>HYPERLINK("https://icf.clappia.com/app/SOM165486/submission/SRH03483039/ICF247370-SOM165486-17ebl1a6ki3fe000000/SIG-20250701_1221lh0hc.jpeg", "SIG-20250701_1221lh0hc.jpeg")</f>
        <v>SIG-20250701_1221lh0hc.jpeg</v>
      </c>
    </row>
    <row r="632" ht="15.75" customHeight="1">
      <c r="A632" s="1" t="s">
        <v>1814</v>
      </c>
      <c r="B632" s="1" t="s">
        <v>18</v>
      </c>
      <c r="C632" s="1" t="s">
        <v>1815</v>
      </c>
      <c r="D632" s="1" t="s">
        <v>1815</v>
      </c>
      <c r="E632" s="2">
        <v>45840.0</v>
      </c>
      <c r="F632" s="1" t="s">
        <v>68</v>
      </c>
      <c r="G632" s="1" t="s">
        <v>88</v>
      </c>
      <c r="H632" s="1" t="s">
        <v>797</v>
      </c>
      <c r="I632" s="1">
        <v>783.0</v>
      </c>
      <c r="J632" s="1" t="s">
        <v>24</v>
      </c>
      <c r="K632" s="1">
        <v>783.0</v>
      </c>
      <c r="L632" s="1">
        <v>740.0</v>
      </c>
      <c r="M632" s="1">
        <v>43.0</v>
      </c>
      <c r="N632" s="1">
        <v>43.0</v>
      </c>
      <c r="O632" s="1" t="s">
        <v>1816</v>
      </c>
      <c r="P632" s="3" t="str">
        <f>HYPERLINK("https://icf.clappia.com/app/SOM165486/submission/YYR30267501/ICF247370-SOM165486-5hfjcp708cbi00000000/SIG-20250702_1215cjfn2.jpeg", "SIG-20250702_1215cjfn2.jpeg")</f>
        <v>SIG-20250702_1215cjfn2.jpeg</v>
      </c>
      <c r="Q632" s="3" t="str">
        <f>HYPERLINK("https://www.google.com/maps/place/8.8963179%2C-12.0537984", "8.8963179,-12.0537984")</f>
        <v>8.8963179,-12.0537984</v>
      </c>
    </row>
    <row r="633" ht="15.75" customHeight="1">
      <c r="A633" s="1" t="s">
        <v>1817</v>
      </c>
      <c r="B633" s="1" t="s">
        <v>18</v>
      </c>
      <c r="C633" s="1" t="s">
        <v>1818</v>
      </c>
      <c r="D633" s="1" t="s">
        <v>1818</v>
      </c>
      <c r="E633" s="2">
        <v>45840.0</v>
      </c>
      <c r="F633" s="1" t="s">
        <v>68</v>
      </c>
      <c r="G633" s="1" t="s">
        <v>597</v>
      </c>
      <c r="H633" s="1" t="s">
        <v>598</v>
      </c>
      <c r="I633" s="1">
        <v>75.0</v>
      </c>
      <c r="J633" s="1" t="s">
        <v>24</v>
      </c>
      <c r="K633" s="1">
        <v>75.0</v>
      </c>
      <c r="L633" s="1">
        <v>61.0</v>
      </c>
      <c r="M633" s="1">
        <v>14.0</v>
      </c>
      <c r="N633" s="1" t="s">
        <v>24</v>
      </c>
      <c r="O633" s="1" t="s">
        <v>1819</v>
      </c>
      <c r="P633" s="3" t="str">
        <f>HYPERLINK("https://icf.clappia.com/app/SOM165486/submission/AGX06721466/ICF247370-SOM165486-265g3hgme34ak0000000/SIG-20250702_1213nbaog.jpeg", "SIG-20250702_1213nbaog.jpeg")</f>
        <v>SIG-20250702_1213nbaog.jpeg</v>
      </c>
      <c r="Q633" s="3" t="str">
        <f>HYPERLINK("https://www.google.com/maps/place/8.6628819%2C-12.2456271", "8.6628819,-12.2456271")</f>
        <v>8.6628819,-12.2456271</v>
      </c>
    </row>
    <row r="634" ht="15.75" customHeight="1">
      <c r="A634" s="1" t="s">
        <v>1820</v>
      </c>
      <c r="B634" s="1" t="s">
        <v>18</v>
      </c>
      <c r="C634" s="1" t="s">
        <v>133</v>
      </c>
      <c r="D634" s="1" t="s">
        <v>133</v>
      </c>
      <c r="E634" s="2">
        <v>45840.0</v>
      </c>
      <c r="F634" s="1" t="s">
        <v>21</v>
      </c>
      <c r="G634" s="1" t="s">
        <v>269</v>
      </c>
      <c r="H634" s="1" t="s">
        <v>1298</v>
      </c>
      <c r="I634" s="1">
        <v>209.0</v>
      </c>
      <c r="J634" s="1" t="s">
        <v>24</v>
      </c>
      <c r="K634" s="1">
        <v>209.0</v>
      </c>
      <c r="L634" s="1">
        <v>209.0</v>
      </c>
      <c r="M634" s="1" t="s">
        <v>24</v>
      </c>
      <c r="N634" s="1" t="s">
        <v>24</v>
      </c>
      <c r="O634" s="1" t="s">
        <v>1299</v>
      </c>
      <c r="P634" s="3" t="str">
        <f>HYPERLINK("https://icf.clappia.com/app/SOM165486/submission/YHP44147664/ICF247370-SOM165486-p3a33i4c8dkk0000000/SIG-20250702_12125jo5k.jpeg", "SIG-20250702_12125jo5k.jpeg")</f>
        <v>SIG-20250702_12125jo5k.jpeg</v>
      </c>
      <c r="Q634" s="3" t="str">
        <f>HYPERLINK("https://www.google.com/maps/place/7.7183483%2C-11.7081467", "7.7183483,-11.7081467")</f>
        <v>7.7183483,-11.7081467</v>
      </c>
    </row>
    <row r="635" ht="15.75" customHeight="1">
      <c r="A635" s="1" t="s">
        <v>1821</v>
      </c>
      <c r="B635" s="1" t="s">
        <v>18</v>
      </c>
      <c r="C635" s="1" t="s">
        <v>133</v>
      </c>
      <c r="D635" s="1" t="s">
        <v>133</v>
      </c>
      <c r="E635" s="2">
        <v>45840.0</v>
      </c>
      <c r="F635" s="1" t="s">
        <v>21</v>
      </c>
      <c r="G635" s="1" t="s">
        <v>58</v>
      </c>
      <c r="H635" s="1" t="s">
        <v>147</v>
      </c>
      <c r="I635" s="1">
        <v>250.0</v>
      </c>
      <c r="J635" s="1" t="s">
        <v>24</v>
      </c>
      <c r="K635" s="1">
        <v>250.0</v>
      </c>
      <c r="L635" s="1">
        <v>111.0</v>
      </c>
      <c r="M635" s="1">
        <v>139.0</v>
      </c>
      <c r="N635" s="1">
        <v>139.0</v>
      </c>
      <c r="O635" s="1" t="s">
        <v>1822</v>
      </c>
      <c r="P635" s="3" t="str">
        <f>HYPERLINK("https://icf.clappia.com/app/SOM165486/submission/GPW47529409/ICF247370-SOM165486-651lcji26hko00000000/SIG-20250702_1211ji9a9.jpeg", "SIG-20250702_1211ji9a9.jpeg")</f>
        <v>SIG-20250702_1211ji9a9.jpeg</v>
      </c>
      <c r="Q635" s="3" t="str">
        <f>HYPERLINK("https://www.google.com/maps/place/7.9480827%2C-11.7846069", "7.9480827,-11.7846069")</f>
        <v>7.9480827,-11.7846069</v>
      </c>
    </row>
    <row r="636" ht="15.75" customHeight="1">
      <c r="A636" s="1" t="s">
        <v>1823</v>
      </c>
      <c r="B636" s="1" t="s">
        <v>18</v>
      </c>
      <c r="C636" s="1" t="s">
        <v>1824</v>
      </c>
      <c r="D636" s="1" t="s">
        <v>1824</v>
      </c>
      <c r="E636" s="2">
        <v>45840.0</v>
      </c>
      <c r="F636" s="1" t="s">
        <v>68</v>
      </c>
      <c r="G636" s="1" t="s">
        <v>88</v>
      </c>
      <c r="H636" s="1" t="s">
        <v>634</v>
      </c>
      <c r="I636" s="1">
        <v>300.0</v>
      </c>
      <c r="J636" s="1" t="s">
        <v>24</v>
      </c>
      <c r="K636" s="1">
        <v>300.0</v>
      </c>
      <c r="L636" s="1">
        <v>300.0</v>
      </c>
      <c r="M636" s="1" t="s">
        <v>24</v>
      </c>
      <c r="N636" s="1" t="s">
        <v>24</v>
      </c>
      <c r="O636" s="1" t="s">
        <v>818</v>
      </c>
      <c r="P636" s="3" t="str">
        <f>HYPERLINK("https://icf.clappia.com/app/SOM165486/submission/ERK65787487/ICF247370-SOM165486-5p1e12j9824a00000000/SIG-20250702_12093m5ao.jpeg", "SIG-20250702_12093m5ao.jpeg")</f>
        <v>SIG-20250702_12093m5ao.jpeg</v>
      </c>
      <c r="Q636" s="3" t="str">
        <f>HYPERLINK("https://www.google.com/maps/place/8.8952307%2C-12.0352363", "8.8952307,-12.0352363")</f>
        <v>8.8952307,-12.0352363</v>
      </c>
    </row>
    <row r="637" ht="15.75" customHeight="1">
      <c r="A637" s="1" t="s">
        <v>1825</v>
      </c>
      <c r="B637" s="1" t="s">
        <v>283</v>
      </c>
      <c r="C637" s="1" t="s">
        <v>1826</v>
      </c>
      <c r="D637" s="1" t="s">
        <v>1826</v>
      </c>
      <c r="E637" s="2">
        <v>45840.0</v>
      </c>
      <c r="F637" s="1" t="s">
        <v>21</v>
      </c>
      <c r="G637" s="1" t="s">
        <v>95</v>
      </c>
      <c r="H637" s="1" t="s">
        <v>216</v>
      </c>
      <c r="I637" s="1">
        <v>40.0</v>
      </c>
      <c r="J637" s="1" t="s">
        <v>24</v>
      </c>
      <c r="K637" s="1">
        <v>40.0</v>
      </c>
      <c r="L637" s="1">
        <v>40.0</v>
      </c>
      <c r="M637" s="1" t="s">
        <v>24</v>
      </c>
      <c r="N637" s="1" t="s">
        <v>24</v>
      </c>
      <c r="O637" s="1" t="s">
        <v>226</v>
      </c>
      <c r="P637" s="3" t="str">
        <f>HYPERLINK("https://icf.clappia.com/app/SOM165486/submission/FVA97433475/ICF247370-SOM165486-4glfjd43647m00000000/SIG-20250702_12079jmn7.jpeg", "SIG-20250702_12079jmn7.jpeg")</f>
        <v>SIG-20250702_12079jmn7.jpeg</v>
      </c>
      <c r="Q637" s="3" t="str">
        <f>HYPERLINK("https://www.google.com/maps/place/7.956275%2C-11.7607833", "7.956275,-11.7607833")</f>
        <v>7.956275,-11.7607833</v>
      </c>
    </row>
    <row r="638" ht="15.75" customHeight="1">
      <c r="A638" s="1" t="s">
        <v>1827</v>
      </c>
      <c r="B638" s="1" t="s">
        <v>18</v>
      </c>
      <c r="C638" s="1" t="s">
        <v>1826</v>
      </c>
      <c r="D638" s="1" t="s">
        <v>1826</v>
      </c>
      <c r="E638" s="2">
        <v>45840.0</v>
      </c>
      <c r="F638" s="1" t="s">
        <v>21</v>
      </c>
      <c r="G638" s="1" t="s">
        <v>269</v>
      </c>
      <c r="H638" s="1" t="s">
        <v>1298</v>
      </c>
      <c r="I638" s="1">
        <v>248.0</v>
      </c>
      <c r="J638" s="1" t="s">
        <v>24</v>
      </c>
      <c r="K638" s="1">
        <v>248.0</v>
      </c>
      <c r="L638" s="1">
        <v>241.0</v>
      </c>
      <c r="M638" s="1">
        <v>7.0</v>
      </c>
      <c r="N638" s="1">
        <v>7.0</v>
      </c>
      <c r="O638" s="1" t="s">
        <v>1828</v>
      </c>
      <c r="P638" s="3" t="str">
        <f>HYPERLINK("https://icf.clappia.com/app/SOM165486/submission/JET46797886/ICF247370-SOM165486-2fnkf1oikf3000000000/SIG-20250702_12065fc0m.jpeg", "SIG-20250702_12065fc0m.jpeg")</f>
        <v>SIG-20250702_12065fc0m.jpeg</v>
      </c>
      <c r="Q638" s="3" t="str">
        <f>HYPERLINK("https://www.google.com/maps/place/7.7113689%2C-11.6942457", "7.7113689,-11.6942457")</f>
        <v>7.7113689,-11.6942457</v>
      </c>
    </row>
    <row r="639" ht="15.75" customHeight="1">
      <c r="A639" s="1" t="s">
        <v>1829</v>
      </c>
      <c r="B639" s="1" t="s">
        <v>18</v>
      </c>
      <c r="C639" s="1" t="s">
        <v>1830</v>
      </c>
      <c r="D639" s="1" t="s">
        <v>137</v>
      </c>
      <c r="E639" s="2">
        <v>45840.0</v>
      </c>
      <c r="F639" s="1" t="s">
        <v>21</v>
      </c>
      <c r="G639" s="1" t="s">
        <v>29</v>
      </c>
      <c r="H639" s="1" t="s">
        <v>1831</v>
      </c>
      <c r="I639" s="1">
        <v>40.0</v>
      </c>
      <c r="J639" s="1" t="s">
        <v>24</v>
      </c>
      <c r="K639" s="1">
        <v>40.0</v>
      </c>
      <c r="L639" s="1">
        <v>40.0</v>
      </c>
      <c r="M639" s="1" t="s">
        <v>24</v>
      </c>
      <c r="N639" s="1" t="s">
        <v>24</v>
      </c>
      <c r="O639" s="1" t="s">
        <v>1832</v>
      </c>
      <c r="P639" s="3" t="str">
        <f>HYPERLINK("https://icf.clappia.com/app/SOM165486/submission/ZIF57307906/ICF247370-SOM165486-4gb7c2ih540e00000000/SIG-20250702_12049ge1c.jpeg", "SIG-20250702_12049ge1c.jpeg")</f>
        <v>SIG-20250702_12049ge1c.jpeg</v>
      </c>
      <c r="Q639" s="3" t="str">
        <f>HYPERLINK("https://www.google.com/maps/place/8.2181166%2C-11.5138801", "8.2181166,-11.5138801")</f>
        <v>8.2181166,-11.5138801</v>
      </c>
    </row>
    <row r="640" ht="15.75" customHeight="1">
      <c r="A640" s="1" t="s">
        <v>1833</v>
      </c>
      <c r="B640" s="1" t="s">
        <v>283</v>
      </c>
      <c r="C640" s="1" t="s">
        <v>1834</v>
      </c>
      <c r="D640" s="1" t="s">
        <v>1835</v>
      </c>
      <c r="E640" s="2">
        <v>45840.0</v>
      </c>
      <c r="F640" s="1" t="s">
        <v>68</v>
      </c>
      <c r="G640" s="1" t="s">
        <v>385</v>
      </c>
      <c r="H640" s="1" t="s">
        <v>828</v>
      </c>
      <c r="I640" s="1">
        <v>150.0</v>
      </c>
      <c r="J640" s="1" t="s">
        <v>24</v>
      </c>
      <c r="K640" s="1">
        <v>150.0</v>
      </c>
      <c r="L640" s="1">
        <v>150.0</v>
      </c>
      <c r="M640" s="1" t="s">
        <v>24</v>
      </c>
      <c r="N640" s="1" t="s">
        <v>24</v>
      </c>
      <c r="O640" s="1" t="s">
        <v>1836</v>
      </c>
      <c r="P640" s="3" t="str">
        <f>HYPERLINK("https://icf.clappia.com/app/SOM165486/submission/BNT77270600/ICF247370-SOM165486-4l5ccgmj1n1400000000/SIG-20250702_12028plkd.jpeg", "SIG-20250702_12028plkd.jpeg")</f>
        <v>SIG-20250702_12028plkd.jpeg</v>
      </c>
      <c r="Q640" s="3" t="str">
        <f>HYPERLINK("https://www.google.com/maps/place/9.1610222%2C-12.0559403", "9.1610222,-12.0559403")</f>
        <v>9.1610222,-12.0559403</v>
      </c>
    </row>
    <row r="641" ht="15.75" customHeight="1">
      <c r="A641" s="1" t="s">
        <v>1837</v>
      </c>
      <c r="B641" s="1" t="s">
        <v>18</v>
      </c>
      <c r="C641" s="1" t="s">
        <v>1835</v>
      </c>
      <c r="D641" s="1" t="s">
        <v>1835</v>
      </c>
      <c r="E641" s="2">
        <v>45807.0</v>
      </c>
      <c r="F641" s="1" t="s">
        <v>68</v>
      </c>
      <c r="G641" s="1" t="s">
        <v>286</v>
      </c>
      <c r="H641" s="1" t="s">
        <v>1656</v>
      </c>
      <c r="I641" s="1">
        <v>893.0</v>
      </c>
      <c r="J641" s="1" t="s">
        <v>24</v>
      </c>
      <c r="K641" s="1">
        <v>893.0</v>
      </c>
      <c r="L641" s="1">
        <v>450.0</v>
      </c>
      <c r="M641" s="1">
        <v>443.0</v>
      </c>
      <c r="N641" s="1">
        <v>223.0</v>
      </c>
      <c r="O641" s="1" t="s">
        <v>1657</v>
      </c>
      <c r="P641" s="3" t="str">
        <f>HYPERLINK("https://icf.clappia.com/app/SOM165486/submission/DHK20451412/ICF247370-SOM165486-625m4147ggmk00000000/SIG-20250702_1202pg9jc.jpeg", "SIG-20250702_1202pg9jc.jpeg")</f>
        <v>SIG-20250702_1202pg9jc.jpeg</v>
      </c>
      <c r="Q641" s="3" t="str">
        <f>HYPERLINK("https://www.google.com/maps/place/8.9707983%2C-12.1595517", "8.9707983,-12.1595517")</f>
        <v>8.9707983,-12.1595517</v>
      </c>
    </row>
    <row r="642" ht="15.75" customHeight="1">
      <c r="A642" s="1" t="s">
        <v>1838</v>
      </c>
      <c r="B642" s="1" t="s">
        <v>18</v>
      </c>
      <c r="C642" s="1" t="s">
        <v>1839</v>
      </c>
      <c r="D642" s="1" t="s">
        <v>1839</v>
      </c>
      <c r="E642" s="2">
        <v>45840.0</v>
      </c>
      <c r="F642" s="1" t="s">
        <v>68</v>
      </c>
      <c r="G642" s="1" t="s">
        <v>88</v>
      </c>
      <c r="H642" s="1" t="s">
        <v>634</v>
      </c>
      <c r="I642" s="1">
        <v>200.0</v>
      </c>
      <c r="J642" s="1" t="s">
        <v>24</v>
      </c>
      <c r="K642" s="1">
        <v>200.0</v>
      </c>
      <c r="L642" s="1">
        <v>137.0</v>
      </c>
      <c r="M642" s="1">
        <v>63.0</v>
      </c>
      <c r="N642" s="1">
        <v>63.0</v>
      </c>
      <c r="O642" s="1" t="s">
        <v>1840</v>
      </c>
      <c r="P642" s="3" t="str">
        <f>HYPERLINK("https://icf.clappia.com/app/SOM165486/submission/ROS48158448/ICF247370-SOM165486-cag8d9496aac0000000/SIG-20250702_12007na97.jpeg", "SIG-20250702_12007na97.jpeg")</f>
        <v>SIG-20250702_12007na97.jpeg</v>
      </c>
      <c r="Q642" s="3" t="str">
        <f>HYPERLINK("https://www.google.com/maps/place/8.8953938%2C-12.0405", "8.8953938,-12.0405")</f>
        <v>8.8953938,-12.0405</v>
      </c>
    </row>
    <row r="643" ht="15.75" customHeight="1">
      <c r="A643" s="1" t="s">
        <v>1841</v>
      </c>
      <c r="B643" s="1" t="s">
        <v>283</v>
      </c>
      <c r="C643" s="1" t="s">
        <v>1842</v>
      </c>
      <c r="D643" s="1" t="s">
        <v>1842</v>
      </c>
      <c r="E643" s="2">
        <v>45840.0</v>
      </c>
      <c r="F643" s="1" t="s">
        <v>68</v>
      </c>
      <c r="G643" s="1" t="s">
        <v>592</v>
      </c>
      <c r="H643" s="1" t="s">
        <v>665</v>
      </c>
      <c r="I643" s="1">
        <v>100.0</v>
      </c>
      <c r="J643" s="1" t="s">
        <v>24</v>
      </c>
      <c r="K643" s="1">
        <v>100.0</v>
      </c>
      <c r="L643" s="1">
        <v>34.0</v>
      </c>
      <c r="M643" s="1">
        <v>66.0</v>
      </c>
      <c r="N643" s="1">
        <v>66.0</v>
      </c>
      <c r="O643" s="1" t="s">
        <v>1843</v>
      </c>
      <c r="P643" s="3" t="str">
        <f>HYPERLINK("https://icf.clappia.com/app/SOM165486/submission/HUQ44120709/ICF247370-SOM165486-5lcpfa95od2a00000000/SIG-20250702_115811ahlp.jpeg", "SIG-20250702_115811ahlp.jpeg")</f>
        <v>SIG-20250702_115811ahlp.jpeg</v>
      </c>
      <c r="Q643" s="3" t="str">
        <f>HYPERLINK("https://www.google.com/maps/place/8.8870998%2C-12.0666509", "8.8870998,-12.0666509")</f>
        <v>8.8870998,-12.0666509</v>
      </c>
    </row>
    <row r="644" ht="15.75" customHeight="1">
      <c r="A644" s="1" t="s">
        <v>1844</v>
      </c>
      <c r="B644" s="1" t="s">
        <v>18</v>
      </c>
      <c r="C644" s="1" t="s">
        <v>1845</v>
      </c>
      <c r="D644" s="1" t="s">
        <v>1845</v>
      </c>
      <c r="E644" s="2">
        <v>45840.0</v>
      </c>
      <c r="F644" s="1" t="s">
        <v>21</v>
      </c>
      <c r="G644" s="1" t="s">
        <v>77</v>
      </c>
      <c r="H644" s="1" t="s">
        <v>568</v>
      </c>
      <c r="I644" s="1">
        <v>150.0</v>
      </c>
      <c r="J644" s="1" t="s">
        <v>24</v>
      </c>
      <c r="K644" s="1">
        <v>150.0</v>
      </c>
      <c r="L644" s="1">
        <v>150.0</v>
      </c>
      <c r="M644" s="1" t="s">
        <v>24</v>
      </c>
      <c r="N644" s="1" t="s">
        <v>24</v>
      </c>
      <c r="O644" s="1" t="s">
        <v>690</v>
      </c>
      <c r="P644" s="3" t="str">
        <f>HYPERLINK("https://icf.clappia.com/app/SOM165486/submission/QAX38745360/ICF247370-SOM165486-31dcof195b4000000000/SIG-20250702_115616onl4.jpeg", "SIG-20250702_115616onl4.jpeg")</f>
        <v>SIG-20250702_115616onl4.jpeg</v>
      </c>
      <c r="Q644" s="3" t="str">
        <f>HYPERLINK("https://www.google.com/maps/place/7.9719583%2C-11.7211667", "7.9719583,-11.7211667")</f>
        <v>7.9719583,-11.7211667</v>
      </c>
    </row>
    <row r="645" ht="15.75" customHeight="1">
      <c r="A645" s="1" t="s">
        <v>1846</v>
      </c>
      <c r="B645" s="1" t="s">
        <v>283</v>
      </c>
      <c r="C645" s="1" t="s">
        <v>1847</v>
      </c>
      <c r="D645" s="1" t="s">
        <v>1847</v>
      </c>
      <c r="E645" s="2">
        <v>45840.0</v>
      </c>
      <c r="F645" s="1" t="s">
        <v>68</v>
      </c>
      <c r="G645" s="1" t="s">
        <v>69</v>
      </c>
      <c r="H645" s="1" t="s">
        <v>584</v>
      </c>
      <c r="I645" s="1">
        <v>50.0</v>
      </c>
      <c r="J645" s="1" t="s">
        <v>24</v>
      </c>
      <c r="K645" s="1">
        <v>50.0</v>
      </c>
      <c r="L645" s="1">
        <v>50.0</v>
      </c>
      <c r="M645" s="1" t="s">
        <v>24</v>
      </c>
      <c r="N645" s="1" t="s">
        <v>24</v>
      </c>
      <c r="O645" s="1" t="s">
        <v>585</v>
      </c>
      <c r="P645" s="3" t="str">
        <f>HYPERLINK("https://icf.clappia.com/app/SOM165486/submission/BBZ65981235/ICF247370-SOM165486-kcbm48la31840000000/SIG-20250702_115460pp2.jpeg", "SIG-20250702_115460pp2.jpeg")</f>
        <v>SIG-20250702_115460pp2.jpeg</v>
      </c>
      <c r="Q645" s="3" t="str">
        <f>HYPERLINK("https://www.google.com/maps/place/8.7650567%2C-12.19627", "8.7650567,-12.19627")</f>
        <v>8.7650567,-12.19627</v>
      </c>
    </row>
    <row r="646" ht="15.75" customHeight="1">
      <c r="A646" s="1" t="s">
        <v>1848</v>
      </c>
      <c r="B646" s="1" t="s">
        <v>18</v>
      </c>
      <c r="C646" s="1" t="s">
        <v>1849</v>
      </c>
      <c r="D646" s="1" t="s">
        <v>1849</v>
      </c>
      <c r="E646" s="2">
        <v>45840.0</v>
      </c>
      <c r="F646" s="1" t="s">
        <v>21</v>
      </c>
      <c r="G646" s="1" t="s">
        <v>275</v>
      </c>
      <c r="H646" s="1" t="s">
        <v>1850</v>
      </c>
      <c r="I646" s="1">
        <v>208.0</v>
      </c>
      <c r="J646" s="1" t="s">
        <v>24</v>
      </c>
      <c r="K646" s="1">
        <v>208.0</v>
      </c>
      <c r="L646" s="1">
        <v>208.0</v>
      </c>
      <c r="M646" s="1" t="s">
        <v>24</v>
      </c>
      <c r="N646" s="1" t="s">
        <v>24</v>
      </c>
      <c r="O646" s="1" t="s">
        <v>1851</v>
      </c>
      <c r="P646" s="3" t="str">
        <f>HYPERLINK("https://icf.clappia.com/app/SOM165486/submission/SDN28159379/ICF247370-SOM165486-1lgg40ag275gk0000000/SIG-20250702_114913h6de.jpeg", "SIG-20250702_114913h6de.jpeg")</f>
        <v>SIG-20250702_114913h6de.jpeg</v>
      </c>
      <c r="Q646" s="3" t="str">
        <f>HYPERLINK("https://www.google.com/maps/place/7.6917767%2C-11.8289733", "7.6917767,-11.8289733")</f>
        <v>7.6917767,-11.8289733</v>
      </c>
    </row>
    <row r="647" ht="15.75" customHeight="1">
      <c r="A647" s="1" t="s">
        <v>1852</v>
      </c>
      <c r="B647" s="1" t="s">
        <v>18</v>
      </c>
      <c r="C647" s="1" t="s">
        <v>1853</v>
      </c>
      <c r="D647" s="1" t="s">
        <v>1853</v>
      </c>
      <c r="E647" s="2">
        <v>45840.0</v>
      </c>
      <c r="F647" s="1" t="s">
        <v>68</v>
      </c>
      <c r="G647" s="1" t="s">
        <v>672</v>
      </c>
      <c r="H647" s="1" t="s">
        <v>1854</v>
      </c>
      <c r="I647" s="1">
        <v>240.0</v>
      </c>
      <c r="J647" s="1" t="s">
        <v>24</v>
      </c>
      <c r="K647" s="1">
        <v>240.0</v>
      </c>
      <c r="L647" s="1">
        <v>171.0</v>
      </c>
      <c r="M647" s="1">
        <v>69.0</v>
      </c>
      <c r="N647" s="1">
        <v>69.0</v>
      </c>
      <c r="O647" s="1" t="s">
        <v>1855</v>
      </c>
      <c r="P647" s="3" t="str">
        <f>HYPERLINK("https://icf.clappia.com/app/SOM165486/submission/NDH68232935/ICF247370-SOM165486-5e4433l32p4o00000000/SIG-20250702_114217443e.jpeg", "SIG-20250702_114217443e.jpeg")</f>
        <v>SIG-20250702_114217443e.jpeg</v>
      </c>
      <c r="Q647" s="3" t="str">
        <f>HYPERLINK("https://www.google.com/maps/place/8.9473333%2C-11.9845639", "8.9473333,-11.9845639")</f>
        <v>8.9473333,-11.9845639</v>
      </c>
    </row>
    <row r="648" ht="15.75" customHeight="1">
      <c r="A648" s="1" t="s">
        <v>1856</v>
      </c>
      <c r="B648" s="1" t="s">
        <v>18</v>
      </c>
      <c r="C648" s="1" t="s">
        <v>1857</v>
      </c>
      <c r="D648" s="1" t="s">
        <v>1857</v>
      </c>
      <c r="E648" s="2">
        <v>45840.0</v>
      </c>
      <c r="F648" s="1" t="s">
        <v>21</v>
      </c>
      <c r="G648" s="1" t="s">
        <v>781</v>
      </c>
      <c r="H648" s="1" t="s">
        <v>1031</v>
      </c>
      <c r="I648" s="1">
        <v>319.0</v>
      </c>
      <c r="J648" s="1" t="s">
        <v>24</v>
      </c>
      <c r="K648" s="1">
        <v>319.0</v>
      </c>
      <c r="L648" s="1">
        <v>261.0</v>
      </c>
      <c r="M648" s="1">
        <v>58.0</v>
      </c>
      <c r="N648" s="1">
        <v>58.0</v>
      </c>
      <c r="O648" s="1" t="s">
        <v>1032</v>
      </c>
      <c r="P648" s="3" t="str">
        <f>HYPERLINK("https://icf.clappia.com/app/SOM165486/submission/YJO64962904/ICF247370-SOM165486-96hla2okepik0000000/SIG-20250702_11397laf6.jpeg", "SIG-20250702_11397laf6.jpeg")</f>
        <v>SIG-20250702_11397laf6.jpeg</v>
      </c>
      <c r="Q648" s="3" t="str">
        <f>HYPERLINK("https://www.google.com/maps/place/7.9401933%2C-11.495355", "7.9401933,-11.495355")</f>
        <v>7.9401933,-11.495355</v>
      </c>
    </row>
    <row r="649" ht="15.75" customHeight="1">
      <c r="A649" s="1" t="s">
        <v>1858</v>
      </c>
      <c r="B649" s="1" t="s">
        <v>18</v>
      </c>
      <c r="C649" s="1" t="s">
        <v>1859</v>
      </c>
      <c r="D649" s="1" t="s">
        <v>1859</v>
      </c>
      <c r="E649" s="2">
        <v>45840.0</v>
      </c>
      <c r="F649" s="1" t="s">
        <v>68</v>
      </c>
      <c r="G649" s="1" t="s">
        <v>83</v>
      </c>
      <c r="H649" s="1" t="s">
        <v>653</v>
      </c>
      <c r="I649" s="1">
        <v>220.0</v>
      </c>
      <c r="J649" s="1">
        <v>150.0</v>
      </c>
      <c r="K649" s="1">
        <v>370.0</v>
      </c>
      <c r="L649" s="1">
        <v>370.0</v>
      </c>
      <c r="M649" s="1" t="s">
        <v>24</v>
      </c>
      <c r="N649" s="1" t="s">
        <v>24</v>
      </c>
      <c r="O649" s="1" t="s">
        <v>1860</v>
      </c>
      <c r="P649" s="3" t="str">
        <f>HYPERLINK("https://icf.clappia.com/app/SOM165486/submission/IST91274041/ICF247370-SOM165486-3p6og71cl4j600000000/SIG-20250702_1118h10oa.jpeg", "SIG-20250702_1118h10oa.jpeg")</f>
        <v>SIG-20250702_1118h10oa.jpeg</v>
      </c>
      <c r="Q649" s="3" t="str">
        <f>HYPERLINK("https://www.google.com/maps/place/8.86288%2C-12.05298", "8.86288,-12.05298")</f>
        <v>8.86288,-12.05298</v>
      </c>
    </row>
    <row r="650" ht="15.75" customHeight="1">
      <c r="A650" s="1" t="s">
        <v>1861</v>
      </c>
      <c r="B650" s="1" t="s">
        <v>18</v>
      </c>
      <c r="C650" s="1" t="s">
        <v>1859</v>
      </c>
      <c r="D650" s="1" t="s">
        <v>1859</v>
      </c>
      <c r="E650" s="2">
        <v>45840.0</v>
      </c>
      <c r="F650" s="1" t="s">
        <v>68</v>
      </c>
      <c r="G650" s="1" t="s">
        <v>672</v>
      </c>
      <c r="H650" s="1" t="s">
        <v>1862</v>
      </c>
      <c r="I650" s="1">
        <v>179.0</v>
      </c>
      <c r="J650" s="1" t="s">
        <v>24</v>
      </c>
      <c r="K650" s="1">
        <v>179.0</v>
      </c>
      <c r="L650" s="1">
        <v>179.0</v>
      </c>
      <c r="M650" s="1" t="s">
        <v>24</v>
      </c>
      <c r="N650" s="1" t="s">
        <v>24</v>
      </c>
      <c r="O650" s="1" t="s">
        <v>1863</v>
      </c>
      <c r="P650" s="3" t="str">
        <f>HYPERLINK("https://icf.clappia.com/app/SOM165486/submission/OJY96377362/ICF247370-SOM165486-58ha1ngkf6ji0000000/SIG-20250702_1137bbca1.jpeg", "SIG-20250702_1137bbca1.jpeg")</f>
        <v>SIG-20250702_1137bbca1.jpeg</v>
      </c>
      <c r="Q650" s="3" t="str">
        <f>HYPERLINK("https://www.google.com/maps/place/9.0007483%2C-12.00845", "9.0007483,-12.00845")</f>
        <v>9.0007483,-12.00845</v>
      </c>
    </row>
    <row r="651" ht="15.75" customHeight="1">
      <c r="A651" s="1" t="s">
        <v>1864</v>
      </c>
      <c r="B651" s="1" t="s">
        <v>18</v>
      </c>
      <c r="C651" s="1" t="s">
        <v>1865</v>
      </c>
      <c r="D651" s="1" t="s">
        <v>1865</v>
      </c>
      <c r="E651" s="2">
        <v>45840.0</v>
      </c>
      <c r="F651" s="1" t="s">
        <v>21</v>
      </c>
      <c r="G651" s="1" t="s">
        <v>1331</v>
      </c>
      <c r="H651" s="1" t="s">
        <v>1332</v>
      </c>
      <c r="I651" s="1">
        <v>135.0</v>
      </c>
      <c r="J651" s="1" t="s">
        <v>24</v>
      </c>
      <c r="K651" s="1">
        <v>135.0</v>
      </c>
      <c r="L651" s="1">
        <v>135.0</v>
      </c>
      <c r="M651" s="1" t="s">
        <v>24</v>
      </c>
      <c r="N651" s="1" t="s">
        <v>24</v>
      </c>
      <c r="O651" s="1" t="s">
        <v>1866</v>
      </c>
      <c r="P651" s="3" t="str">
        <f>HYPERLINK("https://icf.clappia.com/app/SOM165486/submission/VVG04663148/ICF247370-SOM165486-2bp3a2fc1jjk00000000/SIG-20250702_09171167n7.jpeg", "SIG-20250702_09171167n7.jpeg")</f>
        <v>SIG-20250702_09171167n7.jpeg</v>
      </c>
    </row>
    <row r="652" ht="15.75" customHeight="1">
      <c r="A652" s="1" t="s">
        <v>1867</v>
      </c>
      <c r="B652" s="1" t="s">
        <v>18</v>
      </c>
      <c r="C652" s="1" t="s">
        <v>1865</v>
      </c>
      <c r="D652" s="1" t="s">
        <v>1865</v>
      </c>
      <c r="E652" s="2">
        <v>45840.0</v>
      </c>
      <c r="F652" s="1" t="s">
        <v>21</v>
      </c>
      <c r="G652" s="1" t="s">
        <v>275</v>
      </c>
      <c r="H652" s="1" t="s">
        <v>1578</v>
      </c>
      <c r="I652" s="1">
        <v>100.0</v>
      </c>
      <c r="J652" s="1" t="s">
        <v>24</v>
      </c>
      <c r="K652" s="1">
        <v>100.0</v>
      </c>
      <c r="L652" s="1">
        <v>87.0</v>
      </c>
      <c r="M652" s="1">
        <v>13.0</v>
      </c>
      <c r="N652" s="1">
        <v>13.0</v>
      </c>
      <c r="O652" s="1" t="s">
        <v>1868</v>
      </c>
      <c r="P652" s="3" t="str">
        <f>HYPERLINK("https://icf.clappia.com/app/SOM165486/submission/PEJ07212031/ICF247370-SOM165486-67kkgff1o42g00000000/SIG-20250702_1136523li.jpeg", "SIG-20250702_1136523li.jpeg")</f>
        <v>SIG-20250702_1136523li.jpeg</v>
      </c>
      <c r="Q652" s="3" t="str">
        <f>HYPERLINK("https://www.google.com/maps/place/7.7241991%2C-11.8138386", "7.7241991,-11.8138386")</f>
        <v>7.7241991,-11.8138386</v>
      </c>
    </row>
    <row r="653" ht="15.75" customHeight="1">
      <c r="A653" s="1" t="s">
        <v>1869</v>
      </c>
      <c r="B653" s="1" t="s">
        <v>283</v>
      </c>
      <c r="C653" s="1" t="s">
        <v>1870</v>
      </c>
      <c r="D653" s="1" t="s">
        <v>1870</v>
      </c>
      <c r="E653" s="2">
        <v>45840.0</v>
      </c>
      <c r="F653" s="1" t="s">
        <v>68</v>
      </c>
      <c r="G653" s="1" t="s">
        <v>69</v>
      </c>
      <c r="H653" s="1" t="s">
        <v>584</v>
      </c>
      <c r="I653" s="1">
        <v>50.0</v>
      </c>
      <c r="J653" s="1" t="s">
        <v>24</v>
      </c>
      <c r="K653" s="1">
        <v>50.0</v>
      </c>
      <c r="L653" s="1">
        <v>50.0</v>
      </c>
      <c r="M653" s="1" t="s">
        <v>24</v>
      </c>
      <c r="N653" s="1" t="s">
        <v>24</v>
      </c>
      <c r="O653" s="1" t="s">
        <v>662</v>
      </c>
      <c r="P653" s="3" t="str">
        <f>HYPERLINK("https://icf.clappia.com/app/SOM165486/submission/RRQ60328833/ICF247370-SOM165486-299ncbk683g6i0000000/SIG-20250702_11327h0ho.jpeg", "SIG-20250702_11327h0ho.jpeg")</f>
        <v>SIG-20250702_11327h0ho.jpeg</v>
      </c>
      <c r="Q653" s="3" t="str">
        <f>HYPERLINK("https://www.google.com/maps/place/8.766224%2C-12.1967974", "8.766224,-12.1967974")</f>
        <v>8.766224,-12.1967974</v>
      </c>
    </row>
    <row r="654" ht="15.75" customHeight="1">
      <c r="A654" s="1" t="s">
        <v>1871</v>
      </c>
      <c r="B654" s="1" t="s">
        <v>18</v>
      </c>
      <c r="C654" s="1" t="s">
        <v>1872</v>
      </c>
      <c r="D654" s="1" t="s">
        <v>1872</v>
      </c>
      <c r="E654" s="2">
        <v>45840.0</v>
      </c>
      <c r="F654" s="1" t="s">
        <v>21</v>
      </c>
      <c r="G654" s="1" t="s">
        <v>95</v>
      </c>
      <c r="H654" s="1" t="s">
        <v>697</v>
      </c>
      <c r="I654" s="1">
        <v>100.0</v>
      </c>
      <c r="J654" s="1" t="s">
        <v>24</v>
      </c>
      <c r="K654" s="1">
        <v>100.0</v>
      </c>
      <c r="L654" s="1">
        <v>98.0</v>
      </c>
      <c r="M654" s="1">
        <v>2.0</v>
      </c>
      <c r="N654" s="1">
        <v>2.0</v>
      </c>
      <c r="O654" s="1" t="s">
        <v>1873</v>
      </c>
      <c r="P654" s="3" t="str">
        <f>HYPERLINK("https://icf.clappia.com/app/SOM165486/submission/AKI58103465/ICF247370-SOM165486-5g9m9oh6gjh200000000/SIG-20250702_11193hbb6.jpeg", "SIG-20250702_11193hbb6.jpeg")</f>
        <v>SIG-20250702_11193hbb6.jpeg</v>
      </c>
      <c r="Q654" s="3" t="str">
        <f>HYPERLINK("https://www.google.com/maps/place/7.9549049%2C-11.7520117", "7.9549049,-11.7520117")</f>
        <v>7.9549049,-11.7520117</v>
      </c>
    </row>
    <row r="655" ht="15.75" customHeight="1">
      <c r="A655" s="1" t="s">
        <v>1874</v>
      </c>
      <c r="B655" s="1" t="s">
        <v>18</v>
      </c>
      <c r="C655" s="1" t="s">
        <v>1875</v>
      </c>
      <c r="D655" s="1" t="s">
        <v>1875</v>
      </c>
      <c r="E655" s="2">
        <v>45840.0</v>
      </c>
      <c r="F655" s="1" t="s">
        <v>21</v>
      </c>
      <c r="G655" s="1" t="s">
        <v>77</v>
      </c>
      <c r="H655" s="1" t="s">
        <v>120</v>
      </c>
      <c r="I655" s="1">
        <v>45.0</v>
      </c>
      <c r="J655" s="1" t="s">
        <v>24</v>
      </c>
      <c r="K655" s="1">
        <v>45.0</v>
      </c>
      <c r="L655" s="1">
        <v>33.0</v>
      </c>
      <c r="M655" s="1">
        <v>12.0</v>
      </c>
      <c r="N655" s="1">
        <v>12.0</v>
      </c>
      <c r="O655" s="1" t="s">
        <v>1876</v>
      </c>
      <c r="P655" s="3" t="str">
        <f>HYPERLINK("https://icf.clappia.com/app/SOM165486/submission/EAQ63834152/ICF247370-SOM165486-jnf4ck29gbd80000000/SIG-20250702_1128h8nbn.jpeg", "SIG-20250702_1128h8nbn.jpeg")</f>
        <v>SIG-20250702_1128h8nbn.jpeg</v>
      </c>
      <c r="Q655" s="3" t="str">
        <f>HYPERLINK("https://www.google.com/maps/place/7.9419467%2C-11.7236267", "7.9419467,-11.7236267")</f>
        <v>7.9419467,-11.7236267</v>
      </c>
    </row>
    <row r="656" ht="15.75" customHeight="1">
      <c r="A656" s="1" t="s">
        <v>1877</v>
      </c>
      <c r="B656" s="1" t="s">
        <v>18</v>
      </c>
      <c r="C656" s="1" t="s">
        <v>1875</v>
      </c>
      <c r="D656" s="1" t="s">
        <v>1875</v>
      </c>
      <c r="E656" s="2">
        <v>45840.0</v>
      </c>
      <c r="F656" s="1" t="s">
        <v>21</v>
      </c>
      <c r="G656" s="1" t="s">
        <v>22</v>
      </c>
      <c r="H656" s="1" t="s">
        <v>1376</v>
      </c>
      <c r="I656" s="1">
        <v>261.0</v>
      </c>
      <c r="J656" s="1" t="s">
        <v>24</v>
      </c>
      <c r="K656" s="1">
        <v>261.0</v>
      </c>
      <c r="L656" s="1">
        <v>180.0</v>
      </c>
      <c r="M656" s="1">
        <v>81.0</v>
      </c>
      <c r="N656" s="1">
        <v>81.0</v>
      </c>
      <c r="O656" s="1" t="s">
        <v>1377</v>
      </c>
      <c r="P656" s="3" t="str">
        <f>HYPERLINK("https://icf.clappia.com/app/SOM165486/submission/OIT85495782/ICF247370-SOM165486-3comlbojnh6a00000000/SIG-20250702_1128lfb62.jpeg", "SIG-20250702_1128lfb62.jpeg")</f>
        <v>SIG-20250702_1128lfb62.jpeg</v>
      </c>
      <c r="Q656" s="3" t="str">
        <f>HYPERLINK("https://www.google.com/maps/place/8.06998%2C-11.4651033", "8.06998,-11.4651033")</f>
        <v>8.06998,-11.4651033</v>
      </c>
    </row>
    <row r="657" ht="15.75" customHeight="1">
      <c r="A657" s="1" t="s">
        <v>1878</v>
      </c>
      <c r="B657" s="1" t="s">
        <v>18</v>
      </c>
      <c r="C657" s="1" t="s">
        <v>1879</v>
      </c>
      <c r="D657" s="1" t="s">
        <v>1879</v>
      </c>
      <c r="E657" s="2">
        <v>45840.0</v>
      </c>
      <c r="F657" s="1" t="s">
        <v>68</v>
      </c>
      <c r="G657" s="1" t="s">
        <v>592</v>
      </c>
      <c r="H657" s="1" t="s">
        <v>665</v>
      </c>
      <c r="I657" s="1">
        <v>45.0</v>
      </c>
      <c r="J657" s="1" t="s">
        <v>24</v>
      </c>
      <c r="K657" s="1">
        <v>45.0</v>
      </c>
      <c r="L657" s="1">
        <v>45.0</v>
      </c>
      <c r="M657" s="1" t="s">
        <v>24</v>
      </c>
      <c r="N657" s="1" t="s">
        <v>24</v>
      </c>
      <c r="O657" s="1" t="s">
        <v>679</v>
      </c>
      <c r="P657" s="3" t="str">
        <f>HYPERLINK("https://icf.clappia.com/app/SOM165486/submission/GAD92871495/ICF247370-SOM165486-fkh6g1p4l1di0000000/SIG-20250702_1124h4l88.jpeg", "SIG-20250702_1124h4l88.jpeg")</f>
        <v>SIG-20250702_1124h4l88.jpeg</v>
      </c>
      <c r="Q657" s="3" t="str">
        <f>HYPERLINK("https://www.google.com/maps/place/8.8753051%2C-12.0962889", "8.8753051,-12.0962889")</f>
        <v>8.8753051,-12.0962889</v>
      </c>
    </row>
    <row r="658" ht="15.75" customHeight="1">
      <c r="A658" s="1" t="s">
        <v>1880</v>
      </c>
      <c r="B658" s="1" t="s">
        <v>18</v>
      </c>
      <c r="C658" s="1" t="s">
        <v>1881</v>
      </c>
      <c r="D658" s="1" t="s">
        <v>1881</v>
      </c>
      <c r="E658" s="2">
        <v>45838.0</v>
      </c>
      <c r="F658" s="1" t="s">
        <v>68</v>
      </c>
      <c r="G658" s="1" t="s">
        <v>248</v>
      </c>
      <c r="H658" s="1" t="s">
        <v>1148</v>
      </c>
      <c r="I658" s="1">
        <v>192.0</v>
      </c>
      <c r="J658" s="1" t="s">
        <v>24</v>
      </c>
      <c r="K658" s="1">
        <v>192.0</v>
      </c>
      <c r="L658" s="1">
        <v>192.0</v>
      </c>
      <c r="M658" s="1" t="s">
        <v>24</v>
      </c>
      <c r="N658" s="1" t="s">
        <v>24</v>
      </c>
      <c r="O658" s="1" t="s">
        <v>1882</v>
      </c>
      <c r="P658" s="3" t="str">
        <f>HYPERLINK("https://icf.clappia.com/app/SOM165486/submission/QBU49998133/ICF247370-SOM165486-394d6klkoagm00000000/SIG-20250702_1122a292g.jpeg", "SIG-20250702_1122a292g.jpeg")</f>
        <v>SIG-20250702_1122a292g.jpeg</v>
      </c>
      <c r="Q658" s="3" t="str">
        <f>HYPERLINK("https://www.google.com/maps/place/9.219505%2C-12.1411567", "9.219505,-12.1411567")</f>
        <v>9.219505,-12.1411567</v>
      </c>
    </row>
    <row r="659" ht="15.75" customHeight="1">
      <c r="A659" s="1" t="s">
        <v>1883</v>
      </c>
      <c r="B659" s="1" t="s">
        <v>18</v>
      </c>
      <c r="C659" s="1" t="s">
        <v>1884</v>
      </c>
      <c r="D659" s="1" t="s">
        <v>1884</v>
      </c>
      <c r="E659" s="2">
        <v>45840.0</v>
      </c>
      <c r="F659" s="1" t="s">
        <v>21</v>
      </c>
      <c r="G659" s="1" t="s">
        <v>421</v>
      </c>
      <c r="H659" s="1" t="s">
        <v>1072</v>
      </c>
      <c r="I659" s="1">
        <v>77.0</v>
      </c>
      <c r="J659" s="1" t="s">
        <v>24</v>
      </c>
      <c r="K659" s="1">
        <v>77.0</v>
      </c>
      <c r="L659" s="1">
        <v>50.0</v>
      </c>
      <c r="M659" s="1">
        <v>27.0</v>
      </c>
      <c r="N659" s="1">
        <v>27.0</v>
      </c>
      <c r="O659" s="1" t="s">
        <v>1885</v>
      </c>
      <c r="P659" s="3" t="str">
        <f>HYPERLINK("https://icf.clappia.com/app/SOM165486/submission/XUT77474301/ICF247370-SOM165486-f1gfg6aae6ik0000000/SIG-20250702_1118gf98f.jpeg", "SIG-20250702_1118gf98f.jpeg")</f>
        <v>SIG-20250702_1118gf98f.jpeg</v>
      </c>
      <c r="Q659" s="3" t="str">
        <f>HYPERLINK("https://www.google.com/maps/place/8.0196002%2C-11.58608", "8.0196002,-11.58608")</f>
        <v>8.0196002,-11.58608</v>
      </c>
    </row>
    <row r="660" ht="15.75" customHeight="1">
      <c r="A660" s="1" t="s">
        <v>1886</v>
      </c>
      <c r="B660" s="1" t="s">
        <v>18</v>
      </c>
      <c r="C660" s="1" t="s">
        <v>1887</v>
      </c>
      <c r="D660" s="1" t="s">
        <v>1887</v>
      </c>
      <c r="E660" s="2">
        <v>45840.0</v>
      </c>
      <c r="F660" s="1" t="s">
        <v>21</v>
      </c>
      <c r="G660" s="1" t="s">
        <v>164</v>
      </c>
      <c r="H660" s="1" t="s">
        <v>1058</v>
      </c>
      <c r="I660" s="1">
        <v>37.0</v>
      </c>
      <c r="J660" s="1" t="s">
        <v>24</v>
      </c>
      <c r="K660" s="1">
        <v>37.0</v>
      </c>
      <c r="L660" s="1">
        <v>37.0</v>
      </c>
      <c r="M660" s="1" t="s">
        <v>24</v>
      </c>
      <c r="N660" s="1" t="s">
        <v>24</v>
      </c>
      <c r="O660" s="1" t="s">
        <v>1888</v>
      </c>
      <c r="P660" s="3" t="str">
        <f>HYPERLINK("https://icf.clappia.com/app/SOM165486/submission/UCO55152578/ICF247370-SOM165486-h7gno08c55j60000000/SIG-20250702_1112dc0ib.jpeg", "SIG-20250702_1112dc0ib.jpeg")</f>
        <v>SIG-20250702_1112dc0ib.jpeg</v>
      </c>
      <c r="Q660" s="3" t="str">
        <f>HYPERLINK("https://www.google.com/maps/place/7.77342%2C-11.9859683", "7.77342,-11.9859683")</f>
        <v>7.77342,-11.9859683</v>
      </c>
    </row>
    <row r="661" ht="15.75" customHeight="1">
      <c r="A661" s="1" t="s">
        <v>1889</v>
      </c>
      <c r="B661" s="1" t="s">
        <v>18</v>
      </c>
      <c r="C661" s="1" t="s">
        <v>1727</v>
      </c>
      <c r="D661" s="1" t="s">
        <v>1727</v>
      </c>
      <c r="E661" s="2">
        <v>45840.0</v>
      </c>
      <c r="F661" s="1" t="s">
        <v>21</v>
      </c>
      <c r="G661" s="1" t="s">
        <v>58</v>
      </c>
      <c r="H661" s="1" t="s">
        <v>1054</v>
      </c>
      <c r="I661" s="1">
        <v>156.0</v>
      </c>
      <c r="J661" s="1" t="s">
        <v>24</v>
      </c>
      <c r="K661" s="1">
        <v>156.0</v>
      </c>
      <c r="L661" s="1">
        <v>156.0</v>
      </c>
      <c r="M661" s="1" t="s">
        <v>24</v>
      </c>
      <c r="N661" s="1" t="s">
        <v>24</v>
      </c>
      <c r="O661" s="1" t="s">
        <v>1373</v>
      </c>
      <c r="P661" s="3" t="str">
        <f>HYPERLINK("https://icf.clappia.com/app/SOM165486/submission/CAN17276333/ICF247370-SOM165486-31aej19l9pee00000000/SIG-20250702_1111aab44.jpeg", "SIG-20250702_1111aab44.jpeg")</f>
        <v>SIG-20250702_1111aab44.jpeg</v>
      </c>
      <c r="Q661" s="3" t="str">
        <f>HYPERLINK("https://www.google.com/maps/place/7.9652922%2C-11.7675158", "7.9652922,-11.7675158")</f>
        <v>7.9652922,-11.7675158</v>
      </c>
    </row>
    <row r="662" ht="15.75" customHeight="1">
      <c r="A662" s="1" t="s">
        <v>1890</v>
      </c>
      <c r="B662" s="1" t="s">
        <v>18</v>
      </c>
      <c r="C662" s="1" t="s">
        <v>1891</v>
      </c>
      <c r="D662" s="1" t="s">
        <v>1891</v>
      </c>
      <c r="E662" s="2">
        <v>45840.0</v>
      </c>
      <c r="F662" s="1" t="s">
        <v>21</v>
      </c>
      <c r="G662" s="1" t="s">
        <v>58</v>
      </c>
      <c r="H662" s="1" t="s">
        <v>1548</v>
      </c>
      <c r="I662" s="1">
        <v>145.0</v>
      </c>
      <c r="J662" s="1" t="s">
        <v>24</v>
      </c>
      <c r="K662" s="1">
        <v>145.0</v>
      </c>
      <c r="L662" s="1">
        <v>145.0</v>
      </c>
      <c r="M662" s="1" t="s">
        <v>24</v>
      </c>
      <c r="N662" s="1" t="s">
        <v>24</v>
      </c>
      <c r="O662" s="1" t="s">
        <v>1892</v>
      </c>
      <c r="P662" s="3" t="str">
        <f>HYPERLINK("https://icf.clappia.com/app/SOM165486/submission/ZDN35195873/ICF247370-SOM165486-40fcb4l9lo8a00000000/SIG-20250702_1107cjjk0.jpeg", "SIG-20250702_1107cjjk0.jpeg")</f>
        <v>SIG-20250702_1107cjjk0.jpeg</v>
      </c>
      <c r="Q662" s="3" t="str">
        <f>HYPERLINK("https://www.google.com/maps/place/7.94849%2C-11.7624867", "7.94849,-11.7624867")</f>
        <v>7.94849,-11.7624867</v>
      </c>
    </row>
    <row r="663" ht="15.75" customHeight="1">
      <c r="A663" s="1" t="s">
        <v>1893</v>
      </c>
      <c r="B663" s="1" t="s">
        <v>18</v>
      </c>
      <c r="C663" s="1" t="s">
        <v>1891</v>
      </c>
      <c r="D663" s="1" t="s">
        <v>1891</v>
      </c>
      <c r="E663" s="2">
        <v>45840.0</v>
      </c>
      <c r="F663" s="1" t="s">
        <v>21</v>
      </c>
      <c r="G663" s="1" t="s">
        <v>129</v>
      </c>
      <c r="H663" s="1" t="s">
        <v>607</v>
      </c>
      <c r="I663" s="1">
        <v>300.0</v>
      </c>
      <c r="J663" s="1" t="s">
        <v>24</v>
      </c>
      <c r="K663" s="1">
        <v>300.0</v>
      </c>
      <c r="L663" s="1">
        <v>288.0</v>
      </c>
      <c r="M663" s="1">
        <v>12.0</v>
      </c>
      <c r="N663" s="1">
        <v>12.0</v>
      </c>
      <c r="O663" s="1" t="s">
        <v>608</v>
      </c>
      <c r="P663" s="3" t="str">
        <f>HYPERLINK("https://icf.clappia.com/app/SOM165486/submission/RHJ85784258/ICF247370-SOM165486-1egee73ac514i0000000/SIG-20250702_1108p2lb2.jpeg", "SIG-20250702_1108p2lb2.jpeg")</f>
        <v>SIG-20250702_1108p2lb2.jpeg</v>
      </c>
      <c r="Q663" s="3" t="str">
        <f>HYPERLINK("https://www.google.com/maps/place/7.524817%2C-11.9999059", "7.524817,-11.9999059")</f>
        <v>7.524817,-11.9999059</v>
      </c>
    </row>
    <row r="664" ht="15.75" customHeight="1">
      <c r="A664" s="1" t="s">
        <v>1894</v>
      </c>
      <c r="B664" s="1" t="s">
        <v>18</v>
      </c>
      <c r="C664" s="1" t="s">
        <v>642</v>
      </c>
      <c r="D664" s="1" t="s">
        <v>642</v>
      </c>
      <c r="E664" s="2">
        <v>45840.0</v>
      </c>
      <c r="F664" s="1" t="s">
        <v>21</v>
      </c>
      <c r="G664" s="1" t="s">
        <v>164</v>
      </c>
      <c r="H664" s="1" t="s">
        <v>1058</v>
      </c>
      <c r="I664" s="1">
        <v>37.0</v>
      </c>
      <c r="J664" s="1" t="s">
        <v>24</v>
      </c>
      <c r="K664" s="1">
        <v>37.0</v>
      </c>
      <c r="L664" s="1">
        <v>37.0</v>
      </c>
      <c r="M664" s="1" t="s">
        <v>24</v>
      </c>
      <c r="N664" s="1" t="s">
        <v>24</v>
      </c>
      <c r="O664" s="1" t="s">
        <v>1888</v>
      </c>
      <c r="P664" s="3" t="str">
        <f>HYPERLINK("https://icf.clappia.com/app/SOM165486/submission/PCO42419568/ICF247370-SOM165486-4bmj3djj26m400000000/SIG-20250702_1109ni7lo.jpeg", "SIG-20250702_1109ni7lo.jpeg")</f>
        <v>SIG-20250702_1109ni7lo.jpeg</v>
      </c>
      <c r="Q664" s="3" t="str">
        <f>HYPERLINK("https://www.google.com/maps/place/7.7737133%2C-11.9855284", "7.7737133,-11.9855284")</f>
        <v>7.7737133,-11.9855284</v>
      </c>
    </row>
    <row r="665" ht="15.75" customHeight="1">
      <c r="A665" s="1" t="s">
        <v>1895</v>
      </c>
      <c r="B665" s="1" t="s">
        <v>18</v>
      </c>
      <c r="C665" s="1" t="s">
        <v>1896</v>
      </c>
      <c r="D665" s="1" t="s">
        <v>1896</v>
      </c>
      <c r="E665" s="2">
        <v>45840.0</v>
      </c>
      <c r="F665" s="1" t="s">
        <v>21</v>
      </c>
      <c r="G665" s="1" t="s">
        <v>58</v>
      </c>
      <c r="H665" s="1" t="s">
        <v>1548</v>
      </c>
      <c r="I665" s="1">
        <v>145.0</v>
      </c>
      <c r="J665" s="1" t="s">
        <v>24</v>
      </c>
      <c r="K665" s="1">
        <v>145.0</v>
      </c>
      <c r="L665" s="1">
        <v>145.0</v>
      </c>
      <c r="M665" s="1" t="s">
        <v>24</v>
      </c>
      <c r="N665" s="1" t="s">
        <v>24</v>
      </c>
      <c r="O665" s="1" t="s">
        <v>1897</v>
      </c>
      <c r="P665" s="3" t="str">
        <f>HYPERLINK("https://icf.clappia.com/app/SOM165486/submission/ADF31509661/ICF247370-SOM165486-44bijbbh6op400000000/SIG-20250702_11072o9bc.jpeg", "SIG-20250702_11072o9bc.jpeg")</f>
        <v>SIG-20250702_11072o9bc.jpeg</v>
      </c>
      <c r="Q665" s="3" t="str">
        <f>HYPERLINK("https://www.google.com/maps/place/7.9487178%2C-11.7630118", "7.9487178,-11.7630118")</f>
        <v>7.9487178,-11.7630118</v>
      </c>
    </row>
    <row r="666" ht="15.75" customHeight="1">
      <c r="A666" s="1" t="s">
        <v>1898</v>
      </c>
      <c r="B666" s="1" t="s">
        <v>18</v>
      </c>
      <c r="C666" s="1" t="s">
        <v>1899</v>
      </c>
      <c r="D666" s="1" t="s">
        <v>1899</v>
      </c>
      <c r="E666" s="2">
        <v>45839.0</v>
      </c>
      <c r="F666" s="1" t="s">
        <v>21</v>
      </c>
      <c r="G666" s="1" t="s">
        <v>421</v>
      </c>
      <c r="H666" s="1" t="s">
        <v>1900</v>
      </c>
      <c r="I666" s="1">
        <v>107.0</v>
      </c>
      <c r="J666" s="1" t="s">
        <v>24</v>
      </c>
      <c r="K666" s="1">
        <v>107.0</v>
      </c>
      <c r="L666" s="1">
        <v>107.0</v>
      </c>
      <c r="M666" s="1" t="s">
        <v>24</v>
      </c>
      <c r="N666" s="1" t="s">
        <v>24</v>
      </c>
      <c r="O666" s="1" t="s">
        <v>1901</v>
      </c>
      <c r="P666" s="3" t="str">
        <f>HYPERLINK("https://icf.clappia.com/app/SOM165486/submission/JWE19481850/ICF247370-SOM165486-41jd26gk98bc00000000/SIG-20250702_1101em2cj.jpeg", "SIG-20250702_1101em2cj.jpeg")</f>
        <v>SIG-20250702_1101em2cj.jpeg</v>
      </c>
      <c r="Q666" s="3" t="str">
        <f>HYPERLINK("https://www.google.com/maps/place/8.07861%2C-11.5200217", "8.07861,-11.5200217")</f>
        <v>8.07861,-11.5200217</v>
      </c>
    </row>
    <row r="667" ht="15.75" customHeight="1">
      <c r="A667" s="1" t="s">
        <v>1902</v>
      </c>
      <c r="B667" s="1" t="s">
        <v>18</v>
      </c>
      <c r="C667" s="1" t="s">
        <v>1903</v>
      </c>
      <c r="D667" s="1" t="s">
        <v>1903</v>
      </c>
      <c r="E667" s="2">
        <v>45840.0</v>
      </c>
      <c r="F667" s="1" t="s">
        <v>68</v>
      </c>
      <c r="G667" s="1" t="s">
        <v>597</v>
      </c>
      <c r="H667" s="1" t="s">
        <v>598</v>
      </c>
      <c r="I667" s="1">
        <v>100.0</v>
      </c>
      <c r="J667" s="1" t="s">
        <v>24</v>
      </c>
      <c r="K667" s="1">
        <v>100.0</v>
      </c>
      <c r="L667" s="1">
        <v>61.0</v>
      </c>
      <c r="M667" s="1">
        <v>39.0</v>
      </c>
      <c r="N667" s="1" t="s">
        <v>24</v>
      </c>
      <c r="O667" s="1" t="s">
        <v>815</v>
      </c>
      <c r="P667" s="3" t="str">
        <f>HYPERLINK("https://icf.clappia.com/app/SOM165486/submission/OKW84386036/ICF247370-SOM165486-8dokdppicl88000000/SIG-20250702_1101odjb0.jpeg", "SIG-20250702_1101odjb0.jpeg")</f>
        <v>SIG-20250702_1101odjb0.jpeg</v>
      </c>
      <c r="Q667" s="3" t="str">
        <f>HYPERLINK("https://www.google.com/maps/place/8.6633933%2C-12.21343", "8.6633933,-12.21343")</f>
        <v>8.6633933,-12.21343</v>
      </c>
    </row>
    <row r="668" ht="15.75" customHeight="1">
      <c r="A668" s="1" t="s">
        <v>1904</v>
      </c>
      <c r="B668" s="1" t="s">
        <v>18</v>
      </c>
      <c r="C668" s="1" t="s">
        <v>1905</v>
      </c>
      <c r="D668" s="1" t="s">
        <v>1905</v>
      </c>
      <c r="E668" s="2">
        <v>45840.0</v>
      </c>
      <c r="F668" s="1" t="s">
        <v>21</v>
      </c>
      <c r="G668" s="1" t="s">
        <v>95</v>
      </c>
      <c r="H668" s="1" t="s">
        <v>369</v>
      </c>
      <c r="I668" s="1">
        <v>150.0</v>
      </c>
      <c r="J668" s="1" t="s">
        <v>24</v>
      </c>
      <c r="K668" s="1">
        <v>150.0</v>
      </c>
      <c r="L668" s="1">
        <v>1.0</v>
      </c>
      <c r="M668" s="1">
        <v>149.0</v>
      </c>
      <c r="N668" s="1">
        <v>1.0</v>
      </c>
      <c r="O668" s="1" t="s">
        <v>1304</v>
      </c>
      <c r="P668" s="3" t="str">
        <f>HYPERLINK("https://icf.clappia.com/app/SOM165486/submission/DNR95077018/ICF247370-SOM165486-69di1p665aj200000000/SIG-20250702_10591357ng.jpeg", "SIG-20250702_10591357ng.jpeg")</f>
        <v>SIG-20250702_10591357ng.jpeg</v>
      </c>
      <c r="Q668" s="3" t="str">
        <f>HYPERLINK("https://www.google.com/maps/place/7.9307567%2C-11.7182", "7.9307567,-11.7182")</f>
        <v>7.9307567,-11.7182</v>
      </c>
    </row>
    <row r="669" ht="15.75" customHeight="1">
      <c r="A669" s="1" t="s">
        <v>1906</v>
      </c>
      <c r="B669" s="1" t="s">
        <v>18</v>
      </c>
      <c r="C669" s="1" t="s">
        <v>1907</v>
      </c>
      <c r="D669" s="1" t="s">
        <v>1907</v>
      </c>
      <c r="E669" s="2">
        <v>45838.0</v>
      </c>
      <c r="F669" s="1" t="s">
        <v>21</v>
      </c>
      <c r="G669" s="1" t="s">
        <v>421</v>
      </c>
      <c r="H669" s="1" t="s">
        <v>1900</v>
      </c>
      <c r="I669" s="1">
        <v>200.0</v>
      </c>
      <c r="J669" s="1" t="s">
        <v>24</v>
      </c>
      <c r="K669" s="1">
        <v>200.0</v>
      </c>
      <c r="L669" s="1">
        <v>193.0</v>
      </c>
      <c r="M669" s="1">
        <v>7.0</v>
      </c>
      <c r="N669" s="1">
        <v>7.0</v>
      </c>
      <c r="O669" s="1" t="s">
        <v>1901</v>
      </c>
      <c r="P669" s="3" t="str">
        <f>HYPERLINK("https://icf.clappia.com/app/SOM165486/submission/WFG96260249/ICF247370-SOM165486-692pblgblbm000000000/SIG-20250702_10579abnl.jpeg", "SIG-20250702_10579abnl.jpeg")</f>
        <v>SIG-20250702_10579abnl.jpeg</v>
      </c>
      <c r="Q669" s="3" t="str">
        <f>HYPERLINK("https://www.google.com/maps/place/8.07898%2C-11.519995", "8.07898,-11.519995")</f>
        <v>8.07898,-11.519995</v>
      </c>
    </row>
    <row r="670" ht="15.75" customHeight="1">
      <c r="A670" s="1" t="s">
        <v>1908</v>
      </c>
      <c r="B670" s="1" t="s">
        <v>18</v>
      </c>
      <c r="C670" s="1" t="s">
        <v>1909</v>
      </c>
      <c r="D670" s="1" t="s">
        <v>1909</v>
      </c>
      <c r="E670" s="2">
        <v>45840.0</v>
      </c>
      <c r="F670" s="1" t="s">
        <v>21</v>
      </c>
      <c r="G670" s="1" t="s">
        <v>781</v>
      </c>
      <c r="H670" s="1" t="s">
        <v>1910</v>
      </c>
      <c r="I670" s="1">
        <v>197.0</v>
      </c>
      <c r="J670" s="1" t="s">
        <v>24</v>
      </c>
      <c r="K670" s="1">
        <v>197.0</v>
      </c>
      <c r="L670" s="1">
        <v>197.0</v>
      </c>
      <c r="M670" s="1" t="s">
        <v>24</v>
      </c>
      <c r="N670" s="1" t="s">
        <v>24</v>
      </c>
      <c r="O670" s="1" t="s">
        <v>1911</v>
      </c>
      <c r="P670" s="3" t="str">
        <f>HYPERLINK("https://icf.clappia.com/app/SOM165486/submission/JUZ06837532/ICF247370-SOM165486-5553nikmo7660000000/SIG-20250702_1054akon6.jpeg", "SIG-20250702_1054akon6.jpeg")</f>
        <v>SIG-20250702_1054akon6.jpeg</v>
      </c>
      <c r="Q670" s="3" t="str">
        <f>HYPERLINK("https://www.google.com/maps/place/7.9483036%2C-11.4280643", "7.9483036,-11.4280643")</f>
        <v>7.9483036,-11.4280643</v>
      </c>
    </row>
    <row r="671" ht="15.75" customHeight="1">
      <c r="A671" s="1" t="s">
        <v>1912</v>
      </c>
      <c r="B671" s="1" t="s">
        <v>18</v>
      </c>
      <c r="C671" s="1" t="s">
        <v>1913</v>
      </c>
      <c r="D671" s="1" t="s">
        <v>1913</v>
      </c>
      <c r="E671" s="2">
        <v>45840.0</v>
      </c>
      <c r="F671" s="1" t="s">
        <v>21</v>
      </c>
      <c r="G671" s="1" t="s">
        <v>77</v>
      </c>
      <c r="H671" s="1" t="s">
        <v>120</v>
      </c>
      <c r="I671" s="1">
        <v>65.0</v>
      </c>
      <c r="J671" s="1" t="s">
        <v>24</v>
      </c>
      <c r="K671" s="1">
        <v>65.0</v>
      </c>
      <c r="L671" s="1">
        <v>65.0</v>
      </c>
      <c r="M671" s="1" t="s">
        <v>24</v>
      </c>
      <c r="N671" s="1" t="s">
        <v>24</v>
      </c>
      <c r="O671" s="1" t="s">
        <v>1318</v>
      </c>
      <c r="P671" s="3" t="str">
        <f>HYPERLINK("https://icf.clappia.com/app/SOM165486/submission/PRD30547638/ICF247370-SOM165486-3mij2jfg5k5e00000000/SIG-20250702_1050l5004.jpeg", "SIG-20250702_1050l5004.jpeg")</f>
        <v>SIG-20250702_1050l5004.jpeg</v>
      </c>
      <c r="Q671" s="3" t="str">
        <f>HYPERLINK("https://www.google.com/maps/place/7.9405917%2C-11.7204417", "7.9405917,-11.7204417")</f>
        <v>7.9405917,-11.7204417</v>
      </c>
    </row>
    <row r="672" ht="15.75" customHeight="1">
      <c r="A672" s="1" t="s">
        <v>1914</v>
      </c>
      <c r="B672" s="1" t="s">
        <v>18</v>
      </c>
      <c r="C672" s="1" t="s">
        <v>1915</v>
      </c>
      <c r="D672" s="1" t="s">
        <v>1915</v>
      </c>
      <c r="E672" s="2">
        <v>45840.0</v>
      </c>
      <c r="F672" s="1" t="s">
        <v>21</v>
      </c>
      <c r="G672" s="1" t="s">
        <v>77</v>
      </c>
      <c r="H672" s="1" t="s">
        <v>120</v>
      </c>
      <c r="I672" s="1">
        <v>161.0</v>
      </c>
      <c r="J672" s="1" t="s">
        <v>24</v>
      </c>
      <c r="K672" s="1">
        <v>161.0</v>
      </c>
      <c r="L672" s="1">
        <v>161.0</v>
      </c>
      <c r="M672" s="1" t="s">
        <v>24</v>
      </c>
      <c r="N672" s="1" t="s">
        <v>24</v>
      </c>
      <c r="O672" s="1" t="s">
        <v>1195</v>
      </c>
      <c r="P672" s="3" t="str">
        <f>HYPERLINK("https://icf.clappia.com/app/SOM165486/submission/ZZP44090570/ICF247370-SOM165486-5b5dke66k2ek00000000/SIG-20250702_1044261f8.jpeg", "SIG-20250702_1044261f8.jpeg")</f>
        <v>SIG-20250702_1044261f8.jpeg</v>
      </c>
      <c r="Q672" s="3" t="str">
        <f>HYPERLINK("https://www.google.com/maps/place/7.9446291%2C-11.7297828", "7.9446291,-11.7297828")</f>
        <v>7.9446291,-11.7297828</v>
      </c>
    </row>
    <row r="673" ht="15.75" customHeight="1">
      <c r="A673" s="1" t="s">
        <v>1916</v>
      </c>
      <c r="B673" s="1" t="s">
        <v>18</v>
      </c>
      <c r="C673" s="1" t="s">
        <v>1917</v>
      </c>
      <c r="D673" s="1" t="s">
        <v>1917</v>
      </c>
      <c r="E673" s="2">
        <v>45841.0</v>
      </c>
      <c r="F673" s="1" t="s">
        <v>68</v>
      </c>
      <c r="G673" s="1" t="s">
        <v>88</v>
      </c>
      <c r="H673" s="1" t="s">
        <v>797</v>
      </c>
      <c r="I673" s="1">
        <v>24.0</v>
      </c>
      <c r="J673" s="1">
        <v>57.0</v>
      </c>
      <c r="K673" s="1">
        <v>81.0</v>
      </c>
      <c r="L673" s="1">
        <v>81.0</v>
      </c>
      <c r="M673" s="1" t="s">
        <v>24</v>
      </c>
      <c r="N673" s="1" t="s">
        <v>24</v>
      </c>
      <c r="O673" s="1" t="s">
        <v>1918</v>
      </c>
      <c r="P673" s="3" t="str">
        <f>HYPERLINK("https://icf.clappia.com/app/SOM165486/submission/WPZ67400449/ICF247370-SOM165486-7jp0d20fdijm0000000/SIG-20250702_104513j3nk.jpeg", "SIG-20250702_104513j3nk.jpeg")</f>
        <v>SIG-20250702_104513j3nk.jpeg</v>
      </c>
      <c r="Q673" s="3" t="str">
        <f>HYPERLINK("https://www.google.com/maps/place/8.8881423%2C-12.0444649", "8.8881423,-12.0444649")</f>
        <v>8.8881423,-12.0444649</v>
      </c>
    </row>
    <row r="674" ht="15.75" customHeight="1">
      <c r="A674" s="1" t="s">
        <v>1919</v>
      </c>
      <c r="B674" s="1" t="s">
        <v>18</v>
      </c>
      <c r="C674" s="1" t="s">
        <v>1917</v>
      </c>
      <c r="D674" s="1" t="s">
        <v>1917</v>
      </c>
      <c r="E674" s="2">
        <v>45840.0</v>
      </c>
      <c r="F674" s="1" t="s">
        <v>21</v>
      </c>
      <c r="G674" s="1" t="s">
        <v>129</v>
      </c>
      <c r="H674" s="1" t="s">
        <v>607</v>
      </c>
      <c r="I674" s="1">
        <v>200.0</v>
      </c>
      <c r="J674" s="1" t="s">
        <v>24</v>
      </c>
      <c r="K674" s="1">
        <v>200.0</v>
      </c>
      <c r="L674" s="1">
        <v>194.0</v>
      </c>
      <c r="M674" s="1">
        <v>6.0</v>
      </c>
      <c r="N674" s="1">
        <v>6.0</v>
      </c>
      <c r="O674" s="1" t="s">
        <v>1160</v>
      </c>
      <c r="P674" s="3" t="str">
        <f>HYPERLINK("https://icf.clappia.com/app/SOM165486/submission/GTV13656698/ICF247370-SOM165486-5od4dk13mi0400000000/SIG-20250702_1044i1oo6.jpeg", "SIG-20250702_1044i1oo6.jpeg")</f>
        <v>SIG-20250702_1044i1oo6.jpeg</v>
      </c>
      <c r="Q674" s="3" t="str">
        <f>HYPERLINK("https://www.google.com/maps/place/7.5541522%2C-11.9239312", "7.5541522,-11.9239312")</f>
        <v>7.5541522,-11.9239312</v>
      </c>
    </row>
    <row r="675" ht="15.75" customHeight="1">
      <c r="A675" s="1" t="s">
        <v>1920</v>
      </c>
      <c r="B675" s="1" t="s">
        <v>18</v>
      </c>
      <c r="C675" s="1" t="s">
        <v>1921</v>
      </c>
      <c r="D675" s="1" t="s">
        <v>1921</v>
      </c>
      <c r="E675" s="2">
        <v>45840.0</v>
      </c>
      <c r="F675" s="1" t="s">
        <v>68</v>
      </c>
      <c r="G675" s="1" t="s">
        <v>340</v>
      </c>
      <c r="H675" s="1" t="s">
        <v>1922</v>
      </c>
      <c r="I675" s="1">
        <v>89.0</v>
      </c>
      <c r="J675" s="1" t="s">
        <v>24</v>
      </c>
      <c r="K675" s="1">
        <v>89.0</v>
      </c>
      <c r="L675" s="1">
        <v>89.0</v>
      </c>
      <c r="M675" s="1" t="s">
        <v>24</v>
      </c>
      <c r="N675" s="1" t="s">
        <v>24</v>
      </c>
      <c r="O675" s="1" t="s">
        <v>1923</v>
      </c>
      <c r="P675" s="3" t="str">
        <f>HYPERLINK("https://icf.clappia.com/app/SOM165486/submission/VUS76112010/ICF247370-SOM165486-lpcb5j26693e0000000/SIG-20250702_1043afml5.jpeg", "SIG-20250702_1043afml5.jpeg")</f>
        <v>SIG-20250702_1043afml5.jpeg</v>
      </c>
      <c r="Q675" s="3" t="str">
        <f>HYPERLINK("https://www.google.com/maps/place/9.2075114%2C-11.936763", "9.2075114,-11.936763")</f>
        <v>9.2075114,-11.936763</v>
      </c>
    </row>
    <row r="676" ht="15.75" customHeight="1">
      <c r="A676" s="1" t="s">
        <v>1924</v>
      </c>
      <c r="B676" s="1" t="s">
        <v>18</v>
      </c>
      <c r="C676" s="1" t="s">
        <v>1925</v>
      </c>
      <c r="D676" s="1" t="s">
        <v>1925</v>
      </c>
      <c r="E676" s="2">
        <v>45841.0</v>
      </c>
      <c r="F676" s="1" t="s">
        <v>68</v>
      </c>
      <c r="G676" s="1" t="s">
        <v>88</v>
      </c>
      <c r="H676" s="1" t="s">
        <v>797</v>
      </c>
      <c r="I676" s="1">
        <v>24.0</v>
      </c>
      <c r="J676" s="1">
        <v>57.0</v>
      </c>
      <c r="K676" s="1">
        <v>81.0</v>
      </c>
      <c r="L676" s="1">
        <v>81.0</v>
      </c>
      <c r="M676" s="1" t="s">
        <v>24</v>
      </c>
      <c r="N676" s="1" t="s">
        <v>24</v>
      </c>
      <c r="O676" s="1" t="s">
        <v>1918</v>
      </c>
      <c r="P676" s="3" t="str">
        <f>HYPERLINK("https://icf.clappia.com/app/SOM165486/submission/RKZ31014661/ICF247370-SOM165486-535pamg1b56000000000/SIG-20250702_1042j24m0.jpeg", "SIG-20250702_1042j24m0.jpeg")</f>
        <v>SIG-20250702_1042j24m0.jpeg</v>
      </c>
      <c r="Q676" s="3" t="str">
        <f>HYPERLINK("https://www.google.com/maps/place/8.8874019%2C-12.0457801", "8.8874019,-12.0457801")</f>
        <v>8.8874019,-12.0457801</v>
      </c>
    </row>
    <row r="677" ht="15.75" customHeight="1">
      <c r="A677" s="1" t="s">
        <v>1926</v>
      </c>
      <c r="B677" s="1" t="s">
        <v>18</v>
      </c>
      <c r="C677" s="1" t="s">
        <v>1925</v>
      </c>
      <c r="D677" s="1" t="s">
        <v>1925</v>
      </c>
      <c r="E677" s="2">
        <v>45840.0</v>
      </c>
      <c r="F677" s="1" t="s">
        <v>68</v>
      </c>
      <c r="G677" s="1" t="s">
        <v>597</v>
      </c>
      <c r="H677" s="1" t="s">
        <v>598</v>
      </c>
      <c r="I677" s="1">
        <v>136.0</v>
      </c>
      <c r="J677" s="1" t="s">
        <v>24</v>
      </c>
      <c r="K677" s="1">
        <v>136.0</v>
      </c>
      <c r="L677" s="1">
        <v>22.0</v>
      </c>
      <c r="M677" s="1">
        <v>114.0</v>
      </c>
      <c r="N677" s="1">
        <v>114.0</v>
      </c>
      <c r="O677" s="1" t="s">
        <v>599</v>
      </c>
      <c r="P677" s="3" t="str">
        <f>HYPERLINK("https://icf.clappia.com/app/SOM165486/submission/AJR95342581/ICF247370-SOM165486-5okfpij52jo800000000/SIG-20250702_10401a4m67.jpeg", "SIG-20250702_10401a4m67.jpeg")</f>
        <v>SIG-20250702_10401a4m67.jpeg</v>
      </c>
      <c r="Q677" s="3" t="str">
        <f>HYPERLINK("https://www.google.com/maps/place/8.6625%2C-12.242745", "8.6625,-12.242745")</f>
        <v>8.6625,-12.242745</v>
      </c>
    </row>
    <row r="678" ht="15.75" customHeight="1">
      <c r="A678" s="1" t="s">
        <v>1927</v>
      </c>
      <c r="B678" s="1" t="s">
        <v>18</v>
      </c>
      <c r="C678" s="1" t="s">
        <v>307</v>
      </c>
      <c r="D678" s="1" t="s">
        <v>307</v>
      </c>
      <c r="E678" s="2">
        <v>45840.0</v>
      </c>
      <c r="F678" s="1" t="s">
        <v>68</v>
      </c>
      <c r="G678" s="1" t="s">
        <v>385</v>
      </c>
      <c r="H678" s="1" t="s">
        <v>1395</v>
      </c>
      <c r="I678" s="1">
        <v>156.0</v>
      </c>
      <c r="J678" s="1" t="s">
        <v>24</v>
      </c>
      <c r="K678" s="1">
        <v>156.0</v>
      </c>
      <c r="L678" s="1">
        <v>149.0</v>
      </c>
      <c r="M678" s="1">
        <v>7.0</v>
      </c>
      <c r="N678" s="1">
        <v>7.0</v>
      </c>
      <c r="O678" s="1" t="s">
        <v>1396</v>
      </c>
      <c r="P678" s="3" t="str">
        <f>HYPERLINK("https://icf.clappia.com/app/SOM165486/submission/PSD43242784/ICF247370-SOM165486-md3g0kl5poik0000000/SIG-20250702_1025ealnf.jpeg", "SIG-20250702_1025ealnf.jpeg")</f>
        <v>SIG-20250702_1025ealnf.jpeg</v>
      </c>
      <c r="Q678" s="3" t="str">
        <f>HYPERLINK("https://www.google.com/maps/place/9.1616904%2C-12.189554", "9.1616904,-12.189554")</f>
        <v>9.1616904,-12.189554</v>
      </c>
    </row>
    <row r="679" ht="15.75" customHeight="1">
      <c r="A679" s="1" t="s">
        <v>1928</v>
      </c>
      <c r="B679" s="1" t="s">
        <v>18</v>
      </c>
      <c r="C679" s="1" t="s">
        <v>1929</v>
      </c>
      <c r="D679" s="1" t="s">
        <v>1929</v>
      </c>
      <c r="E679" s="2">
        <v>45840.0</v>
      </c>
      <c r="F679" s="1" t="s">
        <v>68</v>
      </c>
      <c r="G679" s="1" t="s">
        <v>88</v>
      </c>
      <c r="H679" s="1" t="s">
        <v>881</v>
      </c>
      <c r="I679" s="1">
        <v>200.0</v>
      </c>
      <c r="J679" s="1" t="s">
        <v>24</v>
      </c>
      <c r="K679" s="1">
        <v>200.0</v>
      </c>
      <c r="L679" s="1">
        <v>200.0</v>
      </c>
      <c r="M679" s="1" t="s">
        <v>24</v>
      </c>
      <c r="N679" s="1" t="s">
        <v>24</v>
      </c>
      <c r="O679" s="1" t="s">
        <v>1930</v>
      </c>
      <c r="P679" s="3" t="str">
        <f>HYPERLINK("https://icf.clappia.com/app/SOM165486/submission/HKF35504380/ICF247370-SOM165486-4p0e778b095m00000000/SIG-20250702_1030779ib.jpeg", "SIG-20250702_1030779ib.jpeg")</f>
        <v>SIG-20250702_1030779ib.jpeg</v>
      </c>
      <c r="Q679" s="3" t="str">
        <f>HYPERLINK("https://www.google.com/maps/place/8.8992584%2C-12.0454609", "8.8992584,-12.0454609")</f>
        <v>8.8992584,-12.0454609</v>
      </c>
    </row>
    <row r="680" ht="15.75" customHeight="1">
      <c r="A680" s="1" t="s">
        <v>1931</v>
      </c>
      <c r="B680" s="1" t="s">
        <v>18</v>
      </c>
      <c r="C680" s="1" t="s">
        <v>1929</v>
      </c>
      <c r="D680" s="1" t="s">
        <v>1929</v>
      </c>
      <c r="E680" s="2">
        <v>45839.0</v>
      </c>
      <c r="F680" s="1" t="s">
        <v>68</v>
      </c>
      <c r="G680" s="1" t="s">
        <v>69</v>
      </c>
      <c r="H680" s="1" t="s">
        <v>70</v>
      </c>
      <c r="I680" s="1">
        <v>239.0</v>
      </c>
      <c r="J680" s="1" t="s">
        <v>24</v>
      </c>
      <c r="K680" s="1">
        <v>239.0</v>
      </c>
      <c r="L680" s="1">
        <v>239.0</v>
      </c>
      <c r="M680" s="1" t="s">
        <v>24</v>
      </c>
      <c r="N680" s="1" t="s">
        <v>24</v>
      </c>
      <c r="O680" s="1" t="s">
        <v>1932</v>
      </c>
      <c r="P680" s="3" t="str">
        <f>HYPERLINK("https://icf.clappia.com/app/SOM165486/submission/NJL51512832/ICF247370-SOM165486-5nj08eni2g8e00000000/SIG-20250701_1219ff0ed.jpeg", "SIG-20250701_1219ff0ed.jpeg")</f>
        <v>SIG-20250701_1219ff0ed.jpeg</v>
      </c>
      <c r="Q680" s="3" t="str">
        <f>HYPERLINK("https://www.google.com/maps/place/8.8934481%2C-12.0807615", "8.8934481,-12.0807615")</f>
        <v>8.8934481,-12.0807615</v>
      </c>
    </row>
    <row r="681" ht="15.75" customHeight="1">
      <c r="A681" s="1" t="s">
        <v>1933</v>
      </c>
      <c r="B681" s="1" t="s">
        <v>18</v>
      </c>
      <c r="C681" s="1" t="s">
        <v>1934</v>
      </c>
      <c r="D681" s="1" t="s">
        <v>1934</v>
      </c>
      <c r="E681" s="2">
        <v>45839.0</v>
      </c>
      <c r="F681" s="1" t="s">
        <v>68</v>
      </c>
      <c r="G681" s="1" t="s">
        <v>88</v>
      </c>
      <c r="H681" s="1" t="s">
        <v>797</v>
      </c>
      <c r="I681" s="1">
        <v>317.0</v>
      </c>
      <c r="J681" s="1">
        <v>25.0</v>
      </c>
      <c r="K681" s="1">
        <v>342.0</v>
      </c>
      <c r="L681" s="1">
        <v>338.0</v>
      </c>
      <c r="M681" s="1">
        <v>4.0</v>
      </c>
      <c r="N681" s="1">
        <v>4.0</v>
      </c>
      <c r="O681" s="1" t="s">
        <v>1793</v>
      </c>
      <c r="P681" s="3" t="str">
        <f>HYPERLINK("https://icf.clappia.com/app/SOM165486/submission/MPK11632257/ICF247370-SOM165486-5fjh6o55ngao00000000/SIG-20250702_1024idip2.jpeg", "SIG-20250702_1024idip2.jpeg")</f>
        <v>SIG-20250702_1024idip2.jpeg</v>
      </c>
      <c r="Q681" s="3" t="str">
        <f>HYPERLINK("https://www.google.com/maps/place/8.8776919%2C-12.0510847", "8.8776919,-12.0510847")</f>
        <v>8.8776919,-12.0510847</v>
      </c>
    </row>
    <row r="682" ht="15.75" customHeight="1">
      <c r="A682" s="1" t="s">
        <v>1935</v>
      </c>
      <c r="B682" s="1" t="s">
        <v>18</v>
      </c>
      <c r="C682" s="1" t="s">
        <v>1936</v>
      </c>
      <c r="D682" s="1" t="s">
        <v>1936</v>
      </c>
      <c r="E682" s="2">
        <v>45840.0</v>
      </c>
      <c r="F682" s="1" t="s">
        <v>68</v>
      </c>
      <c r="G682" s="1" t="s">
        <v>88</v>
      </c>
      <c r="H682" s="1" t="s">
        <v>1314</v>
      </c>
      <c r="I682" s="1">
        <v>50.0</v>
      </c>
      <c r="J682" s="1" t="s">
        <v>24</v>
      </c>
      <c r="K682" s="1">
        <v>50.0</v>
      </c>
      <c r="L682" s="1">
        <v>50.0</v>
      </c>
      <c r="M682" s="1" t="s">
        <v>24</v>
      </c>
      <c r="N682" s="1" t="s">
        <v>24</v>
      </c>
      <c r="O682" s="1" t="s">
        <v>1937</v>
      </c>
      <c r="P682" s="3" t="str">
        <f>HYPERLINK("https://icf.clappia.com/app/SOM165486/submission/QOU32188727/ICF247370-SOM165486-5c0e8412kg4800000000/SIG-20250702_1020fhgph.jpeg", "SIG-20250702_1020fhgph.jpeg")</f>
        <v>SIG-20250702_1020fhgph.jpeg</v>
      </c>
      <c r="Q682" s="3" t="str">
        <f>HYPERLINK("https://www.google.com/maps/place/8.880845%2C-12.03792", "8.880845,-12.03792")</f>
        <v>8.880845,-12.03792</v>
      </c>
    </row>
    <row r="683" ht="15.75" customHeight="1">
      <c r="A683" s="1" t="s">
        <v>1938</v>
      </c>
      <c r="B683" s="1" t="s">
        <v>18</v>
      </c>
      <c r="C683" s="1" t="s">
        <v>1939</v>
      </c>
      <c r="D683" s="1" t="s">
        <v>1940</v>
      </c>
      <c r="E683" s="2">
        <v>45840.0</v>
      </c>
      <c r="F683" s="1" t="s">
        <v>68</v>
      </c>
      <c r="G683" s="1" t="s">
        <v>597</v>
      </c>
      <c r="H683" s="1" t="s">
        <v>598</v>
      </c>
      <c r="I683" s="1">
        <v>274.0</v>
      </c>
      <c r="J683" s="1" t="s">
        <v>24</v>
      </c>
      <c r="K683" s="1">
        <v>274.0</v>
      </c>
      <c r="L683" s="1">
        <v>42.0</v>
      </c>
      <c r="M683" s="1">
        <v>232.0</v>
      </c>
      <c r="N683" s="1">
        <v>14.0</v>
      </c>
      <c r="O683" s="1" t="s">
        <v>1364</v>
      </c>
      <c r="P683" s="3" t="str">
        <f>HYPERLINK("https://icf.clappia.com/app/SOM165486/submission/TUN70177714/ICF247370-SOM165486-35flljcjfn7i00000000/SIG-20250630_173713d6if.jpeg", "SIG-20250630_173713d6if.jpeg")</f>
        <v>SIG-20250630_173713d6if.jpeg</v>
      </c>
      <c r="Q683" s="3" t="str">
        <f>HYPERLINK("https://www.google.com/maps/place/8.6619517%2C-12.2437033", "8.6619517,-12.2437033")</f>
        <v>8.6619517,-12.2437033</v>
      </c>
    </row>
    <row r="684" ht="15.75" customHeight="1">
      <c r="A684" s="1" t="s">
        <v>1941</v>
      </c>
      <c r="B684" s="1" t="s">
        <v>18</v>
      </c>
      <c r="C684" s="1" t="s">
        <v>1942</v>
      </c>
      <c r="D684" s="1" t="s">
        <v>1943</v>
      </c>
      <c r="E684" s="2">
        <v>45838.0</v>
      </c>
      <c r="F684" s="1" t="s">
        <v>21</v>
      </c>
      <c r="G684" s="1" t="s">
        <v>275</v>
      </c>
      <c r="H684" s="1" t="s">
        <v>294</v>
      </c>
      <c r="I684" s="1">
        <v>239.0</v>
      </c>
      <c r="J684" s="1" t="s">
        <v>24</v>
      </c>
      <c r="K684" s="1">
        <v>239.0</v>
      </c>
      <c r="L684" s="1">
        <v>226.0</v>
      </c>
      <c r="M684" s="1">
        <v>13.0</v>
      </c>
      <c r="N684" s="1">
        <v>13.0</v>
      </c>
      <c r="O684" s="1" t="s">
        <v>1944</v>
      </c>
      <c r="P684" s="3" t="str">
        <f>HYPERLINK("https://icf.clappia.com/app/SOM165486/submission/CVN26325553/ICF247370-SOM165486-2kdgl3lkoho40000000/SIG-20250630_1331nhkb8.jpeg", "SIG-20250630_1331nhkb8.jpeg")</f>
        <v>SIG-20250630_1331nhkb8.jpeg</v>
      </c>
      <c r="Q684" s="3" t="str">
        <f t="shared" ref="Q684:Q685" si="10">HYPERLINK("https://www.google.com/maps/place/7.6683981%2C-11.861433", "7.6683981,-11.861433")</f>
        <v>7.6683981,-11.861433</v>
      </c>
    </row>
    <row r="685" ht="15.75" customHeight="1">
      <c r="A685" s="1" t="s">
        <v>1945</v>
      </c>
      <c r="B685" s="1" t="s">
        <v>18</v>
      </c>
      <c r="C685" s="1" t="s">
        <v>1946</v>
      </c>
      <c r="D685" s="1" t="s">
        <v>1943</v>
      </c>
      <c r="E685" s="2">
        <v>45838.0</v>
      </c>
      <c r="F685" s="1" t="s">
        <v>21</v>
      </c>
      <c r="G685" s="1" t="s">
        <v>275</v>
      </c>
      <c r="H685" s="1" t="s">
        <v>294</v>
      </c>
      <c r="I685" s="1">
        <v>1089.0</v>
      </c>
      <c r="J685" s="1" t="s">
        <v>24</v>
      </c>
      <c r="K685" s="1">
        <v>1089.0</v>
      </c>
      <c r="L685" s="1">
        <v>239.0</v>
      </c>
      <c r="M685" s="1">
        <v>850.0</v>
      </c>
      <c r="N685" s="1">
        <v>1.0</v>
      </c>
      <c r="O685" s="1" t="s">
        <v>1947</v>
      </c>
      <c r="P685" s="3" t="str">
        <f>HYPERLINK("https://icf.clappia.com/app/SOM165486/submission/KQO66587586/ICF247370-SOM165486-5m1ojmhfo2gg0000000/SIG-20250630_1316nbdbj.jpeg", "SIG-20250630_1316nbdbj.jpeg")</f>
        <v>SIG-20250630_1316nbdbj.jpeg</v>
      </c>
      <c r="Q685" s="3" t="str">
        <f t="shared" si="10"/>
        <v>7.6683981,-11.861433</v>
      </c>
    </row>
    <row r="686" ht="15.75" customHeight="1">
      <c r="A686" s="1" t="s">
        <v>1948</v>
      </c>
      <c r="B686" s="1" t="s">
        <v>18</v>
      </c>
      <c r="C686" s="1" t="s">
        <v>1949</v>
      </c>
      <c r="D686" s="1" t="s">
        <v>1949</v>
      </c>
      <c r="E686" s="2">
        <v>45840.0</v>
      </c>
      <c r="F686" s="1" t="s">
        <v>68</v>
      </c>
      <c r="G686" s="1" t="s">
        <v>88</v>
      </c>
      <c r="H686" s="1" t="s">
        <v>1314</v>
      </c>
      <c r="I686" s="1">
        <v>50.0</v>
      </c>
      <c r="J686" s="1" t="s">
        <v>24</v>
      </c>
      <c r="K686" s="1">
        <v>50.0</v>
      </c>
      <c r="L686" s="1">
        <v>47.0</v>
      </c>
      <c r="M686" s="1">
        <v>3.0</v>
      </c>
      <c r="N686" s="1">
        <v>3.0</v>
      </c>
      <c r="O686" s="1" t="s">
        <v>1950</v>
      </c>
      <c r="P686" s="3" t="str">
        <f>HYPERLINK("https://icf.clappia.com/app/SOM165486/submission/MVW33723475/ICF247370-SOM165486-cinlomhc82na0000000/SIG-20250702_0940ak4k2.jpeg", "SIG-20250702_0940ak4k2.jpeg")</f>
        <v>SIG-20250702_0940ak4k2.jpeg</v>
      </c>
      <c r="Q686" s="3" t="str">
        <f>HYPERLINK("https://www.google.com/maps/place/8.8732343%2C-12.0352363", "8.8732343,-12.0352363")</f>
        <v>8.8732343,-12.0352363</v>
      </c>
    </row>
    <row r="687" ht="15.75" customHeight="1">
      <c r="A687" s="1" t="s">
        <v>1951</v>
      </c>
      <c r="B687" s="1" t="s">
        <v>18</v>
      </c>
      <c r="C687" s="1" t="s">
        <v>1952</v>
      </c>
      <c r="D687" s="1" t="s">
        <v>1952</v>
      </c>
      <c r="E687" s="2">
        <v>45840.0</v>
      </c>
      <c r="F687" s="1" t="s">
        <v>68</v>
      </c>
      <c r="G687" s="1" t="s">
        <v>286</v>
      </c>
      <c r="H687" s="1" t="s">
        <v>320</v>
      </c>
      <c r="I687" s="1">
        <v>107.0</v>
      </c>
      <c r="J687" s="1" t="s">
        <v>24</v>
      </c>
      <c r="K687" s="1">
        <v>107.0</v>
      </c>
      <c r="L687" s="1">
        <v>97.0</v>
      </c>
      <c r="M687" s="1">
        <v>10.0</v>
      </c>
      <c r="N687" s="1">
        <v>10.0</v>
      </c>
      <c r="O687" s="1" t="s">
        <v>1953</v>
      </c>
      <c r="P687" s="3" t="str">
        <f>HYPERLINK("https://icf.clappia.com/app/SOM165486/submission/GWB88638769/ICF247370-SOM165486-1hpc71h08p21m0000000/SIG-20250702_100715fo4c.jpeg", "SIG-20250702_100715fo4c.jpeg")</f>
        <v>SIG-20250702_100715fo4c.jpeg</v>
      </c>
      <c r="Q687" s="3" t="str">
        <f>HYPERLINK("https://www.google.com/maps/place/9.0316638%2C-12.1602343", "9.0316638,-12.1602343")</f>
        <v>9.0316638,-12.1602343</v>
      </c>
    </row>
    <row r="688" ht="15.75" customHeight="1">
      <c r="A688" s="1" t="s">
        <v>1954</v>
      </c>
      <c r="B688" s="1" t="s">
        <v>18</v>
      </c>
      <c r="C688" s="1" t="s">
        <v>1955</v>
      </c>
      <c r="D688" s="1" t="s">
        <v>1955</v>
      </c>
      <c r="E688" s="2">
        <v>45840.0</v>
      </c>
      <c r="F688" s="1" t="s">
        <v>68</v>
      </c>
      <c r="G688" s="1" t="s">
        <v>597</v>
      </c>
      <c r="H688" s="1" t="s">
        <v>598</v>
      </c>
      <c r="I688" s="1">
        <v>100.0</v>
      </c>
      <c r="J688" s="1" t="s">
        <v>24</v>
      </c>
      <c r="K688" s="1">
        <v>100.0</v>
      </c>
      <c r="L688" s="1">
        <v>100.0</v>
      </c>
      <c r="M688" s="1" t="s">
        <v>24</v>
      </c>
      <c r="N688" s="1" t="s">
        <v>24</v>
      </c>
      <c r="O688" s="1" t="s">
        <v>1367</v>
      </c>
      <c r="P688" s="3" t="str">
        <f>HYPERLINK("https://icf.clappia.com/app/SOM165486/submission/RWB56694653/ICF247370-SOM165486-57gp87hj818000000000/SIG-20250702_1006139n99.jpeg", "SIG-20250702_1006139n99.jpeg")</f>
        <v>SIG-20250702_1006139n99.jpeg</v>
      </c>
      <c r="Q688" s="3" t="str">
        <f>HYPERLINK("https://www.google.com/maps/place/8.7013567%2C-12.2336533", "8.7013567,-12.2336533")</f>
        <v>8.7013567,-12.2336533</v>
      </c>
    </row>
    <row r="689" ht="15.75" customHeight="1">
      <c r="A689" s="1" t="s">
        <v>1956</v>
      </c>
      <c r="B689" s="1" t="s">
        <v>18</v>
      </c>
      <c r="C689" s="1" t="s">
        <v>1957</v>
      </c>
      <c r="D689" s="1" t="s">
        <v>1957</v>
      </c>
      <c r="E689" s="2">
        <v>45840.0</v>
      </c>
      <c r="F689" s="1" t="s">
        <v>21</v>
      </c>
      <c r="G689" s="1" t="s">
        <v>781</v>
      </c>
      <c r="H689" s="1" t="s">
        <v>1355</v>
      </c>
      <c r="I689" s="1">
        <v>300.0</v>
      </c>
      <c r="J689" s="1" t="s">
        <v>24</v>
      </c>
      <c r="K689" s="1">
        <v>300.0</v>
      </c>
      <c r="L689" s="1">
        <v>110.0</v>
      </c>
      <c r="M689" s="1">
        <v>190.0</v>
      </c>
      <c r="N689" s="1">
        <v>190.0</v>
      </c>
      <c r="O689" s="1" t="s">
        <v>1356</v>
      </c>
      <c r="P689" s="3" t="str">
        <f>HYPERLINK("https://icf.clappia.com/app/SOM165486/submission/JOT40641278/ICF247370-SOM165486-22hh193me4h4k0000000/SIG-20250702_1001g93b7.jpeg", "SIG-20250702_1001g93b7.jpeg")</f>
        <v>SIG-20250702_1001g93b7.jpeg</v>
      </c>
      <c r="Q689" s="3" t="str">
        <f>HYPERLINK("https://www.google.com/maps/place/7.8253867%2C-11.56814", "7.8253867,-11.56814")</f>
        <v>7.8253867,-11.56814</v>
      </c>
    </row>
    <row r="690" ht="15.75" customHeight="1">
      <c r="A690" s="1" t="s">
        <v>1958</v>
      </c>
      <c r="B690" s="1" t="s">
        <v>18</v>
      </c>
      <c r="C690" s="1" t="s">
        <v>1959</v>
      </c>
      <c r="D690" s="1" t="s">
        <v>1959</v>
      </c>
      <c r="E690" s="2">
        <v>45840.0</v>
      </c>
      <c r="F690" s="1" t="s">
        <v>21</v>
      </c>
      <c r="G690" s="1" t="s">
        <v>95</v>
      </c>
      <c r="H690" s="1" t="s">
        <v>995</v>
      </c>
      <c r="I690" s="1">
        <v>100.0</v>
      </c>
      <c r="J690" s="1">
        <v>18.0</v>
      </c>
      <c r="K690" s="1">
        <v>118.0</v>
      </c>
      <c r="L690" s="1">
        <v>118.0</v>
      </c>
      <c r="M690" s="1" t="s">
        <v>24</v>
      </c>
      <c r="N690" s="1" t="s">
        <v>24</v>
      </c>
      <c r="O690" s="1" t="s">
        <v>1960</v>
      </c>
      <c r="P690" s="3" t="str">
        <f>HYPERLINK("https://icf.clappia.com/app/SOM165486/submission/YZJ67185030/ICF247370-SOM165486-124hp064j1j3e0000000/SIG-20250702_09578m7d2.jpeg", "SIG-20250702_09578m7d2.jpeg")</f>
        <v>SIG-20250702_09578m7d2.jpeg</v>
      </c>
      <c r="Q690" s="3" t="str">
        <f>HYPERLINK("https://www.google.com/maps/place/7.9776683%2C-11.5935867", "7.9776683,-11.5935867")</f>
        <v>7.9776683,-11.5935867</v>
      </c>
    </row>
    <row r="691" ht="15.75" customHeight="1">
      <c r="A691" s="1" t="s">
        <v>1961</v>
      </c>
      <c r="B691" s="1" t="s">
        <v>18</v>
      </c>
      <c r="C691" s="1" t="s">
        <v>1962</v>
      </c>
      <c r="D691" s="1" t="s">
        <v>1963</v>
      </c>
      <c r="E691" s="2">
        <v>45840.0</v>
      </c>
      <c r="F691" s="1" t="s">
        <v>21</v>
      </c>
      <c r="G691" s="1" t="s">
        <v>95</v>
      </c>
      <c r="H691" s="1" t="s">
        <v>995</v>
      </c>
      <c r="I691" s="1">
        <v>275.0</v>
      </c>
      <c r="J691" s="1" t="s">
        <v>24</v>
      </c>
      <c r="K691" s="1">
        <v>275.0</v>
      </c>
      <c r="L691" s="1">
        <v>275.0</v>
      </c>
      <c r="M691" s="1" t="s">
        <v>24</v>
      </c>
      <c r="N691" s="1" t="s">
        <v>24</v>
      </c>
      <c r="O691" s="1" t="s">
        <v>1433</v>
      </c>
      <c r="P691" s="3" t="str">
        <f>HYPERLINK("https://icf.clappia.com/app/SOM165486/submission/ERJ78657310/ICF247370-SOM165486-689mdmn2mn2800000000/SIG-20250702_0956eh0fm.jpeg", "SIG-20250702_0956eh0fm.jpeg")</f>
        <v>SIG-20250702_0956eh0fm.jpeg</v>
      </c>
      <c r="Q691" s="3" t="str">
        <f>HYPERLINK("https://www.google.com/maps/place/7.9775933%2C-11.5932783", "7.9775933,-11.5932783")</f>
        <v>7.9775933,-11.5932783</v>
      </c>
    </row>
    <row r="692" ht="15.75" customHeight="1">
      <c r="A692" s="1" t="s">
        <v>1964</v>
      </c>
      <c r="B692" s="1" t="s">
        <v>18</v>
      </c>
      <c r="C692" s="1" t="s">
        <v>1965</v>
      </c>
      <c r="D692" s="1" t="s">
        <v>1965</v>
      </c>
      <c r="E692" s="2">
        <v>45840.0</v>
      </c>
      <c r="F692" s="1" t="s">
        <v>68</v>
      </c>
      <c r="G692" s="1" t="s">
        <v>88</v>
      </c>
      <c r="H692" s="1" t="s">
        <v>1314</v>
      </c>
      <c r="I692" s="1">
        <v>158.0</v>
      </c>
      <c r="J692" s="1" t="s">
        <v>24</v>
      </c>
      <c r="K692" s="1">
        <v>158.0</v>
      </c>
      <c r="L692" s="1">
        <v>89.0</v>
      </c>
      <c r="M692" s="1">
        <v>69.0</v>
      </c>
      <c r="N692" s="1">
        <v>69.0</v>
      </c>
      <c r="O692" s="1" t="s">
        <v>1364</v>
      </c>
      <c r="P692" s="3" t="str">
        <f>HYPERLINK("https://icf.clappia.com/app/SOM165486/submission/JXC91732661/ICF247370-SOM165486-41f7kpdn8n5800000000/SIG-20250702_0933189ejo.jpeg", "SIG-20250702_0933189ejo.jpeg")</f>
        <v>SIG-20250702_0933189ejo.jpeg</v>
      </c>
      <c r="Q692" s="3" t="str">
        <f>HYPERLINK("https://www.google.com/maps/place/8.8788673%2C-12.0320634", "8.8788673,-12.0320634")</f>
        <v>8.8788673,-12.0320634</v>
      </c>
    </row>
    <row r="693" ht="15.75" customHeight="1">
      <c r="A693" s="1" t="s">
        <v>1966</v>
      </c>
      <c r="B693" s="1" t="s">
        <v>18</v>
      </c>
      <c r="C693" s="1" t="s">
        <v>1967</v>
      </c>
      <c r="D693" s="1" t="s">
        <v>1967</v>
      </c>
      <c r="E693" s="2">
        <v>45840.0</v>
      </c>
      <c r="F693" s="1" t="s">
        <v>21</v>
      </c>
      <c r="G693" s="1" t="s">
        <v>95</v>
      </c>
      <c r="H693" s="1" t="s">
        <v>995</v>
      </c>
      <c r="I693" s="1">
        <v>171.0</v>
      </c>
      <c r="J693" s="1" t="s">
        <v>24</v>
      </c>
      <c r="K693" s="1">
        <v>171.0</v>
      </c>
      <c r="L693" s="1">
        <v>171.0</v>
      </c>
      <c r="M693" s="1" t="s">
        <v>24</v>
      </c>
      <c r="N693" s="1" t="s">
        <v>24</v>
      </c>
      <c r="O693" s="1" t="s">
        <v>1968</v>
      </c>
      <c r="P693" s="3" t="str">
        <f>HYPERLINK("https://icf.clappia.com/app/SOM165486/submission/CUD50020388/ICF247370-SOM165486-697kcp5k8h1a00000000/SIG-20250702_095319c6cl.jpeg", "SIG-20250702_095319c6cl.jpeg")</f>
        <v>SIG-20250702_095319c6cl.jpeg</v>
      </c>
      <c r="Q693" s="3" t="str">
        <f>HYPERLINK("https://www.google.com/maps/place/7.97794%2C-11.5938267", "7.97794,-11.5938267")</f>
        <v>7.97794,-11.5938267</v>
      </c>
    </row>
    <row r="694" ht="15.75" customHeight="1">
      <c r="A694" s="1" t="s">
        <v>1969</v>
      </c>
      <c r="B694" s="1" t="s">
        <v>18</v>
      </c>
      <c r="C694" s="1" t="s">
        <v>1186</v>
      </c>
      <c r="D694" s="1" t="s">
        <v>1186</v>
      </c>
      <c r="E694" s="2">
        <v>45809.0</v>
      </c>
      <c r="F694" s="1" t="s">
        <v>21</v>
      </c>
      <c r="G694" s="1" t="s">
        <v>164</v>
      </c>
      <c r="H694" s="1" t="s">
        <v>1970</v>
      </c>
      <c r="I694" s="1">
        <v>176.0</v>
      </c>
      <c r="J694" s="1" t="s">
        <v>24</v>
      </c>
      <c r="K694" s="1">
        <v>176.0</v>
      </c>
      <c r="L694" s="1">
        <v>148.0</v>
      </c>
      <c r="M694" s="1">
        <v>28.0</v>
      </c>
      <c r="N694" s="1">
        <v>28.0</v>
      </c>
      <c r="O694" s="1" t="s">
        <v>1971</v>
      </c>
      <c r="P694" s="3" t="str">
        <f>HYPERLINK("https://icf.clappia.com/app/SOM165486/submission/CZQ83252071/ICF247370-SOM165486-2634n205nm1i80000000/SIG-20250702_0949dl4do.jpeg", "SIG-20250702_0949dl4do.jpeg")</f>
        <v>SIG-20250702_0949dl4do.jpeg</v>
      </c>
      <c r="Q694" s="3" t="str">
        <f>HYPERLINK("https://www.google.com/maps/place/7.967375%2C-12.0235667", "7.967375,-12.0235667")</f>
        <v>7.967375,-12.0235667</v>
      </c>
    </row>
    <row r="695" ht="15.75" customHeight="1">
      <c r="A695" s="1" t="s">
        <v>1972</v>
      </c>
      <c r="B695" s="1" t="s">
        <v>18</v>
      </c>
      <c r="C695" s="1" t="s">
        <v>1973</v>
      </c>
      <c r="D695" s="1" t="s">
        <v>1974</v>
      </c>
      <c r="E695" s="2">
        <v>45840.0</v>
      </c>
      <c r="F695" s="1" t="s">
        <v>68</v>
      </c>
      <c r="G695" s="1" t="s">
        <v>597</v>
      </c>
      <c r="H695" s="1" t="s">
        <v>1975</v>
      </c>
      <c r="I695" s="1">
        <v>200.0</v>
      </c>
      <c r="J695" s="1" t="s">
        <v>24</v>
      </c>
      <c r="K695" s="1">
        <v>200.0</v>
      </c>
      <c r="L695" s="1">
        <v>174.0</v>
      </c>
      <c r="M695" s="1">
        <v>26.0</v>
      </c>
      <c r="N695" s="1">
        <v>26.0</v>
      </c>
      <c r="O695" s="1" t="s">
        <v>1976</v>
      </c>
      <c r="P695" s="3" t="str">
        <f>HYPERLINK("https://icf.clappia.com/app/SOM165486/submission/DLN57997197/ICF247370-SOM165486-1e91l56j8f2ic0000000/SIG-20250702_0931d3ol0.jpeg", "SIG-20250702_0931d3ol0.jpeg")</f>
        <v>SIG-20250702_0931d3ol0.jpeg</v>
      </c>
      <c r="Q695" s="3" t="str">
        <f>HYPERLINK("https://www.google.com/maps/place/8.6447582%2C-12.2284133", "8.6447582,-12.2284133")</f>
        <v>8.6447582,-12.2284133</v>
      </c>
    </row>
    <row r="696" ht="15.75" customHeight="1">
      <c r="A696" s="1" t="s">
        <v>1977</v>
      </c>
      <c r="B696" s="1" t="s">
        <v>283</v>
      </c>
      <c r="C696" s="1" t="s">
        <v>1978</v>
      </c>
      <c r="D696" s="1" t="s">
        <v>1979</v>
      </c>
      <c r="E696" s="2">
        <v>45840.0</v>
      </c>
      <c r="F696" s="1" t="s">
        <v>21</v>
      </c>
      <c r="G696" s="1" t="s">
        <v>421</v>
      </c>
      <c r="H696" s="1" t="s">
        <v>422</v>
      </c>
      <c r="I696" s="1">
        <v>84.0</v>
      </c>
      <c r="J696" s="1" t="s">
        <v>24</v>
      </c>
      <c r="K696" s="1">
        <v>84.0</v>
      </c>
      <c r="L696" s="1">
        <v>11.0</v>
      </c>
      <c r="M696" s="1">
        <v>73.0</v>
      </c>
      <c r="N696" s="1">
        <v>73.0</v>
      </c>
      <c r="O696" s="1" t="s">
        <v>1980</v>
      </c>
      <c r="P696" s="3" t="str">
        <f>HYPERLINK("https://icf.clappia.com/app/SOM165486/submission/BTS16425522/ICF247370-SOM165486-4p9bh8fmcb0c00000000/SIG-20250702_09261e9if.jpeg", "SIG-20250702_09261e9if.jpeg")</f>
        <v>SIG-20250702_09261e9if.jpeg</v>
      </c>
      <c r="Q696" s="3" t="str">
        <f>HYPERLINK("https://www.google.com/maps/place/8.0647983%2C-11.5868268", "8.0647983,-11.5868268")</f>
        <v>8.0647983,-11.5868268</v>
      </c>
    </row>
    <row r="697" ht="15.75" customHeight="1">
      <c r="A697" s="1" t="s">
        <v>1981</v>
      </c>
      <c r="B697" s="1" t="s">
        <v>18</v>
      </c>
      <c r="C697" s="1" t="s">
        <v>1982</v>
      </c>
      <c r="D697" s="1" t="s">
        <v>1982</v>
      </c>
      <c r="E697" s="2">
        <v>45839.0</v>
      </c>
      <c r="F697" s="1" t="s">
        <v>68</v>
      </c>
      <c r="G697" s="1" t="s">
        <v>592</v>
      </c>
      <c r="H697" s="1" t="s">
        <v>593</v>
      </c>
      <c r="I697" s="1">
        <v>75.0</v>
      </c>
      <c r="J697" s="1" t="s">
        <v>24</v>
      </c>
      <c r="K697" s="1">
        <v>75.0</v>
      </c>
      <c r="L697" s="1">
        <v>75.0</v>
      </c>
      <c r="M697" s="1" t="s">
        <v>24</v>
      </c>
      <c r="N697" s="1" t="s">
        <v>24</v>
      </c>
      <c r="O697" s="1" t="s">
        <v>1696</v>
      </c>
      <c r="P697" s="3" t="str">
        <f>HYPERLINK("https://icf.clappia.com/app/SOM165486/submission/QTS86035468/ICF247370-SOM165486-4ha98nh2nj8m00000000/SIG-20250702_09246lepl.jpeg", "SIG-20250702_09246lepl.jpeg")</f>
        <v>SIG-20250702_09246lepl.jpeg</v>
      </c>
      <c r="Q697" s="3" t="str">
        <f>HYPERLINK("https://www.google.com/maps/place/8.9193417%2C-12.0307817", "8.9193417,-12.0307817")</f>
        <v>8.9193417,-12.0307817</v>
      </c>
    </row>
    <row r="698" ht="15.75" customHeight="1">
      <c r="A698" s="1" t="s">
        <v>1983</v>
      </c>
      <c r="B698" s="1" t="s">
        <v>18</v>
      </c>
      <c r="C698" s="1" t="s">
        <v>1984</v>
      </c>
      <c r="D698" s="1" t="s">
        <v>1984</v>
      </c>
      <c r="E698" s="2">
        <v>45840.0</v>
      </c>
      <c r="F698" s="1" t="s">
        <v>68</v>
      </c>
      <c r="G698" s="1" t="s">
        <v>630</v>
      </c>
      <c r="H698" s="1" t="s">
        <v>1985</v>
      </c>
      <c r="I698" s="1">
        <v>55.0</v>
      </c>
      <c r="J698" s="1" t="s">
        <v>24</v>
      </c>
      <c r="K698" s="1">
        <v>55.0</v>
      </c>
      <c r="L698" s="1">
        <v>50.0</v>
      </c>
      <c r="M698" s="1">
        <v>5.0</v>
      </c>
      <c r="N698" s="1">
        <v>5.0</v>
      </c>
      <c r="O698" s="1" t="s">
        <v>1986</v>
      </c>
      <c r="P698" s="3" t="str">
        <f>HYPERLINK("https://icf.clappia.com/app/SOM165486/submission/ZCI12545774/ICF247370-SOM165486-580lb5n7ec8000000000/SIG-20250701_2024mjjnm.jpeg", "SIG-20250701_2024mjjnm.jpeg")</f>
        <v>SIG-20250701_2024mjjnm.jpeg</v>
      </c>
      <c r="Q698" s="3" t="str">
        <f>HYPERLINK("https://www.google.com/maps/place/9.2600467%2C-12.209335", "9.2600467,-12.209335")</f>
        <v>9.2600467,-12.209335</v>
      </c>
    </row>
    <row r="699" ht="15.75" customHeight="1">
      <c r="A699" s="1" t="s">
        <v>1987</v>
      </c>
      <c r="B699" s="1" t="s">
        <v>18</v>
      </c>
      <c r="C699" s="1" t="s">
        <v>1988</v>
      </c>
      <c r="D699" s="1" t="s">
        <v>1988</v>
      </c>
      <c r="E699" s="2">
        <v>45838.0</v>
      </c>
      <c r="F699" s="1" t="s">
        <v>21</v>
      </c>
      <c r="G699" s="1" t="s">
        <v>77</v>
      </c>
      <c r="H699" s="1" t="s">
        <v>759</v>
      </c>
      <c r="I699" s="1">
        <v>150.0</v>
      </c>
      <c r="J699" s="1">
        <v>205.0</v>
      </c>
      <c r="K699" s="1">
        <v>355.0</v>
      </c>
      <c r="L699" s="1">
        <v>355.0</v>
      </c>
      <c r="M699" s="1" t="s">
        <v>24</v>
      </c>
      <c r="N699" s="1" t="s">
        <v>24</v>
      </c>
      <c r="O699" s="1" t="s">
        <v>1532</v>
      </c>
      <c r="P699" s="3" t="str">
        <f>HYPERLINK("https://icf.clappia.com/app/SOM165486/submission/JZY07903353/ICF247370-SOM165486-3ma0jm0g3lda00000000/SIG-20250630_10581108f6.jpeg", "SIG-20250630_10581108f6.jpeg")</f>
        <v>SIG-20250630_10581108f6.jpeg</v>
      </c>
      <c r="Q699" s="3" t="str">
        <f>HYPERLINK("https://www.google.com/maps/place/7.9474517%2C-11.7571383", "7.9474517,-11.7571383")</f>
        <v>7.9474517,-11.7571383</v>
      </c>
    </row>
    <row r="700" ht="15.75" customHeight="1">
      <c r="A700" s="1" t="s">
        <v>1989</v>
      </c>
      <c r="B700" s="1" t="s">
        <v>18</v>
      </c>
      <c r="C700" s="1" t="s">
        <v>1990</v>
      </c>
      <c r="D700" s="1" t="s">
        <v>1990</v>
      </c>
      <c r="E700" s="2">
        <v>45839.0</v>
      </c>
      <c r="F700" s="1" t="s">
        <v>21</v>
      </c>
      <c r="G700" s="1" t="s">
        <v>164</v>
      </c>
      <c r="H700" s="1" t="s">
        <v>887</v>
      </c>
      <c r="I700" s="1">
        <v>157.0</v>
      </c>
      <c r="J700" s="1" t="s">
        <v>24</v>
      </c>
      <c r="K700" s="1">
        <v>157.0</v>
      </c>
      <c r="L700" s="1">
        <v>157.0</v>
      </c>
      <c r="M700" s="1" t="s">
        <v>24</v>
      </c>
      <c r="N700" s="1" t="s">
        <v>24</v>
      </c>
      <c r="O700" s="1" t="s">
        <v>1991</v>
      </c>
      <c r="P700" s="3" t="str">
        <f>HYPERLINK("https://icf.clappia.com/app/SOM165486/submission/MUY88542381/ICF247370-SOM165486-29c11n3ni754c0000000/SIG-20250702_09001039jp.jpeg", "SIG-20250702_09001039jp.jpeg")</f>
        <v>SIG-20250702_09001039jp.jpeg</v>
      </c>
      <c r="Q700" s="3" t="str">
        <f>HYPERLINK("https://www.google.com/maps/place/7.8912396%2C-11.9025396", "7.8912396,-11.9025396")</f>
        <v>7.8912396,-11.9025396</v>
      </c>
    </row>
    <row r="701" ht="15.75" customHeight="1">
      <c r="A701" s="1" t="s">
        <v>1992</v>
      </c>
      <c r="B701" s="1" t="s">
        <v>18</v>
      </c>
      <c r="C701" s="1" t="s">
        <v>1993</v>
      </c>
      <c r="D701" s="1" t="s">
        <v>1993</v>
      </c>
      <c r="E701" s="2">
        <v>45868.0</v>
      </c>
      <c r="F701" s="1" t="s">
        <v>21</v>
      </c>
      <c r="G701" s="1" t="s">
        <v>164</v>
      </c>
      <c r="H701" s="1" t="s">
        <v>887</v>
      </c>
      <c r="I701" s="1">
        <v>190.0</v>
      </c>
      <c r="J701" s="1" t="s">
        <v>24</v>
      </c>
      <c r="K701" s="1">
        <v>190.0</v>
      </c>
      <c r="L701" s="1">
        <v>51.0</v>
      </c>
      <c r="M701" s="1">
        <v>139.0</v>
      </c>
      <c r="N701" s="1">
        <v>51.0</v>
      </c>
      <c r="O701" s="1" t="s">
        <v>1991</v>
      </c>
      <c r="P701" s="3" t="str">
        <f>HYPERLINK("https://icf.clappia.com/app/SOM165486/submission/MFY47959900/ICF247370-SOM165486-5piki4n16h6g00000000/SIG-20250702_0855opod0.jpeg", "SIG-20250702_0855opod0.jpeg")</f>
        <v>SIG-20250702_0855opod0.jpeg</v>
      </c>
      <c r="Q701" s="3" t="str">
        <f>HYPERLINK("https://www.google.com/maps/place/7.8923233%2C-11.8996877", "7.8923233,-11.8996877")</f>
        <v>7.8923233,-11.8996877</v>
      </c>
    </row>
    <row r="702" ht="15.75" customHeight="1">
      <c r="A702" s="1" t="s">
        <v>1994</v>
      </c>
      <c r="B702" s="1" t="s">
        <v>18</v>
      </c>
      <c r="C702" s="1" t="s">
        <v>1995</v>
      </c>
      <c r="D702" s="1" t="s">
        <v>1995</v>
      </c>
      <c r="E702" s="2">
        <v>45840.0</v>
      </c>
      <c r="F702" s="1" t="s">
        <v>21</v>
      </c>
      <c r="G702" s="1" t="s">
        <v>781</v>
      </c>
      <c r="H702" s="1" t="s">
        <v>1996</v>
      </c>
      <c r="I702" s="1">
        <v>127.0</v>
      </c>
      <c r="J702" s="1" t="s">
        <v>24</v>
      </c>
      <c r="K702" s="1">
        <v>127.0</v>
      </c>
      <c r="L702" s="1">
        <v>127.0</v>
      </c>
      <c r="M702" s="1" t="s">
        <v>24</v>
      </c>
      <c r="N702" s="1" t="s">
        <v>24</v>
      </c>
      <c r="O702" s="1" t="s">
        <v>1997</v>
      </c>
      <c r="P702" s="3" t="str">
        <f>HYPERLINK("https://icf.clappia.com/app/SOM165486/submission/VZU87598630/ICF247370-SOM165486-289jm073ff0d60000000/SIG-20250702_0822gj1h.jpeg", "SIG-20250702_0822gj1h.jpeg")</f>
        <v>SIG-20250702_0822gj1h.jpeg</v>
      </c>
      <c r="Q702" s="3" t="str">
        <f>HYPERLINK("https://www.google.com/maps/place/7.973505%2C-11.4881317", "7.973505,-11.4881317")</f>
        <v>7.973505,-11.4881317</v>
      </c>
    </row>
    <row r="703" ht="15.75" customHeight="1">
      <c r="A703" s="1" t="s">
        <v>1998</v>
      </c>
      <c r="B703" s="1" t="s">
        <v>18</v>
      </c>
      <c r="C703" s="1" t="s">
        <v>1999</v>
      </c>
      <c r="D703" s="1" t="s">
        <v>1999</v>
      </c>
      <c r="E703" s="2">
        <v>45839.0</v>
      </c>
      <c r="F703" s="1" t="s">
        <v>21</v>
      </c>
      <c r="G703" s="1" t="s">
        <v>781</v>
      </c>
      <c r="H703" s="1" t="s">
        <v>2000</v>
      </c>
      <c r="I703" s="1">
        <v>150.0</v>
      </c>
      <c r="J703" s="1" t="s">
        <v>24</v>
      </c>
      <c r="K703" s="1">
        <v>150.0</v>
      </c>
      <c r="L703" s="1">
        <v>146.0</v>
      </c>
      <c r="M703" s="1">
        <v>4.0</v>
      </c>
      <c r="N703" s="1" t="s">
        <v>24</v>
      </c>
      <c r="O703" s="1" t="s">
        <v>2001</v>
      </c>
      <c r="P703" s="3" t="str">
        <f>HYPERLINK("https://icf.clappia.com/app/SOM165486/submission/OCQ31393571/ICF247370-SOM165486-3p94me2gke1i00000000/SIG-20250702_080613g1o9.jpeg", "SIG-20250702_080613g1o9.jpeg")</f>
        <v>SIG-20250702_080613g1o9.jpeg</v>
      </c>
      <c r="Q703" s="3" t="str">
        <f>HYPERLINK("https://www.google.com/maps/place/7.9749833%2C-11.39415", "7.9749833,-11.39415")</f>
        <v>7.9749833,-11.39415</v>
      </c>
    </row>
    <row r="704" ht="15.75" customHeight="1">
      <c r="A704" s="1" t="s">
        <v>2002</v>
      </c>
      <c r="B704" s="1" t="s">
        <v>18</v>
      </c>
      <c r="C704" s="1" t="s">
        <v>2003</v>
      </c>
      <c r="D704" s="1" t="s">
        <v>2003</v>
      </c>
      <c r="E704" s="2">
        <v>45839.0</v>
      </c>
      <c r="F704" s="1" t="s">
        <v>21</v>
      </c>
      <c r="G704" s="1" t="s">
        <v>781</v>
      </c>
      <c r="H704" s="1" t="s">
        <v>2000</v>
      </c>
      <c r="I704" s="1">
        <v>150.0</v>
      </c>
      <c r="J704" s="1" t="s">
        <v>24</v>
      </c>
      <c r="K704" s="1">
        <v>150.0</v>
      </c>
      <c r="L704" s="1">
        <v>146.0</v>
      </c>
      <c r="M704" s="1">
        <v>4.0</v>
      </c>
      <c r="N704" s="1" t="s">
        <v>24</v>
      </c>
      <c r="O704" s="1" t="s">
        <v>2001</v>
      </c>
      <c r="P704" s="3" t="str">
        <f>HYPERLINK("https://icf.clappia.com/app/SOM165486/submission/KHL90023888/ICF247370-SOM165486-61kekfmj3cb600000000/SIG-20250702_075914pgkp.jpeg", "SIG-20250702_075914pgkp.jpeg")</f>
        <v>SIG-20250702_075914pgkp.jpeg</v>
      </c>
      <c r="Q704" s="3" t="str">
        <f>HYPERLINK("https://www.google.com/maps/place/7.9744%2C-11.3942483", "7.9744,-11.3942483")</f>
        <v>7.9744,-11.3942483</v>
      </c>
    </row>
    <row r="705" ht="15.75" customHeight="1">
      <c r="A705" s="1" t="s">
        <v>2004</v>
      </c>
      <c r="B705" s="1" t="s">
        <v>18</v>
      </c>
      <c r="C705" s="1" t="s">
        <v>2005</v>
      </c>
      <c r="D705" s="1" t="s">
        <v>2005</v>
      </c>
      <c r="E705" s="2">
        <v>45840.0</v>
      </c>
      <c r="F705" s="1" t="s">
        <v>21</v>
      </c>
      <c r="G705" s="1" t="s">
        <v>781</v>
      </c>
      <c r="H705" s="1" t="s">
        <v>2000</v>
      </c>
      <c r="I705" s="1">
        <v>150.0</v>
      </c>
      <c r="J705" s="1" t="s">
        <v>24</v>
      </c>
      <c r="K705" s="1">
        <v>150.0</v>
      </c>
      <c r="L705" s="1">
        <v>146.0</v>
      </c>
      <c r="M705" s="1">
        <v>4.0</v>
      </c>
      <c r="N705" s="1" t="s">
        <v>24</v>
      </c>
      <c r="O705" s="1" t="s">
        <v>2006</v>
      </c>
      <c r="P705" s="3" t="str">
        <f>HYPERLINK("https://icf.clappia.com/app/SOM165486/submission/GFI81479183/ICF247370-SOM165486-3pk5od53ae8c00000000/SIG-20250702_075716533.jpeg", "SIG-20250702_075716533.jpeg")</f>
        <v>SIG-20250702_075716533.jpeg</v>
      </c>
      <c r="Q705" s="3" t="str">
        <f>HYPERLINK("https://www.google.com/maps/place/7.9744917%2C-11.39426", "7.9744917,-11.39426")</f>
        <v>7.9744917,-11.39426</v>
      </c>
    </row>
    <row r="706" ht="15.75" customHeight="1">
      <c r="A706" s="1" t="s">
        <v>2007</v>
      </c>
      <c r="B706" s="1" t="s">
        <v>18</v>
      </c>
      <c r="C706" s="1" t="s">
        <v>2008</v>
      </c>
      <c r="D706" s="1" t="s">
        <v>2008</v>
      </c>
      <c r="E706" s="2">
        <v>45840.0</v>
      </c>
      <c r="F706" s="1" t="s">
        <v>21</v>
      </c>
      <c r="G706" s="1" t="s">
        <v>781</v>
      </c>
      <c r="H706" s="1" t="s">
        <v>1996</v>
      </c>
      <c r="I706" s="1">
        <v>103.0</v>
      </c>
      <c r="J706" s="1" t="s">
        <v>24</v>
      </c>
      <c r="K706" s="1">
        <v>103.0</v>
      </c>
      <c r="L706" s="1">
        <v>103.0</v>
      </c>
      <c r="M706" s="1" t="s">
        <v>24</v>
      </c>
      <c r="N706" s="1" t="s">
        <v>24</v>
      </c>
      <c r="O706" s="1" t="s">
        <v>1997</v>
      </c>
      <c r="P706" s="3" t="str">
        <f>HYPERLINK("https://icf.clappia.com/app/SOM165486/submission/ZTV40127490/ICF247370-SOM165486-l32cbj8k5clm0000000/SIG-20250702_07451lah.jpeg", "SIG-20250702_07451lah.jpeg")</f>
        <v>SIG-20250702_07451lah.jpeg</v>
      </c>
      <c r="Q706" s="3" t="str">
        <f>HYPERLINK("https://www.google.com/maps/place/7.9734883%2C-11.4881033", "7.9734883,-11.4881033")</f>
        <v>7.9734883,-11.4881033</v>
      </c>
    </row>
    <row r="707" ht="15.75" customHeight="1">
      <c r="A707" s="1" t="s">
        <v>2009</v>
      </c>
      <c r="B707" s="1" t="s">
        <v>18</v>
      </c>
      <c r="C707" s="1" t="s">
        <v>2010</v>
      </c>
      <c r="D707" s="1" t="s">
        <v>2010</v>
      </c>
      <c r="E707" s="2">
        <v>45840.0</v>
      </c>
      <c r="F707" s="1" t="s">
        <v>21</v>
      </c>
      <c r="G707" s="1" t="s">
        <v>781</v>
      </c>
      <c r="H707" s="1" t="s">
        <v>2000</v>
      </c>
      <c r="I707" s="1">
        <v>150.0</v>
      </c>
      <c r="J707" s="1" t="s">
        <v>24</v>
      </c>
      <c r="K707" s="1">
        <v>150.0</v>
      </c>
      <c r="L707" s="1">
        <v>146.0</v>
      </c>
      <c r="M707" s="1">
        <v>4.0</v>
      </c>
      <c r="N707" s="1" t="s">
        <v>24</v>
      </c>
      <c r="O707" s="1" t="s">
        <v>2001</v>
      </c>
      <c r="P707" s="3" t="str">
        <f>HYPERLINK("https://icf.clappia.com/app/SOM165486/submission/NTU36065096/ICF247370-SOM165486-3pb20l0450i600000000/SIG-20250702_073518fo2.jpeg", "SIG-20250702_073518fo2.jpeg")</f>
        <v>SIG-20250702_073518fo2.jpeg</v>
      </c>
      <c r="Q707" s="3" t="str">
        <f>HYPERLINK("https://www.google.com/maps/place/7.9748067%2C-11.3942817", "7.9748067,-11.3942817")</f>
        <v>7.9748067,-11.3942817</v>
      </c>
    </row>
    <row r="708" ht="15.75" customHeight="1">
      <c r="A708" s="1" t="s">
        <v>2011</v>
      </c>
      <c r="B708" s="1" t="s">
        <v>18</v>
      </c>
      <c r="C708" s="1" t="s">
        <v>2012</v>
      </c>
      <c r="D708" s="1" t="s">
        <v>2013</v>
      </c>
      <c r="E708" s="2">
        <v>45839.0</v>
      </c>
      <c r="F708" s="1" t="s">
        <v>21</v>
      </c>
      <c r="G708" s="1" t="s">
        <v>781</v>
      </c>
      <c r="H708" s="1" t="s">
        <v>2000</v>
      </c>
      <c r="I708" s="1">
        <v>150.0</v>
      </c>
      <c r="J708" s="1" t="s">
        <v>24</v>
      </c>
      <c r="K708" s="1">
        <v>150.0</v>
      </c>
      <c r="L708" s="1">
        <v>146.0</v>
      </c>
      <c r="M708" s="1">
        <v>4.0</v>
      </c>
      <c r="N708" s="1" t="s">
        <v>24</v>
      </c>
      <c r="O708" s="1" t="s">
        <v>2001</v>
      </c>
      <c r="P708" s="3" t="str">
        <f>HYPERLINK("https://icf.clappia.com/app/SOM165486/submission/NLD62750839/ICF247370-SOM165486-5g1pplnacl0800000000/SIG-20250701_130485gfo.jpeg", "SIG-20250701_130485gfo.jpeg")</f>
        <v>SIG-20250701_130485gfo.jpeg</v>
      </c>
      <c r="Q708" s="3" t="str">
        <f>HYPERLINK("https://www.google.com/maps/place/7.9754167%2C-11.3923267", "7.9754167,-11.3923267")</f>
        <v>7.9754167,-11.3923267</v>
      </c>
    </row>
    <row r="709" ht="15.75" customHeight="1">
      <c r="A709" s="1" t="s">
        <v>2014</v>
      </c>
      <c r="B709" s="1" t="s">
        <v>18</v>
      </c>
      <c r="C709" s="1" t="s">
        <v>2015</v>
      </c>
      <c r="D709" s="1" t="s">
        <v>2013</v>
      </c>
      <c r="E709" s="2">
        <v>45839.0</v>
      </c>
      <c r="F709" s="1" t="s">
        <v>21</v>
      </c>
      <c r="G709" s="1" t="s">
        <v>781</v>
      </c>
      <c r="H709" s="1" t="s">
        <v>2000</v>
      </c>
      <c r="I709" s="1">
        <v>150.0</v>
      </c>
      <c r="J709" s="1" t="s">
        <v>24</v>
      </c>
      <c r="K709" s="1">
        <v>150.0</v>
      </c>
      <c r="L709" s="1">
        <v>146.0</v>
      </c>
      <c r="M709" s="1">
        <v>4.0</v>
      </c>
      <c r="N709" s="1" t="s">
        <v>24</v>
      </c>
      <c r="O709" s="1" t="s">
        <v>2001</v>
      </c>
      <c r="P709" s="3" t="str">
        <f>HYPERLINK("https://icf.clappia.com/app/SOM165486/submission/IWL14521054/ICF247370-SOM165486-4ih8loed7f5m00000000/SIG-20250701_1205c9255.jpeg", "SIG-20250701_1205c9255.jpeg")</f>
        <v>SIG-20250701_1205c9255.jpeg</v>
      </c>
      <c r="Q709" s="3" t="str">
        <f>HYPERLINK("https://www.google.com/maps/place/7.982465%2C-11.3760067", "7.982465,-11.3760067")</f>
        <v>7.982465,-11.3760067</v>
      </c>
    </row>
    <row r="710" ht="15.75" customHeight="1">
      <c r="A710" s="1" t="s">
        <v>2016</v>
      </c>
      <c r="B710" s="1" t="s">
        <v>18</v>
      </c>
      <c r="C710" s="1" t="s">
        <v>2017</v>
      </c>
      <c r="D710" s="1" t="s">
        <v>2017</v>
      </c>
      <c r="E710" s="2">
        <v>45839.0</v>
      </c>
      <c r="F710" s="1" t="s">
        <v>21</v>
      </c>
      <c r="G710" s="1" t="s">
        <v>164</v>
      </c>
      <c r="H710" s="1" t="s">
        <v>191</v>
      </c>
      <c r="I710" s="1">
        <v>250.0</v>
      </c>
      <c r="J710" s="1" t="s">
        <v>24</v>
      </c>
      <c r="K710" s="1">
        <v>250.0</v>
      </c>
      <c r="L710" s="1">
        <v>220.0</v>
      </c>
      <c r="M710" s="1">
        <v>30.0</v>
      </c>
      <c r="N710" s="1">
        <v>30.0</v>
      </c>
      <c r="O710" s="1" t="s">
        <v>192</v>
      </c>
      <c r="P710" s="3" t="str">
        <f>HYPERLINK("https://icf.clappia.com/app/SOM165486/submission/ZZQ12075685/ICF247370-SOM165486-321j079hihao00000000/SIG-20250702_0643id61k.jpeg", "SIG-20250702_0643id61k.jpeg")</f>
        <v>SIG-20250702_0643id61k.jpeg</v>
      </c>
      <c r="Q710" s="3" t="str">
        <f>HYPERLINK("https://www.google.com/maps/place/7.7680267%2C-12.0917683", "7.7680267,-12.0917683")</f>
        <v>7.7680267,-12.0917683</v>
      </c>
    </row>
    <row r="711" ht="15.75" customHeight="1">
      <c r="A711" s="1" t="s">
        <v>2018</v>
      </c>
      <c r="B711" s="1" t="s">
        <v>18</v>
      </c>
      <c r="C711" s="1" t="s">
        <v>2019</v>
      </c>
      <c r="D711" s="1" t="s">
        <v>2020</v>
      </c>
      <c r="E711" s="2">
        <v>45839.0</v>
      </c>
      <c r="F711" s="1" t="s">
        <v>21</v>
      </c>
      <c r="G711" s="1" t="s">
        <v>164</v>
      </c>
      <c r="H711" s="1" t="s">
        <v>191</v>
      </c>
      <c r="I711" s="1">
        <v>135.0</v>
      </c>
      <c r="J711" s="1" t="s">
        <v>24</v>
      </c>
      <c r="K711" s="1">
        <v>135.0</v>
      </c>
      <c r="L711" s="1">
        <v>105.0</v>
      </c>
      <c r="M711" s="1">
        <v>30.0</v>
      </c>
      <c r="N711" s="1">
        <v>30.0</v>
      </c>
      <c r="O711" s="1" t="s">
        <v>192</v>
      </c>
      <c r="P711" s="3" t="str">
        <f>HYPERLINK("https://icf.clappia.com/app/SOM165486/submission/VAQ15577478/ICF247370-SOM165486-34j26h3llfco00000000/SIG-20250701_1607dd038.jpeg", "SIG-20250701_1607dd038.jpeg")</f>
        <v>SIG-20250701_1607dd038.jpeg</v>
      </c>
      <c r="Q711" s="3" t="str">
        <f>HYPERLINK("https://www.google.com/maps/place/7.76827%2C-12.0904367", "7.76827,-12.0904367")</f>
        <v>7.76827,-12.0904367</v>
      </c>
    </row>
    <row r="712" ht="15.75" customHeight="1">
      <c r="A712" s="1" t="s">
        <v>2021</v>
      </c>
      <c r="B712" s="1" t="s">
        <v>18</v>
      </c>
      <c r="C712" s="1" t="s">
        <v>2022</v>
      </c>
      <c r="D712" s="1" t="s">
        <v>2022</v>
      </c>
      <c r="E712" s="2">
        <v>45839.0</v>
      </c>
      <c r="F712" s="1" t="s">
        <v>21</v>
      </c>
      <c r="G712" s="1" t="s">
        <v>129</v>
      </c>
      <c r="H712" s="1" t="s">
        <v>588</v>
      </c>
      <c r="I712" s="1">
        <v>175.0</v>
      </c>
      <c r="J712" s="1" t="s">
        <v>24</v>
      </c>
      <c r="K712" s="1">
        <v>175.0</v>
      </c>
      <c r="L712" s="1">
        <v>175.0</v>
      </c>
      <c r="M712" s="1" t="s">
        <v>24</v>
      </c>
      <c r="N712" s="1" t="s">
        <v>24</v>
      </c>
      <c r="O712" s="1" t="s">
        <v>2023</v>
      </c>
      <c r="P712" s="3" t="str">
        <f>HYPERLINK("https://icf.clappia.com/app/SOM165486/submission/DNV21531616/ICF247370-SOM165486-3amp25p71bpm00000000/SIG-20250702_0607boe06.jpeg", "SIG-20250702_0607boe06.jpeg")</f>
        <v>SIG-20250702_0607boe06.jpeg</v>
      </c>
      <c r="Q712" s="3" t="str">
        <f>HYPERLINK("https://www.google.com/maps/place/7.6308676%2C-11.8070431", "7.6308676,-11.8070431")</f>
        <v>7.6308676,-11.8070431</v>
      </c>
    </row>
    <row r="713" ht="15.75" customHeight="1">
      <c r="A713" s="1" t="s">
        <v>2024</v>
      </c>
      <c r="B713" s="1" t="s">
        <v>18</v>
      </c>
      <c r="C713" s="1" t="s">
        <v>2025</v>
      </c>
      <c r="D713" s="1" t="s">
        <v>2025</v>
      </c>
      <c r="E713" s="2">
        <v>45839.0</v>
      </c>
      <c r="F713" s="1" t="s">
        <v>21</v>
      </c>
      <c r="G713" s="1" t="s">
        <v>129</v>
      </c>
      <c r="H713" s="1" t="s">
        <v>588</v>
      </c>
      <c r="I713" s="1">
        <v>152.0</v>
      </c>
      <c r="J713" s="1" t="s">
        <v>24</v>
      </c>
      <c r="K713" s="1">
        <v>152.0</v>
      </c>
      <c r="L713" s="1">
        <v>152.0</v>
      </c>
      <c r="M713" s="1" t="s">
        <v>24</v>
      </c>
      <c r="N713" s="1" t="s">
        <v>24</v>
      </c>
      <c r="O713" s="1" t="s">
        <v>1541</v>
      </c>
      <c r="P713" s="3" t="str">
        <f>HYPERLINK("https://icf.clappia.com/app/SOM165486/submission/GKR87217180/ICF247370-SOM165486-5p4ebof0ha2000000000/SIG-20250702_0604aeiep.jpeg", "SIG-20250702_0604aeiep.jpeg")</f>
        <v>SIG-20250702_0604aeiep.jpeg</v>
      </c>
      <c r="Q713" s="3" t="str">
        <f>HYPERLINK("https://www.google.com/maps/place/7.6428267%2C-11.7924133", "7.6428267,-11.7924133")</f>
        <v>7.6428267,-11.7924133</v>
      </c>
    </row>
    <row r="714" ht="15.75" customHeight="1">
      <c r="A714" s="1" t="s">
        <v>2026</v>
      </c>
      <c r="B714" s="1" t="s">
        <v>283</v>
      </c>
      <c r="C714" s="1" t="s">
        <v>2027</v>
      </c>
      <c r="D714" s="1" t="s">
        <v>2027</v>
      </c>
      <c r="E714" s="2">
        <v>45839.0</v>
      </c>
      <c r="F714" s="1" t="s">
        <v>21</v>
      </c>
      <c r="G714" s="1" t="s">
        <v>1646</v>
      </c>
      <c r="H714" s="1" t="s">
        <v>1647</v>
      </c>
      <c r="I714" s="1">
        <v>250.0</v>
      </c>
      <c r="J714" s="1" t="s">
        <v>24</v>
      </c>
      <c r="K714" s="1">
        <v>250.0</v>
      </c>
      <c r="L714" s="1">
        <v>52.0</v>
      </c>
      <c r="M714" s="1">
        <v>198.0</v>
      </c>
      <c r="N714" s="1">
        <v>198.0</v>
      </c>
      <c r="O714" s="1" t="s">
        <v>1648</v>
      </c>
      <c r="P714" s="3" t="str">
        <f>HYPERLINK("https://icf.clappia.com/app/SOM165486/submission/NMX56381533/ICF247370-SOM165486-51lfe1hihhem00000000/SIG-20250701_22181ahe3d.jpeg", "SIG-20250701_22181ahe3d.jpeg")</f>
        <v>SIG-20250701_22181ahe3d.jpeg</v>
      </c>
      <c r="Q714" s="3" t="str">
        <f>HYPERLINK("https://www.google.com/maps/place/8.1095033%2C-11.8495133", "8.1095033,-11.8495133")</f>
        <v>8.1095033,-11.8495133</v>
      </c>
    </row>
    <row r="715" ht="15.75" customHeight="1">
      <c r="A715" s="1" t="s">
        <v>2028</v>
      </c>
      <c r="B715" s="1" t="s">
        <v>283</v>
      </c>
      <c r="C715" s="1" t="s">
        <v>2029</v>
      </c>
      <c r="D715" s="1" t="s">
        <v>2029</v>
      </c>
      <c r="E715" s="2">
        <v>45839.0</v>
      </c>
      <c r="F715" s="1" t="s">
        <v>21</v>
      </c>
      <c r="G715" s="1" t="s">
        <v>1646</v>
      </c>
      <c r="H715" s="1" t="s">
        <v>1647</v>
      </c>
      <c r="I715" s="1">
        <v>150.0</v>
      </c>
      <c r="J715" s="1" t="s">
        <v>24</v>
      </c>
      <c r="K715" s="1">
        <v>150.0</v>
      </c>
      <c r="L715" s="1">
        <v>73.0</v>
      </c>
      <c r="M715" s="1">
        <v>77.0</v>
      </c>
      <c r="N715" s="1">
        <v>77.0</v>
      </c>
      <c r="O715" s="1" t="s">
        <v>2030</v>
      </c>
      <c r="P715" s="3" t="str">
        <f>HYPERLINK("https://icf.clappia.com/app/SOM165486/submission/TPE27298594/ICF247370-SOM165486-leb629mj42kg0000000/SIG-20250701_221614nd9a.jpeg", "SIG-20250701_221614nd9a.jpeg")</f>
        <v>SIG-20250701_221614nd9a.jpeg</v>
      </c>
      <c r="Q715" s="3" t="str">
        <f>HYPERLINK("https://www.google.com/maps/place/8.1082417%2C-11.8497267", "8.1082417,-11.8497267")</f>
        <v>8.1082417,-11.8497267</v>
      </c>
    </row>
    <row r="716" ht="15.75" customHeight="1">
      <c r="A716" s="1" t="s">
        <v>2031</v>
      </c>
      <c r="B716" s="1" t="s">
        <v>283</v>
      </c>
      <c r="C716" s="1" t="s">
        <v>2032</v>
      </c>
      <c r="D716" s="1" t="s">
        <v>2032</v>
      </c>
      <c r="E716" s="2">
        <v>45839.0</v>
      </c>
      <c r="F716" s="1" t="s">
        <v>21</v>
      </c>
      <c r="G716" s="1" t="s">
        <v>1646</v>
      </c>
      <c r="H716" s="1" t="s">
        <v>1647</v>
      </c>
      <c r="I716" s="1">
        <v>200.0</v>
      </c>
      <c r="J716" s="1" t="s">
        <v>24</v>
      </c>
      <c r="K716" s="1">
        <v>200.0</v>
      </c>
      <c r="L716" s="1">
        <v>200.0</v>
      </c>
      <c r="M716" s="1" t="s">
        <v>24</v>
      </c>
      <c r="N716" s="1" t="s">
        <v>24</v>
      </c>
      <c r="O716" s="1" t="s">
        <v>2033</v>
      </c>
      <c r="P716" s="3" t="str">
        <f>HYPERLINK("https://icf.clappia.com/app/SOM165486/submission/SSK01814900/ICF247370-SOM165486-ke1377hcm82c0000000/SIG-20250701_2213iac6m.jpeg", "SIG-20250701_2213iac6m.jpeg")</f>
        <v>SIG-20250701_2213iac6m.jpeg</v>
      </c>
      <c r="Q716" s="3" t="str">
        <f>HYPERLINK("https://www.google.com/maps/place/8.1079199%2C-11.8488489", "8.1079199,-11.8488489")</f>
        <v>8.1079199,-11.8488489</v>
      </c>
    </row>
    <row r="717" ht="15.75" customHeight="1">
      <c r="A717" s="1" t="s">
        <v>2034</v>
      </c>
      <c r="B717" s="1" t="s">
        <v>283</v>
      </c>
      <c r="C717" s="1" t="s">
        <v>2035</v>
      </c>
      <c r="D717" s="1" t="s">
        <v>2035</v>
      </c>
      <c r="E717" s="2">
        <v>45838.0</v>
      </c>
      <c r="F717" s="1" t="s">
        <v>21</v>
      </c>
      <c r="G717" s="1" t="s">
        <v>1646</v>
      </c>
      <c r="H717" s="1" t="s">
        <v>1647</v>
      </c>
      <c r="I717" s="1">
        <v>150.0</v>
      </c>
      <c r="J717" s="1" t="s">
        <v>24</v>
      </c>
      <c r="K717" s="1">
        <v>150.0</v>
      </c>
      <c r="L717" s="1">
        <v>47.0</v>
      </c>
      <c r="M717" s="1">
        <v>103.0</v>
      </c>
      <c r="N717" s="1">
        <v>103.0</v>
      </c>
      <c r="O717" s="1" t="s">
        <v>2036</v>
      </c>
      <c r="P717" s="3" t="str">
        <f>HYPERLINK("https://icf.clappia.com/app/SOM165486/submission/NSY22097906/ICF247370-SOM165486-1n4flc0b4638e0000000/SIG-20250701_22108ij88.jpeg", "SIG-20250701_22108ij88.jpeg")</f>
        <v>SIG-20250701_22108ij88.jpeg</v>
      </c>
      <c r="Q717" s="3" t="str">
        <f t="shared" ref="Q717:Q718" si="11">HYPERLINK("https://www.google.com/maps/place/8.10928%2C-11.849395", "8.10928,-11.849395")</f>
        <v>8.10928,-11.849395</v>
      </c>
    </row>
    <row r="718" ht="15.75" customHeight="1">
      <c r="A718" s="1" t="s">
        <v>2037</v>
      </c>
      <c r="B718" s="1" t="s">
        <v>283</v>
      </c>
      <c r="C718" s="1" t="s">
        <v>2038</v>
      </c>
      <c r="D718" s="1" t="s">
        <v>2038</v>
      </c>
      <c r="E718" s="2">
        <v>45838.0</v>
      </c>
      <c r="F718" s="1" t="s">
        <v>21</v>
      </c>
      <c r="G718" s="1" t="s">
        <v>1646</v>
      </c>
      <c r="H718" s="1" t="s">
        <v>1647</v>
      </c>
      <c r="I718" s="1">
        <v>300.0</v>
      </c>
      <c r="J718" s="1" t="s">
        <v>24</v>
      </c>
      <c r="K718" s="1">
        <v>300.0</v>
      </c>
      <c r="L718" s="1">
        <v>217.0</v>
      </c>
      <c r="M718" s="1">
        <v>83.0</v>
      </c>
      <c r="N718" s="1">
        <v>83.0</v>
      </c>
      <c r="O718" s="1" t="s">
        <v>2033</v>
      </c>
      <c r="P718" s="3" t="str">
        <f>HYPERLINK("https://icf.clappia.com/app/SOM165486/submission/JNP66108935/ICF247370-SOM165486-51l30hieo76000000000/SIG-20250701_220712k37j.jpeg", "SIG-20250701_220712k37j.jpeg")</f>
        <v>SIG-20250701_220712k37j.jpeg</v>
      </c>
      <c r="Q718" s="3" t="str">
        <f t="shared" si="11"/>
        <v>8.10928,-11.849395</v>
      </c>
    </row>
    <row r="719" ht="15.75" customHeight="1">
      <c r="A719" s="1" t="s">
        <v>2039</v>
      </c>
      <c r="B719" s="1" t="s">
        <v>283</v>
      </c>
      <c r="C719" s="1" t="s">
        <v>2040</v>
      </c>
      <c r="D719" s="1" t="s">
        <v>2040</v>
      </c>
      <c r="E719" s="2">
        <v>45838.0</v>
      </c>
      <c r="F719" s="1" t="s">
        <v>21</v>
      </c>
      <c r="G719" s="1" t="s">
        <v>1646</v>
      </c>
      <c r="H719" s="1" t="s">
        <v>1647</v>
      </c>
      <c r="I719" s="1">
        <v>250.0</v>
      </c>
      <c r="J719" s="1" t="s">
        <v>24</v>
      </c>
      <c r="K719" s="1">
        <v>250.0</v>
      </c>
      <c r="L719" s="1">
        <v>209.0</v>
      </c>
      <c r="M719" s="1">
        <v>41.0</v>
      </c>
      <c r="N719" s="1">
        <v>41.0</v>
      </c>
      <c r="O719" s="1" t="s">
        <v>2041</v>
      </c>
      <c r="P719" s="3" t="str">
        <f>HYPERLINK("https://icf.clappia.com/app/SOM165486/submission/TFL12254583/ICF247370-SOM165486-p1639d15n1040000000/SIG-20250701_22035ken3.jpeg", "SIG-20250701_22035ken3.jpeg")</f>
        <v>SIG-20250701_22035ken3.jpeg</v>
      </c>
      <c r="Q719" s="3" t="str">
        <f>HYPERLINK("https://www.google.com/maps/place/8.1107183%2C-11.8497333", "8.1107183,-11.8497333")</f>
        <v>8.1107183,-11.8497333</v>
      </c>
    </row>
    <row r="720" ht="15.75" customHeight="1">
      <c r="A720" s="1" t="s">
        <v>2042</v>
      </c>
      <c r="B720" s="1" t="s">
        <v>18</v>
      </c>
      <c r="C720" s="1" t="s">
        <v>2043</v>
      </c>
      <c r="D720" s="1" t="s">
        <v>2043</v>
      </c>
      <c r="E720" s="2">
        <v>45839.0</v>
      </c>
      <c r="F720" s="1" t="s">
        <v>21</v>
      </c>
      <c r="G720" s="1" t="s">
        <v>35</v>
      </c>
      <c r="H720" s="1" t="s">
        <v>46</v>
      </c>
      <c r="I720" s="1">
        <v>85.0</v>
      </c>
      <c r="J720" s="1" t="s">
        <v>24</v>
      </c>
      <c r="K720" s="1">
        <v>85.0</v>
      </c>
      <c r="L720" s="1">
        <v>85.0</v>
      </c>
      <c r="M720" s="1" t="s">
        <v>24</v>
      </c>
      <c r="N720" s="1" t="s">
        <v>24</v>
      </c>
      <c r="O720" s="1" t="s">
        <v>687</v>
      </c>
      <c r="P720" s="3" t="str">
        <f>HYPERLINK("https://icf.clappia.com/app/SOM165486/submission/ATO22434181/ICF247370-SOM165486-5badm103oh8800000000/SIG-20250701_220216nkdk.jpeg", "SIG-20250701_220216nkdk.jpeg")</f>
        <v>SIG-20250701_220216nkdk.jpeg</v>
      </c>
      <c r="Q720" s="3" t="str">
        <f>HYPERLINK("https://www.google.com/maps/place/8.4167645%2C-11.6674729", "8.4167645,-11.6674729")</f>
        <v>8.4167645,-11.6674729</v>
      </c>
    </row>
    <row r="721" ht="15.75" customHeight="1">
      <c r="A721" s="1" t="s">
        <v>2044</v>
      </c>
      <c r="B721" s="1" t="s">
        <v>18</v>
      </c>
      <c r="C721" s="1" t="s">
        <v>2045</v>
      </c>
      <c r="D721" s="1" t="s">
        <v>2045</v>
      </c>
      <c r="E721" s="2">
        <v>45838.0</v>
      </c>
      <c r="F721" s="1" t="s">
        <v>21</v>
      </c>
      <c r="G721" s="1" t="s">
        <v>35</v>
      </c>
      <c r="H721" s="1" t="s">
        <v>46</v>
      </c>
      <c r="I721" s="1">
        <v>568.0</v>
      </c>
      <c r="J721" s="1" t="s">
        <v>24</v>
      </c>
      <c r="K721" s="1">
        <v>568.0</v>
      </c>
      <c r="L721" s="1">
        <v>495.0</v>
      </c>
      <c r="M721" s="1">
        <v>73.0</v>
      </c>
      <c r="N721" s="1">
        <v>73.0</v>
      </c>
      <c r="O721" s="1" t="s">
        <v>687</v>
      </c>
      <c r="P721" s="3" t="str">
        <f>HYPERLINK("https://icf.clappia.com/app/SOM165486/submission/OFN06899426/ICF247370-SOM165486-4924cncbpeb000000000/SIG-20250701_2158d69dg.jpeg", "SIG-20250701_2158d69dg.jpeg")</f>
        <v>SIG-20250701_2158d69dg.jpeg</v>
      </c>
      <c r="Q721" s="3" t="str">
        <f>HYPERLINK("https://www.google.com/maps/place/8.4167641%2C-11.6674721", "8.4167641,-11.6674721")</f>
        <v>8.4167641,-11.6674721</v>
      </c>
    </row>
    <row r="722" ht="15.75" customHeight="1">
      <c r="A722" s="1" t="s">
        <v>2046</v>
      </c>
      <c r="B722" s="1" t="s">
        <v>283</v>
      </c>
      <c r="C722" s="1" t="s">
        <v>2047</v>
      </c>
      <c r="D722" s="1" t="s">
        <v>2047</v>
      </c>
      <c r="E722" s="2">
        <v>45839.0</v>
      </c>
      <c r="F722" s="1" t="s">
        <v>21</v>
      </c>
      <c r="G722" s="1" t="s">
        <v>22</v>
      </c>
      <c r="H722" s="1" t="s">
        <v>378</v>
      </c>
      <c r="I722" s="1">
        <v>138.0</v>
      </c>
      <c r="J722" s="1" t="s">
        <v>24</v>
      </c>
      <c r="K722" s="1">
        <v>138.0</v>
      </c>
      <c r="L722" s="1">
        <v>88.0</v>
      </c>
      <c r="M722" s="1">
        <v>50.0</v>
      </c>
      <c r="N722" s="1">
        <v>50.0</v>
      </c>
      <c r="O722" s="1" t="s">
        <v>2048</v>
      </c>
      <c r="P722" s="3" t="str">
        <f>HYPERLINK("https://icf.clappia.com/app/SOM165486/submission/GDW70488431/ICF247370-SOM165486-47pojg9mb4n200000000/SIG-20250701_2102167hpb.jpeg", "SIG-20250701_2102167hpb.jpeg")</f>
        <v>SIG-20250701_2102167hpb.jpeg</v>
      </c>
      <c r="Q722" s="3" t="str">
        <f>HYPERLINK("https://www.google.com/maps/place/8.1033567%2C-11.4204467", "8.1033567,-11.4204467")</f>
        <v>8.1033567,-11.4204467</v>
      </c>
    </row>
    <row r="723" ht="15.75" customHeight="1">
      <c r="A723" s="1" t="s">
        <v>2049</v>
      </c>
      <c r="B723" s="1" t="s">
        <v>18</v>
      </c>
      <c r="C723" s="1" t="s">
        <v>2050</v>
      </c>
      <c r="D723" s="1" t="s">
        <v>2050</v>
      </c>
      <c r="E723" s="2">
        <v>45839.0</v>
      </c>
      <c r="F723" s="1" t="s">
        <v>21</v>
      </c>
      <c r="G723" s="1" t="s">
        <v>164</v>
      </c>
      <c r="H723" s="1" t="s">
        <v>336</v>
      </c>
      <c r="I723" s="1">
        <v>186.0</v>
      </c>
      <c r="J723" s="1" t="s">
        <v>24</v>
      </c>
      <c r="K723" s="1">
        <v>186.0</v>
      </c>
      <c r="L723" s="1">
        <v>186.0</v>
      </c>
      <c r="M723" s="1" t="s">
        <v>24</v>
      </c>
      <c r="N723" s="1" t="s">
        <v>24</v>
      </c>
      <c r="O723" s="1" t="s">
        <v>337</v>
      </c>
      <c r="P723" s="3" t="str">
        <f>HYPERLINK("https://icf.clappia.com/app/SOM165486/submission/UUZ02038498/ICF247370-SOM165486-5c52g2h7fim000000000/SIG-20250701_2049cki6k.jpeg", "SIG-20250701_2049cki6k.jpeg")</f>
        <v>SIG-20250701_2049cki6k.jpeg</v>
      </c>
      <c r="Q723" s="3" t="str">
        <f>HYPERLINK("https://www.google.com/maps/place/7.7927783%2C-12.0548694", "7.7927783,-12.0548694")</f>
        <v>7.7927783,-12.0548694</v>
      </c>
    </row>
    <row r="724" ht="15.75" customHeight="1">
      <c r="A724" s="1" t="s">
        <v>2051</v>
      </c>
      <c r="B724" s="1" t="s">
        <v>18</v>
      </c>
      <c r="C724" s="1" t="s">
        <v>2052</v>
      </c>
      <c r="D724" s="1" t="s">
        <v>2053</v>
      </c>
      <c r="E724" s="2">
        <v>45839.0</v>
      </c>
      <c r="F724" s="1" t="s">
        <v>21</v>
      </c>
      <c r="G724" s="1" t="s">
        <v>22</v>
      </c>
      <c r="H724" s="1" t="s">
        <v>378</v>
      </c>
      <c r="I724" s="1">
        <v>100.0</v>
      </c>
      <c r="J724" s="1">
        <v>38.0</v>
      </c>
      <c r="K724" s="1">
        <v>138.0</v>
      </c>
      <c r="L724" s="1">
        <v>129.0</v>
      </c>
      <c r="M724" s="1">
        <v>9.0</v>
      </c>
      <c r="N724" s="1" t="s">
        <v>24</v>
      </c>
      <c r="O724" s="1" t="s">
        <v>382</v>
      </c>
      <c r="P724" s="3" t="str">
        <f>HYPERLINK("https://icf.clappia.com/app/SOM165486/submission/DWW56655709/ICF247370-SOM165486-5ie5aic2im0m00000000/SIG-20250701_1547167mfk.jpeg", "SIG-20250701_1547167mfk.jpeg")</f>
        <v>SIG-20250701_1547167mfk.jpeg</v>
      </c>
      <c r="Q724" s="3" t="str">
        <f>HYPERLINK("https://www.google.com/maps/place/8.1008736%2C-11.4163496", "8.1008736,-11.4163496")</f>
        <v>8.1008736,-11.4163496</v>
      </c>
    </row>
    <row r="725" ht="15.75" customHeight="1">
      <c r="A725" s="1" t="s">
        <v>2054</v>
      </c>
      <c r="B725" s="1" t="s">
        <v>18</v>
      </c>
      <c r="C725" s="1" t="s">
        <v>2055</v>
      </c>
      <c r="D725" s="1" t="s">
        <v>2056</v>
      </c>
      <c r="E725" s="2">
        <v>45838.0</v>
      </c>
      <c r="F725" s="1" t="s">
        <v>21</v>
      </c>
      <c r="G725" s="1" t="s">
        <v>164</v>
      </c>
      <c r="H725" s="1" t="s">
        <v>336</v>
      </c>
      <c r="I725" s="1">
        <v>250.0</v>
      </c>
      <c r="J725" s="1" t="s">
        <v>24</v>
      </c>
      <c r="K725" s="1">
        <v>250.0</v>
      </c>
      <c r="L725" s="1">
        <v>189.0</v>
      </c>
      <c r="M725" s="1">
        <v>61.0</v>
      </c>
      <c r="N725" s="1">
        <v>61.0</v>
      </c>
      <c r="O725" s="1" t="s">
        <v>337</v>
      </c>
      <c r="P725" s="3" t="str">
        <f>HYPERLINK("https://icf.clappia.com/app/SOM165486/submission/PRZ03155730/ICF247370-SOM165486-7g1f3fglc5040000000/SIG-20250630_1929nanip.jpeg", "SIG-20250630_1929nanip.jpeg")</f>
        <v>SIG-20250630_1929nanip.jpeg</v>
      </c>
      <c r="Q725" s="3" t="str">
        <f>HYPERLINK("https://www.google.com/maps/place/7.7943899%2C-12.0515957", "7.7943899,-12.0515957")</f>
        <v>7.7943899,-12.0515957</v>
      </c>
    </row>
    <row r="726" ht="15.75" customHeight="1">
      <c r="A726" s="1" t="s">
        <v>2057</v>
      </c>
      <c r="B726" s="1" t="s">
        <v>18</v>
      </c>
      <c r="C726" s="1" t="s">
        <v>2058</v>
      </c>
      <c r="D726" s="1" t="s">
        <v>2058</v>
      </c>
      <c r="E726" s="2">
        <v>45839.0</v>
      </c>
      <c r="F726" s="1" t="s">
        <v>21</v>
      </c>
      <c r="G726" s="1" t="s">
        <v>29</v>
      </c>
      <c r="H726" s="1" t="s">
        <v>2059</v>
      </c>
      <c r="I726" s="1">
        <v>35.0</v>
      </c>
      <c r="J726" s="1" t="s">
        <v>24</v>
      </c>
      <c r="K726" s="1">
        <v>35.0</v>
      </c>
      <c r="L726" s="1">
        <v>35.0</v>
      </c>
      <c r="M726" s="1" t="s">
        <v>24</v>
      </c>
      <c r="N726" s="1" t="s">
        <v>24</v>
      </c>
      <c r="O726" s="1" t="s">
        <v>2060</v>
      </c>
      <c r="P726" s="3" t="str">
        <f>HYPERLINK("https://icf.clappia.com/app/SOM165486/submission/WGB85408474/ICF247370-SOM165486-5o6ncb821j2c00000000/SIG-20250701_1730n4b6m.jpeg", "SIG-20250701_1730n4b6m.jpeg")</f>
        <v>SIG-20250701_1730n4b6m.jpeg</v>
      </c>
      <c r="Q726" s="3" t="str">
        <f>HYPERLINK("https://www.google.com/maps/place/8.2676867%2C-11.5623183", "8.2676867,-11.5623183")</f>
        <v>8.2676867,-11.5623183</v>
      </c>
    </row>
    <row r="727" ht="15.75" customHeight="1">
      <c r="A727" s="1" t="s">
        <v>2061</v>
      </c>
      <c r="B727" s="1" t="s">
        <v>18</v>
      </c>
      <c r="C727" s="1" t="s">
        <v>2062</v>
      </c>
      <c r="D727" s="1" t="s">
        <v>2062</v>
      </c>
      <c r="E727" s="2">
        <v>45839.0</v>
      </c>
      <c r="F727" s="1" t="s">
        <v>21</v>
      </c>
      <c r="G727" s="1" t="s">
        <v>164</v>
      </c>
      <c r="H727" s="1" t="s">
        <v>336</v>
      </c>
      <c r="I727" s="1">
        <v>183.0</v>
      </c>
      <c r="J727" s="1" t="s">
        <v>24</v>
      </c>
      <c r="K727" s="1">
        <v>183.0</v>
      </c>
      <c r="L727" s="1">
        <v>183.0</v>
      </c>
      <c r="M727" s="1" t="s">
        <v>24</v>
      </c>
      <c r="N727" s="1" t="s">
        <v>24</v>
      </c>
      <c r="O727" s="1" t="s">
        <v>1266</v>
      </c>
      <c r="P727" s="3" t="str">
        <f>HYPERLINK("https://icf.clappia.com/app/SOM165486/submission/XGS21983333/ICF247370-SOM165486-440aj2a14pli00000000/SIG-20250701_19473225d.jpeg", "SIG-20250701_19473225d.jpeg")</f>
        <v>SIG-20250701_19473225d.jpeg</v>
      </c>
      <c r="Q727" s="3" t="str">
        <f>HYPERLINK("https://www.google.com/maps/place/7.7954277%2C-12.0525121", "7.7954277,-12.0525121")</f>
        <v>7.7954277,-12.0525121</v>
      </c>
    </row>
    <row r="728" ht="15.75" customHeight="1">
      <c r="A728" s="1" t="s">
        <v>2063</v>
      </c>
      <c r="B728" s="1" t="s">
        <v>283</v>
      </c>
      <c r="C728" s="1" t="s">
        <v>2064</v>
      </c>
      <c r="D728" s="1" t="s">
        <v>2064</v>
      </c>
      <c r="E728" s="2">
        <v>45839.0</v>
      </c>
      <c r="F728" s="1" t="s">
        <v>68</v>
      </c>
      <c r="G728" s="1" t="s">
        <v>69</v>
      </c>
      <c r="H728" s="1" t="s">
        <v>1417</v>
      </c>
      <c r="I728" s="1">
        <v>299.0</v>
      </c>
      <c r="J728" s="1" t="s">
        <v>24</v>
      </c>
      <c r="K728" s="1">
        <v>299.0</v>
      </c>
      <c r="L728" s="1">
        <v>299.0</v>
      </c>
      <c r="M728" s="1" t="s">
        <v>24</v>
      </c>
      <c r="N728" s="1" t="s">
        <v>24</v>
      </c>
      <c r="O728" s="1" t="s">
        <v>1418</v>
      </c>
      <c r="P728" s="3" t="str">
        <f>HYPERLINK("https://icf.clappia.com/app/SOM165486/submission/UDU98037711/ICF247370-SOM165486-62ca2of95mi000000000/SIG-20250701_192547a8l.jpeg", "SIG-20250701_192547a8l.jpeg")</f>
        <v>SIG-20250701_192547a8l.jpeg</v>
      </c>
      <c r="Q728" s="3" t="str">
        <f>HYPERLINK("https://www.google.com/maps/place/8.7999258%2C-12.3533676", "8.7999258,-12.3533676")</f>
        <v>8.7999258,-12.3533676</v>
      </c>
    </row>
    <row r="729" ht="15.75" customHeight="1">
      <c r="A729" s="1" t="s">
        <v>2065</v>
      </c>
      <c r="B729" s="1" t="s">
        <v>283</v>
      </c>
      <c r="C729" s="1" t="s">
        <v>2066</v>
      </c>
      <c r="D729" s="1" t="s">
        <v>2067</v>
      </c>
      <c r="E729" s="2">
        <v>45839.0</v>
      </c>
      <c r="F729" s="1" t="s">
        <v>68</v>
      </c>
      <c r="G729" s="1" t="s">
        <v>69</v>
      </c>
      <c r="H729" s="1" t="s">
        <v>1417</v>
      </c>
      <c r="I729" s="1">
        <v>299.0</v>
      </c>
      <c r="J729" s="1" t="s">
        <v>24</v>
      </c>
      <c r="K729" s="1">
        <v>299.0</v>
      </c>
      <c r="L729" s="1">
        <v>299.0</v>
      </c>
      <c r="M729" s="1" t="s">
        <v>24</v>
      </c>
      <c r="N729" s="1" t="s">
        <v>24</v>
      </c>
      <c r="O729" s="1" t="s">
        <v>1418</v>
      </c>
      <c r="P729" s="3" t="str">
        <f>HYPERLINK("https://icf.clappia.com/app/SOM165486/submission/JPV09993194/ICF247370-SOM165486-3on1gf7k4aak00000000/SIG-20250701_1922b83oi.jpeg", "SIG-20250701_1922b83oi.jpeg")</f>
        <v>SIG-20250701_1922b83oi.jpeg</v>
      </c>
    </row>
    <row r="730" ht="15.75" customHeight="1">
      <c r="A730" s="1" t="s">
        <v>2068</v>
      </c>
      <c r="B730" s="1" t="s">
        <v>18</v>
      </c>
      <c r="C730" s="1" t="s">
        <v>2069</v>
      </c>
      <c r="D730" s="1" t="s">
        <v>2069</v>
      </c>
      <c r="E730" s="2">
        <v>45839.0</v>
      </c>
      <c r="F730" s="1" t="s">
        <v>21</v>
      </c>
      <c r="G730" s="1" t="s">
        <v>275</v>
      </c>
      <c r="H730" s="1" t="s">
        <v>1220</v>
      </c>
      <c r="I730" s="1">
        <v>1404.0</v>
      </c>
      <c r="J730" s="1" t="s">
        <v>24</v>
      </c>
      <c r="K730" s="1">
        <v>1404.0</v>
      </c>
      <c r="L730" s="1">
        <v>1000.0</v>
      </c>
      <c r="M730" s="1">
        <v>404.0</v>
      </c>
      <c r="N730" s="1" t="s">
        <v>24</v>
      </c>
      <c r="O730" s="1" t="s">
        <v>2070</v>
      </c>
      <c r="P730" s="3" t="str">
        <f>HYPERLINK("https://icf.clappia.com/app/SOM165486/submission/ULG12098761/ICF247370-SOM165486-pmldmpmi76mk0000000/SIG-20250701_1914e1hfd.jpeg", "SIG-20250701_1914e1hfd.jpeg")</f>
        <v>SIG-20250701_1914e1hfd.jpeg</v>
      </c>
      <c r="Q730" s="3" t="str">
        <f>HYPERLINK("https://www.google.com/maps/place/7.652465%2C-11.9640817", "7.652465,-11.9640817")</f>
        <v>7.652465,-11.9640817</v>
      </c>
    </row>
    <row r="731" ht="15.75" customHeight="1">
      <c r="A731" s="1" t="s">
        <v>2071</v>
      </c>
      <c r="B731" s="1" t="s">
        <v>283</v>
      </c>
      <c r="C731" s="1" t="s">
        <v>2072</v>
      </c>
      <c r="D731" s="1" t="s">
        <v>2072</v>
      </c>
      <c r="E731" s="2">
        <v>45839.0</v>
      </c>
      <c r="F731" s="1" t="s">
        <v>21</v>
      </c>
      <c r="G731" s="1" t="s">
        <v>421</v>
      </c>
      <c r="H731" s="1" t="s">
        <v>422</v>
      </c>
      <c r="I731" s="1">
        <v>200.0</v>
      </c>
      <c r="J731" s="1" t="s">
        <v>24</v>
      </c>
      <c r="K731" s="1">
        <v>200.0</v>
      </c>
      <c r="L731" s="1">
        <v>116.0</v>
      </c>
      <c r="M731" s="1">
        <v>84.0</v>
      </c>
      <c r="N731" s="1">
        <v>84.0</v>
      </c>
      <c r="O731" s="1" t="s">
        <v>1980</v>
      </c>
      <c r="P731" s="3" t="str">
        <f>HYPERLINK("https://icf.clappia.com/app/SOM165486/submission/DIC69212711/ICF247370-SOM165486-4ck02bnj1jja00000000/SIG-20250701_19151033h7.jpeg", "SIG-20250701_19151033h7.jpeg")</f>
        <v>SIG-20250701_19151033h7.jpeg</v>
      </c>
      <c r="Q731" s="3" t="str">
        <f>HYPERLINK("https://www.google.com/maps/place/8.1071049%2C-11.5572893", "8.1071049,-11.5572893")</f>
        <v>8.1071049,-11.5572893</v>
      </c>
    </row>
    <row r="732" ht="15.75" customHeight="1">
      <c r="A732" s="1" t="s">
        <v>2073</v>
      </c>
      <c r="B732" s="1" t="s">
        <v>283</v>
      </c>
      <c r="C732" s="1" t="s">
        <v>2074</v>
      </c>
      <c r="D732" s="1" t="s">
        <v>2074</v>
      </c>
      <c r="E732" s="2">
        <v>45838.0</v>
      </c>
      <c r="F732" s="1" t="s">
        <v>21</v>
      </c>
      <c r="G732" s="1" t="s">
        <v>421</v>
      </c>
      <c r="H732" s="1" t="s">
        <v>422</v>
      </c>
      <c r="I732" s="1">
        <v>77.0</v>
      </c>
      <c r="J732" s="1" t="s">
        <v>24</v>
      </c>
      <c r="K732" s="1">
        <v>77.0</v>
      </c>
      <c r="L732" s="1">
        <v>77.0</v>
      </c>
      <c r="M732" s="1" t="s">
        <v>24</v>
      </c>
      <c r="N732" s="1" t="s">
        <v>24</v>
      </c>
      <c r="O732" s="1" t="s">
        <v>1980</v>
      </c>
      <c r="P732" s="3" t="str">
        <f>HYPERLINK("https://icf.clappia.com/app/SOM165486/submission/YPZ28101898/ICF247370-SOM165486-198n16l2f45i80000000/SIG-20250701_19083jm7k.jpeg", "SIG-20250701_19083jm7k.jpeg")</f>
        <v>SIG-20250701_19083jm7k.jpeg</v>
      </c>
      <c r="Q732" s="3" t="str">
        <f>HYPERLINK("https://www.google.com/maps/place/8.1073553%2C-11.5577442", "8.1073553,-11.5577442")</f>
        <v>8.1073553,-11.5577442</v>
      </c>
    </row>
    <row r="733" ht="15.75" customHeight="1">
      <c r="A733" s="1" t="s">
        <v>2075</v>
      </c>
      <c r="B733" s="1" t="s">
        <v>18</v>
      </c>
      <c r="C733" s="1" t="s">
        <v>81</v>
      </c>
      <c r="D733" s="1" t="s">
        <v>81</v>
      </c>
      <c r="E733" s="2">
        <v>45839.0</v>
      </c>
      <c r="F733" s="1" t="s">
        <v>21</v>
      </c>
      <c r="G733" s="1" t="s">
        <v>35</v>
      </c>
      <c r="H733" s="1" t="s">
        <v>46</v>
      </c>
      <c r="I733" s="1">
        <v>85.0</v>
      </c>
      <c r="J733" s="1" t="s">
        <v>24</v>
      </c>
      <c r="K733" s="1">
        <v>85.0</v>
      </c>
      <c r="L733" s="1">
        <v>85.0</v>
      </c>
      <c r="M733" s="1" t="s">
        <v>24</v>
      </c>
      <c r="N733" s="1" t="s">
        <v>24</v>
      </c>
      <c r="O733" s="1" t="s">
        <v>687</v>
      </c>
      <c r="P733" s="3" t="str">
        <f>HYPERLINK("https://icf.clappia.com/app/SOM165486/submission/CES63405970/ICF247370-SOM165486-4c29kb42eojg00000000/SIG-20250701_1834fpk73.jpeg", "SIG-20250701_1834fpk73.jpeg")</f>
        <v>SIG-20250701_1834fpk73.jpeg</v>
      </c>
      <c r="Q733" s="3" t="str">
        <f>HYPERLINK("https://www.google.com/maps/place/8.4167644%2C-11.667473", "8.4167644,-11.667473")</f>
        <v>8.4167644,-11.667473</v>
      </c>
    </row>
    <row r="734" ht="15.75" customHeight="1">
      <c r="A734" s="1" t="s">
        <v>2076</v>
      </c>
      <c r="B734" s="1" t="s">
        <v>18</v>
      </c>
      <c r="C734" s="1" t="s">
        <v>2077</v>
      </c>
      <c r="D734" s="1" t="s">
        <v>2077</v>
      </c>
      <c r="E734" s="2">
        <v>45838.0</v>
      </c>
      <c r="F734" s="1" t="s">
        <v>21</v>
      </c>
      <c r="G734" s="1" t="s">
        <v>35</v>
      </c>
      <c r="H734" s="1" t="s">
        <v>46</v>
      </c>
      <c r="I734" s="1">
        <v>808.0</v>
      </c>
      <c r="J734" s="1" t="s">
        <v>24</v>
      </c>
      <c r="K734" s="1">
        <v>808.0</v>
      </c>
      <c r="L734" s="1">
        <v>667.0</v>
      </c>
      <c r="M734" s="1">
        <v>141.0</v>
      </c>
      <c r="N734" s="1">
        <v>141.0</v>
      </c>
      <c r="O734" s="1" t="s">
        <v>1470</v>
      </c>
      <c r="P734" s="3" t="str">
        <f>HYPERLINK("https://icf.clappia.com/app/SOM165486/submission/UAY24435748/ICF247370-SOM165486-4253no8d7nde00000000/SIG-20250701_183112mcdj.jpeg", "SIG-20250701_183112mcdj.jpeg")</f>
        <v>SIG-20250701_183112mcdj.jpeg</v>
      </c>
      <c r="Q734" s="3" t="str">
        <f>HYPERLINK("https://www.google.com/maps/place/8.4167644%2C-11.6674732", "8.4167644,-11.6674732")</f>
        <v>8.4167644,-11.6674732</v>
      </c>
    </row>
    <row r="735" ht="15.75" customHeight="1">
      <c r="A735" s="1" t="s">
        <v>2078</v>
      </c>
      <c r="B735" s="1" t="s">
        <v>283</v>
      </c>
      <c r="C735" s="1" t="s">
        <v>2079</v>
      </c>
      <c r="D735" s="1" t="s">
        <v>2079</v>
      </c>
      <c r="E735" s="2">
        <v>45839.0</v>
      </c>
      <c r="F735" s="1" t="s">
        <v>21</v>
      </c>
      <c r="G735" s="1" t="s">
        <v>164</v>
      </c>
      <c r="H735" s="1" t="s">
        <v>191</v>
      </c>
      <c r="I735" s="1">
        <v>250.0</v>
      </c>
      <c r="J735" s="1" t="s">
        <v>24</v>
      </c>
      <c r="K735" s="1">
        <v>250.0</v>
      </c>
      <c r="L735" s="1">
        <v>220.0</v>
      </c>
      <c r="M735" s="1">
        <v>30.0</v>
      </c>
      <c r="N735" s="1">
        <v>30.0</v>
      </c>
      <c r="O735" s="1" t="s">
        <v>192</v>
      </c>
      <c r="P735" s="3" t="str">
        <f>HYPERLINK("https://icf.clappia.com/app/SOM165486/submission/SUS32623220/ICF247370-SOM165486-17f0imldb7mb20000000/SIG-20250701_182717ak36.jpeg", "SIG-20250701_182717ak36.jpeg")</f>
        <v>SIG-20250701_182717ak36.jpeg</v>
      </c>
      <c r="Q735" s="3" t="str">
        <f>HYPERLINK("https://www.google.com/maps/place/7.7677755%2C-12.0908881", "7.7677755,-12.0908881")</f>
        <v>7.7677755,-12.0908881</v>
      </c>
    </row>
    <row r="736" ht="15.75" customHeight="1">
      <c r="A736" s="1" t="s">
        <v>2080</v>
      </c>
      <c r="B736" s="1" t="s">
        <v>18</v>
      </c>
      <c r="C736" s="1" t="s">
        <v>2081</v>
      </c>
      <c r="D736" s="1" t="s">
        <v>2081</v>
      </c>
      <c r="E736" s="2">
        <v>45839.0</v>
      </c>
      <c r="F736" s="1" t="s">
        <v>21</v>
      </c>
      <c r="G736" s="1" t="s">
        <v>29</v>
      </c>
      <c r="H736" s="1" t="s">
        <v>2082</v>
      </c>
      <c r="I736" s="1">
        <v>100.0</v>
      </c>
      <c r="J736" s="1" t="s">
        <v>24</v>
      </c>
      <c r="K736" s="1">
        <v>100.0</v>
      </c>
      <c r="L736" s="1">
        <v>100.0</v>
      </c>
      <c r="M736" s="1" t="s">
        <v>24</v>
      </c>
      <c r="N736" s="1" t="s">
        <v>24</v>
      </c>
      <c r="O736" s="1" t="s">
        <v>2083</v>
      </c>
      <c r="P736" s="3" t="str">
        <f>HYPERLINK("https://icf.clappia.com/app/SOM165486/submission/YQN26534884/ICF247370-SOM165486-5gf23fk2ef9200000000/SIG-20250701_1826oi8bf.jpeg", "SIG-20250701_1826oi8bf.jpeg")</f>
        <v>SIG-20250701_1826oi8bf.jpeg</v>
      </c>
      <c r="Q736" s="3" t="str">
        <f>HYPERLINK("https://www.google.com/maps/place/8.2005717%2C-11.459525", "8.2005717,-11.459525")</f>
        <v>8.2005717,-11.459525</v>
      </c>
    </row>
    <row r="737" ht="15.75" customHeight="1">
      <c r="A737" s="1" t="s">
        <v>2084</v>
      </c>
      <c r="B737" s="1" t="s">
        <v>18</v>
      </c>
      <c r="C737" s="1" t="s">
        <v>2085</v>
      </c>
      <c r="D737" s="1" t="s">
        <v>2085</v>
      </c>
      <c r="E737" s="2">
        <v>45839.0</v>
      </c>
      <c r="F737" s="1" t="s">
        <v>68</v>
      </c>
      <c r="G737" s="1" t="s">
        <v>630</v>
      </c>
      <c r="H737" s="1" t="s">
        <v>631</v>
      </c>
      <c r="I737" s="1">
        <v>405.0</v>
      </c>
      <c r="J737" s="1" t="s">
        <v>24</v>
      </c>
      <c r="K737" s="1">
        <v>405.0</v>
      </c>
      <c r="L737" s="1">
        <v>405.0</v>
      </c>
      <c r="M737" s="1" t="s">
        <v>24</v>
      </c>
      <c r="N737" s="1" t="s">
        <v>24</v>
      </c>
      <c r="O737" s="1" t="s">
        <v>1285</v>
      </c>
      <c r="P737" s="3" t="str">
        <f>HYPERLINK("https://icf.clappia.com/app/SOM165486/submission/CVW68900273/ICF247370-SOM165486-2g0fn61g1bh600000000/SIG-20250701_181118log8.jpeg", "SIG-20250701_181118log8.jpeg")</f>
        <v>SIG-20250701_181118log8.jpeg</v>
      </c>
      <c r="Q737" s="3" t="str">
        <f>HYPERLINK("https://www.google.com/maps/place/9.251635%2C-12.1639267", "9.251635,-12.1639267")</f>
        <v>9.251635,-12.1639267</v>
      </c>
    </row>
    <row r="738" ht="15.75" customHeight="1">
      <c r="A738" s="1" t="s">
        <v>2086</v>
      </c>
      <c r="B738" s="1" t="s">
        <v>18</v>
      </c>
      <c r="C738" s="1" t="s">
        <v>2087</v>
      </c>
      <c r="D738" s="1" t="s">
        <v>2087</v>
      </c>
      <c r="E738" s="2">
        <v>45839.0</v>
      </c>
      <c r="F738" s="1" t="s">
        <v>68</v>
      </c>
      <c r="G738" s="1" t="s">
        <v>630</v>
      </c>
      <c r="H738" s="1" t="s">
        <v>2088</v>
      </c>
      <c r="I738" s="1">
        <v>405.0</v>
      </c>
      <c r="J738" s="1" t="s">
        <v>24</v>
      </c>
      <c r="K738" s="1">
        <v>405.0</v>
      </c>
      <c r="L738" s="1">
        <v>405.0</v>
      </c>
      <c r="M738" s="1" t="s">
        <v>24</v>
      </c>
      <c r="N738" s="1" t="s">
        <v>24</v>
      </c>
      <c r="O738" s="1" t="s">
        <v>1285</v>
      </c>
      <c r="P738" s="3" t="str">
        <f>HYPERLINK("https://icf.clappia.com/app/SOM165486/submission/QDS33789117/ICF247370-SOM165486-44plplgi88gi00000000/SIG-20250701_180710ekn0.jpeg", "SIG-20250701_180710ekn0.jpeg")</f>
        <v>SIG-20250701_180710ekn0.jpeg</v>
      </c>
      <c r="Q738" s="3" t="str">
        <f>HYPERLINK("https://www.google.com/maps/place/9.2515868%2C-12.1642883", "9.2515868,-12.1642883")</f>
        <v>9.2515868,-12.1642883</v>
      </c>
    </row>
    <row r="739" ht="15.75" customHeight="1">
      <c r="A739" s="1" t="s">
        <v>2089</v>
      </c>
      <c r="B739" s="1" t="s">
        <v>18</v>
      </c>
      <c r="C739" s="1" t="s">
        <v>2090</v>
      </c>
      <c r="D739" s="1" t="s">
        <v>2090</v>
      </c>
      <c r="E739" s="2">
        <v>45839.0</v>
      </c>
      <c r="F739" s="1" t="s">
        <v>21</v>
      </c>
      <c r="G739" s="1" t="s">
        <v>35</v>
      </c>
      <c r="H739" s="1" t="s">
        <v>2091</v>
      </c>
      <c r="I739" s="1">
        <v>100.0</v>
      </c>
      <c r="J739" s="1" t="s">
        <v>24</v>
      </c>
      <c r="K739" s="1">
        <v>100.0</v>
      </c>
      <c r="L739" s="1">
        <v>93.0</v>
      </c>
      <c r="M739" s="1">
        <v>7.0</v>
      </c>
      <c r="N739" s="1">
        <v>7.0</v>
      </c>
      <c r="O739" s="1" t="s">
        <v>2092</v>
      </c>
      <c r="P739" s="3" t="str">
        <f>HYPERLINK("https://icf.clappia.com/app/SOM165486/submission/BCF02836961/ICF247370-SOM165486-5gol4mejka8600000000/SIG-20250701_1753188414.jpeg", "SIG-20250701_1753188414.jpeg")</f>
        <v>SIG-20250701_1753188414.jpeg</v>
      </c>
      <c r="Q739" s="3" t="str">
        <f>HYPERLINK("https://www.google.com/maps/place/8.43269%2C-11.6796121", "8.43269,-11.6796121")</f>
        <v>8.43269,-11.6796121</v>
      </c>
    </row>
    <row r="740" ht="15.75" customHeight="1">
      <c r="A740" s="1" t="s">
        <v>2093</v>
      </c>
      <c r="B740" s="1" t="s">
        <v>18</v>
      </c>
      <c r="C740" s="1" t="s">
        <v>2094</v>
      </c>
      <c r="D740" s="1" t="s">
        <v>2094</v>
      </c>
      <c r="E740" s="2">
        <v>45838.0</v>
      </c>
      <c r="F740" s="1" t="s">
        <v>68</v>
      </c>
      <c r="G740" s="1" t="s">
        <v>248</v>
      </c>
      <c r="H740" s="1" t="s">
        <v>1148</v>
      </c>
      <c r="I740" s="1">
        <v>200.0</v>
      </c>
      <c r="J740" s="1" t="s">
        <v>24</v>
      </c>
      <c r="K740" s="1">
        <v>200.0</v>
      </c>
      <c r="L740" s="1">
        <v>192.0</v>
      </c>
      <c r="M740" s="1">
        <v>8.0</v>
      </c>
      <c r="N740" s="1">
        <v>8.0</v>
      </c>
      <c r="O740" s="1" t="s">
        <v>1882</v>
      </c>
      <c r="P740" s="3" t="str">
        <f>HYPERLINK("https://icf.clappia.com/app/SOM165486/submission/QLR43059389/ICF247370-SOM165486-4cacgeag2oi000000000/SIG-20250701_17286i97i.jpeg", "SIG-20250701_17286i97i.jpeg")</f>
        <v>SIG-20250701_17286i97i.jpeg</v>
      </c>
      <c r="Q740" s="3" t="str">
        <f>HYPERLINK("https://www.google.com/maps/place/9.2208563%2C-12.1408334", "9.2208563,-12.1408334")</f>
        <v>9.2208563,-12.1408334</v>
      </c>
    </row>
    <row r="741" ht="15.75" customHeight="1">
      <c r="A741" s="1" t="s">
        <v>2095</v>
      </c>
      <c r="B741" s="1" t="s">
        <v>18</v>
      </c>
      <c r="C741" s="1" t="s">
        <v>2096</v>
      </c>
      <c r="D741" s="1" t="s">
        <v>2096</v>
      </c>
      <c r="E741" s="2">
        <v>45839.0</v>
      </c>
      <c r="F741" s="1" t="s">
        <v>21</v>
      </c>
      <c r="G741" s="1" t="s">
        <v>29</v>
      </c>
      <c r="H741" s="1" t="s">
        <v>2082</v>
      </c>
      <c r="I741" s="1">
        <v>100.0</v>
      </c>
      <c r="J741" s="1" t="s">
        <v>24</v>
      </c>
      <c r="K741" s="1">
        <v>100.0</v>
      </c>
      <c r="L741" s="1">
        <v>100.0</v>
      </c>
      <c r="M741" s="1" t="s">
        <v>24</v>
      </c>
      <c r="N741" s="1" t="s">
        <v>24</v>
      </c>
      <c r="O741" s="1" t="s">
        <v>2083</v>
      </c>
      <c r="P741" s="3" t="str">
        <f>HYPERLINK("https://icf.clappia.com/app/SOM165486/submission/SES39117377/ICF247370-SOM165486-6b5ke83mon6000000000/SIG-20250701_1724181ecp.jpeg", "SIG-20250701_1724181ecp.jpeg")</f>
        <v>SIG-20250701_1724181ecp.jpeg</v>
      </c>
      <c r="Q741" s="3" t="str">
        <f>HYPERLINK("https://www.google.com/maps/place/8.2006833%2C-11.4593533", "8.2006833,-11.4593533")</f>
        <v>8.2006833,-11.4593533</v>
      </c>
    </row>
    <row r="742" ht="15.75" customHeight="1">
      <c r="A742" s="1" t="s">
        <v>2097</v>
      </c>
      <c r="B742" s="1" t="s">
        <v>283</v>
      </c>
      <c r="C742" s="1" t="s">
        <v>2098</v>
      </c>
      <c r="D742" s="1" t="s">
        <v>2098</v>
      </c>
      <c r="E742" s="2">
        <v>45839.0</v>
      </c>
      <c r="F742" s="1" t="s">
        <v>21</v>
      </c>
      <c r="G742" s="1" t="s">
        <v>164</v>
      </c>
      <c r="H742" s="1" t="s">
        <v>1692</v>
      </c>
      <c r="I742" s="1">
        <v>61.0</v>
      </c>
      <c r="J742" s="1" t="s">
        <v>24</v>
      </c>
      <c r="K742" s="1">
        <v>61.0</v>
      </c>
      <c r="L742" s="1">
        <v>61.0</v>
      </c>
      <c r="M742" s="1" t="s">
        <v>24</v>
      </c>
      <c r="N742" s="1" t="s">
        <v>24</v>
      </c>
      <c r="O742" s="1" t="s">
        <v>1693</v>
      </c>
      <c r="P742" s="3" t="str">
        <f>HYPERLINK("https://icf.clappia.com/app/SOM165486/submission/VMZ36090980/ICF247370-SOM165486-40eg43c7bh9e00000000/SIG-20250701_1713gpph1.jpeg", "SIG-20250701_1713gpph1.jpeg")</f>
        <v>SIG-20250701_1713gpph1.jpeg</v>
      </c>
      <c r="Q742" s="3" t="str">
        <f>HYPERLINK("https://www.google.com/maps/place/7.949895%2C-12.125735", "7.949895,-12.125735")</f>
        <v>7.949895,-12.125735</v>
      </c>
    </row>
    <row r="743" ht="15.75" customHeight="1">
      <c r="A743" s="1" t="s">
        <v>2099</v>
      </c>
      <c r="B743" s="1" t="s">
        <v>18</v>
      </c>
      <c r="C743" s="1" t="s">
        <v>2100</v>
      </c>
      <c r="D743" s="1" t="s">
        <v>2100</v>
      </c>
      <c r="E743" s="2">
        <v>45839.0</v>
      </c>
      <c r="F743" s="1" t="s">
        <v>68</v>
      </c>
      <c r="G743" s="1" t="s">
        <v>385</v>
      </c>
      <c r="H743" s="1" t="s">
        <v>386</v>
      </c>
      <c r="I743" s="1">
        <v>163.0</v>
      </c>
      <c r="J743" s="1" t="s">
        <v>24</v>
      </c>
      <c r="K743" s="1">
        <v>163.0</v>
      </c>
      <c r="L743" s="1">
        <v>163.0</v>
      </c>
      <c r="M743" s="1" t="s">
        <v>24</v>
      </c>
      <c r="N743" s="1" t="s">
        <v>24</v>
      </c>
      <c r="O743" s="1" t="s">
        <v>387</v>
      </c>
      <c r="P743" s="3" t="str">
        <f>HYPERLINK("https://icf.clappia.com/app/SOM165486/submission/XEO85146293/ICF247370-SOM165486-4h70pdm5ae8e00000000/SIG-20250701_1710epmje.jpeg", "SIG-20250701_1710epmje.jpeg")</f>
        <v>SIG-20250701_1710epmje.jpeg</v>
      </c>
      <c r="Q743" s="3" t="str">
        <f>HYPERLINK("https://www.google.com/maps/place/9.0215505%2C-12.3347331", "9.0215505,-12.3347331")</f>
        <v>9.0215505,-12.3347331</v>
      </c>
    </row>
    <row r="744" ht="15.75" customHeight="1">
      <c r="A744" s="1" t="s">
        <v>2101</v>
      </c>
      <c r="B744" s="1" t="s">
        <v>18</v>
      </c>
      <c r="C744" s="1" t="s">
        <v>2102</v>
      </c>
      <c r="D744" s="1" t="s">
        <v>2103</v>
      </c>
      <c r="E744" s="2">
        <v>45839.0</v>
      </c>
      <c r="F744" s="1" t="s">
        <v>68</v>
      </c>
      <c r="G744" s="1" t="s">
        <v>248</v>
      </c>
      <c r="H744" s="1" t="s">
        <v>264</v>
      </c>
      <c r="I744" s="1">
        <v>300.0</v>
      </c>
      <c r="J744" s="1" t="s">
        <v>24</v>
      </c>
      <c r="K744" s="1">
        <v>300.0</v>
      </c>
      <c r="L744" s="1">
        <v>290.0</v>
      </c>
      <c r="M744" s="1">
        <v>10.0</v>
      </c>
      <c r="N744" s="1" t="s">
        <v>24</v>
      </c>
      <c r="O744" s="1" t="s">
        <v>2104</v>
      </c>
      <c r="P744" s="3" t="str">
        <f>HYPERLINK("https://icf.clappia.com/app/SOM165486/submission/GWX14653714/ICF247370-SOM165486-3dmhmoda8ag600000000/SIG-20250701_170390kmh.jpeg", "SIG-20250701_170390kmh.jpeg")</f>
        <v>SIG-20250701_170390kmh.jpeg</v>
      </c>
      <c r="Q744" s="3" t="str">
        <f>HYPERLINK("https://www.google.com/maps/place/9.2381969%2C-12.0545124", "9.2381969,-12.0545124")</f>
        <v>9.2381969,-12.0545124</v>
      </c>
    </row>
    <row r="745" ht="15.75" customHeight="1">
      <c r="A745" s="1" t="s">
        <v>2105</v>
      </c>
      <c r="B745" s="1" t="s">
        <v>283</v>
      </c>
      <c r="C745" s="1" t="s">
        <v>2106</v>
      </c>
      <c r="D745" s="1" t="s">
        <v>2107</v>
      </c>
      <c r="E745" s="2">
        <v>45839.0</v>
      </c>
      <c r="F745" s="1" t="s">
        <v>68</v>
      </c>
      <c r="G745" s="1" t="s">
        <v>69</v>
      </c>
      <c r="H745" s="1" t="s">
        <v>1417</v>
      </c>
      <c r="I745" s="1">
        <v>150.0</v>
      </c>
      <c r="J745" s="1">
        <v>79.0</v>
      </c>
      <c r="K745" s="1">
        <v>229.0</v>
      </c>
      <c r="L745" s="1">
        <v>229.0</v>
      </c>
      <c r="M745" s="1" t="s">
        <v>24</v>
      </c>
      <c r="N745" s="1" t="s">
        <v>24</v>
      </c>
      <c r="O745" s="1" t="s">
        <v>2108</v>
      </c>
      <c r="P745" s="3" t="str">
        <f>HYPERLINK("https://icf.clappia.com/app/SOM165486/submission/IBK17321849/ICF247370-SOM165486-5dh7ad55pmb600000000/SIG-20250701_1641mbeb.jpeg", "SIG-20250701_1641mbeb.jpeg")</f>
        <v>SIG-20250701_1641mbeb.jpeg</v>
      </c>
    </row>
    <row r="746" ht="15.75" customHeight="1">
      <c r="A746" s="1" t="s">
        <v>2109</v>
      </c>
      <c r="B746" s="1" t="s">
        <v>283</v>
      </c>
      <c r="C746" s="1" t="s">
        <v>2110</v>
      </c>
      <c r="D746" s="1" t="s">
        <v>2110</v>
      </c>
      <c r="E746" s="2">
        <v>45839.0</v>
      </c>
      <c r="F746" s="1" t="s">
        <v>21</v>
      </c>
      <c r="G746" s="1" t="s">
        <v>164</v>
      </c>
      <c r="H746" s="1" t="s">
        <v>1692</v>
      </c>
      <c r="I746" s="1">
        <v>61.0</v>
      </c>
      <c r="J746" s="1" t="s">
        <v>24</v>
      </c>
      <c r="K746" s="1">
        <v>61.0</v>
      </c>
      <c r="L746" s="1">
        <v>61.0</v>
      </c>
      <c r="M746" s="1" t="s">
        <v>24</v>
      </c>
      <c r="N746" s="1" t="s">
        <v>24</v>
      </c>
      <c r="O746" s="1" t="s">
        <v>1693</v>
      </c>
      <c r="P746" s="3" t="str">
        <f>HYPERLINK("https://icf.clappia.com/app/SOM165486/submission/YES41110609/ICF247370-SOM165486-5ck60p2b7fpm00000000/SIG-20250701_1658jphdo.jpeg", "SIG-20250701_1658jphdo.jpeg")</f>
        <v>SIG-20250701_1658jphdo.jpeg</v>
      </c>
      <c r="Q746" s="3" t="str">
        <f>HYPERLINK("https://www.google.com/maps/place/7.9504516%2C-12.1252302", "7.9504516,-12.1252302")</f>
        <v>7.9504516,-12.1252302</v>
      </c>
    </row>
    <row r="747" ht="15.75" customHeight="1">
      <c r="A747" s="1" t="s">
        <v>2111</v>
      </c>
      <c r="B747" s="1" t="s">
        <v>18</v>
      </c>
      <c r="C747" s="1" t="s">
        <v>2112</v>
      </c>
      <c r="D747" s="1" t="s">
        <v>2112</v>
      </c>
      <c r="E747" s="2">
        <v>45839.0</v>
      </c>
      <c r="F747" s="1" t="s">
        <v>68</v>
      </c>
      <c r="G747" s="1" t="s">
        <v>248</v>
      </c>
      <c r="H747" s="1" t="s">
        <v>1148</v>
      </c>
      <c r="I747" s="1">
        <v>121.0</v>
      </c>
      <c r="J747" s="1" t="s">
        <v>24</v>
      </c>
      <c r="K747" s="1">
        <v>121.0</v>
      </c>
      <c r="L747" s="1">
        <v>117.0</v>
      </c>
      <c r="M747" s="1">
        <v>4.0</v>
      </c>
      <c r="N747" s="1">
        <v>4.0</v>
      </c>
      <c r="O747" s="1" t="s">
        <v>2113</v>
      </c>
      <c r="P747" s="3" t="str">
        <f>HYPERLINK("https://icf.clappia.com/app/SOM165486/submission/XXG35036484/ICF247370-SOM165486-2ano3fdn34kek0000000/SIG-20250701_163518ma8g.jpeg", "SIG-20250701_163518ma8g.jpeg")</f>
        <v>SIG-20250701_163518ma8g.jpeg</v>
      </c>
      <c r="Q747" s="3" t="str">
        <f>HYPERLINK("https://www.google.com/maps/place/9.1965728%2C-12.2095586", "9.1965728,-12.2095586")</f>
        <v>9.1965728,-12.2095586</v>
      </c>
    </row>
    <row r="748" ht="15.75" customHeight="1">
      <c r="A748" s="1" t="s">
        <v>2114</v>
      </c>
      <c r="B748" s="1" t="s">
        <v>18</v>
      </c>
      <c r="C748" s="1" t="s">
        <v>2115</v>
      </c>
      <c r="D748" s="1" t="s">
        <v>2116</v>
      </c>
      <c r="E748" s="2">
        <v>45838.0</v>
      </c>
      <c r="F748" s="1" t="s">
        <v>21</v>
      </c>
      <c r="G748" s="1" t="s">
        <v>35</v>
      </c>
      <c r="H748" s="1" t="s">
        <v>36</v>
      </c>
      <c r="I748" s="1">
        <v>200.0</v>
      </c>
      <c r="J748" s="1" t="s">
        <v>24</v>
      </c>
      <c r="K748" s="1">
        <v>200.0</v>
      </c>
      <c r="L748" s="1">
        <v>175.0</v>
      </c>
      <c r="M748" s="1">
        <v>25.0</v>
      </c>
      <c r="N748" s="1">
        <v>20.0</v>
      </c>
      <c r="O748" s="1" t="s">
        <v>2117</v>
      </c>
      <c r="P748" s="3" t="str">
        <f>HYPERLINK("https://icf.clappia.com/app/SOM165486/submission/MWP95081003/ICF247370-SOM165486-5ac353gmhd6g00000000/SIG-20250701_132619o8nh.jpeg", "SIG-20250701_132619o8nh.jpeg")</f>
        <v>SIG-20250701_132619o8nh.jpeg</v>
      </c>
      <c r="Q748" s="3" t="str">
        <f>HYPERLINK("https://www.google.com/maps/place/8.2856433%2C-11.5983567", "8.2856433,-11.5983567")</f>
        <v>8.2856433,-11.5983567</v>
      </c>
    </row>
    <row r="749" ht="15.75" customHeight="1">
      <c r="A749" s="1" t="s">
        <v>2118</v>
      </c>
      <c r="B749" s="1" t="s">
        <v>18</v>
      </c>
      <c r="C749" s="1" t="s">
        <v>2119</v>
      </c>
      <c r="D749" s="1" t="s">
        <v>2119</v>
      </c>
      <c r="E749" s="2">
        <v>45838.0</v>
      </c>
      <c r="F749" s="1" t="s">
        <v>21</v>
      </c>
      <c r="G749" s="1" t="s">
        <v>269</v>
      </c>
      <c r="H749" s="1" t="s">
        <v>1298</v>
      </c>
      <c r="I749" s="1">
        <v>1258.0</v>
      </c>
      <c r="J749" s="1" t="s">
        <v>24</v>
      </c>
      <c r="K749" s="1">
        <v>1258.0</v>
      </c>
      <c r="L749" s="1">
        <v>1104.0</v>
      </c>
      <c r="M749" s="1">
        <v>154.0</v>
      </c>
      <c r="N749" s="1">
        <v>152.0</v>
      </c>
      <c r="O749" s="1" t="s">
        <v>2120</v>
      </c>
      <c r="P749" s="3" t="str">
        <f>HYPERLINK("https://icf.clappia.com/app/SOM165486/submission/WGC60264121/ICF247370-SOM165486-2lg1ja97d3ha00000000/SIG-20250701_1629145ofn.jpeg", "SIG-20250701_1629145ofn.jpeg")</f>
        <v>SIG-20250701_1629145ofn.jpeg</v>
      </c>
      <c r="Q749" s="3" t="str">
        <f>HYPERLINK("https://www.google.com/maps/place/7.7114105%2C-11.6938292", "7.7114105,-11.6938292")</f>
        <v>7.7114105,-11.6938292</v>
      </c>
    </row>
    <row r="750" ht="15.75" customHeight="1">
      <c r="A750" s="1" t="s">
        <v>2121</v>
      </c>
      <c r="B750" s="1" t="s">
        <v>18</v>
      </c>
      <c r="C750" s="1" t="s">
        <v>2122</v>
      </c>
      <c r="D750" s="1" t="s">
        <v>2123</v>
      </c>
      <c r="E750" s="2">
        <v>45839.0</v>
      </c>
      <c r="F750" s="1" t="s">
        <v>21</v>
      </c>
      <c r="G750" s="1" t="s">
        <v>164</v>
      </c>
      <c r="H750" s="1" t="s">
        <v>887</v>
      </c>
      <c r="I750" s="1">
        <v>185.0</v>
      </c>
      <c r="J750" s="1" t="s">
        <v>24</v>
      </c>
      <c r="K750" s="1">
        <v>185.0</v>
      </c>
      <c r="L750" s="1">
        <v>173.0</v>
      </c>
      <c r="M750" s="1">
        <v>12.0</v>
      </c>
      <c r="N750" s="1">
        <v>12.0</v>
      </c>
      <c r="O750" s="1" t="s">
        <v>1227</v>
      </c>
      <c r="P750" s="3" t="str">
        <f>HYPERLINK("https://icf.clappia.com/app/SOM165486/submission/ODK63434739/ICF247370-SOM165486-2hancbf2n78k00000000/SIG-20250701_145188cb3.jpeg", "SIG-20250701_145188cb3.jpeg")</f>
        <v>SIG-20250701_145188cb3.jpeg</v>
      </c>
      <c r="Q750" s="3" t="str">
        <f t="shared" ref="Q750:Q751" si="12">HYPERLINK("https://www.google.com/maps/place/7.8894367%2C-11.9035833", "7.8894367,-11.9035833")</f>
        <v>7.8894367,-11.9035833</v>
      </c>
    </row>
    <row r="751" ht="15.75" customHeight="1">
      <c r="A751" s="1" t="s">
        <v>2124</v>
      </c>
      <c r="B751" s="1" t="s">
        <v>18</v>
      </c>
      <c r="C751" s="1" t="s">
        <v>507</v>
      </c>
      <c r="D751" s="1" t="s">
        <v>2123</v>
      </c>
      <c r="E751" s="2">
        <v>45838.0</v>
      </c>
      <c r="F751" s="1" t="s">
        <v>21</v>
      </c>
      <c r="G751" s="1" t="s">
        <v>164</v>
      </c>
      <c r="H751" s="1" t="s">
        <v>887</v>
      </c>
      <c r="I751" s="1">
        <v>280.0</v>
      </c>
      <c r="J751" s="1" t="s">
        <v>24</v>
      </c>
      <c r="K751" s="1">
        <v>280.0</v>
      </c>
      <c r="L751" s="1">
        <v>205.0</v>
      </c>
      <c r="M751" s="1">
        <v>75.0</v>
      </c>
      <c r="N751" s="1">
        <v>75.0</v>
      </c>
      <c r="O751" s="1" t="s">
        <v>1227</v>
      </c>
      <c r="P751" s="3" t="str">
        <f>HYPERLINK("https://icf.clappia.com/app/SOM165486/submission/RBK63229155/ICF247370-SOM165486-46j5a0h1fanc00000000/SIG-20250701_14444cbei.jpeg", "SIG-20250701_14444cbei.jpeg")</f>
        <v>SIG-20250701_14444cbei.jpeg</v>
      </c>
      <c r="Q751" s="3" t="str">
        <f t="shared" si="12"/>
        <v>7.8894367,-11.9035833</v>
      </c>
    </row>
    <row r="752" ht="15.75" customHeight="1">
      <c r="A752" s="1" t="s">
        <v>2125</v>
      </c>
      <c r="B752" s="1" t="s">
        <v>18</v>
      </c>
      <c r="C752" s="1" t="s">
        <v>2126</v>
      </c>
      <c r="D752" s="1" t="s">
        <v>2126</v>
      </c>
      <c r="E752" s="2">
        <v>45839.0</v>
      </c>
      <c r="F752" s="1" t="s">
        <v>68</v>
      </c>
      <c r="G752" s="1" t="s">
        <v>672</v>
      </c>
      <c r="H752" s="1" t="s">
        <v>857</v>
      </c>
      <c r="I752" s="1">
        <v>150.0</v>
      </c>
      <c r="J752" s="1">
        <v>50.0</v>
      </c>
      <c r="K752" s="1">
        <v>200.0</v>
      </c>
      <c r="L752" s="1">
        <v>200.0</v>
      </c>
      <c r="M752" s="1" t="s">
        <v>24</v>
      </c>
      <c r="N752" s="1" t="s">
        <v>24</v>
      </c>
      <c r="O752" s="1" t="s">
        <v>858</v>
      </c>
      <c r="P752" s="3" t="str">
        <f>HYPERLINK("https://icf.clappia.com/app/SOM165486/submission/XAY24721815/ICF247370-SOM165486-4993agg42a1c00000000/SIG-20250701_16192doe3.jpeg", "SIG-20250701_16192doe3.jpeg")</f>
        <v>SIG-20250701_16192doe3.jpeg</v>
      </c>
      <c r="Q752" s="3" t="str">
        <f>HYPERLINK("https://www.google.com/maps/place/8.8733711%2C-12.0206031", "8.8733711,-12.0206031")</f>
        <v>8.8733711,-12.0206031</v>
      </c>
    </row>
    <row r="753" ht="15.75" customHeight="1">
      <c r="A753" s="1" t="s">
        <v>2127</v>
      </c>
      <c r="B753" s="1" t="s">
        <v>18</v>
      </c>
      <c r="C753" s="1" t="s">
        <v>2128</v>
      </c>
      <c r="D753" s="1" t="s">
        <v>2126</v>
      </c>
      <c r="E753" s="2">
        <v>45839.0</v>
      </c>
      <c r="F753" s="1" t="s">
        <v>21</v>
      </c>
      <c r="G753" s="1" t="s">
        <v>58</v>
      </c>
      <c r="H753" s="1" t="s">
        <v>147</v>
      </c>
      <c r="I753" s="1">
        <v>179.0</v>
      </c>
      <c r="J753" s="1" t="s">
        <v>24</v>
      </c>
      <c r="K753" s="1">
        <v>179.0</v>
      </c>
      <c r="L753" s="1">
        <v>163.0</v>
      </c>
      <c r="M753" s="1">
        <v>16.0</v>
      </c>
      <c r="N753" s="1">
        <v>16.0</v>
      </c>
      <c r="O753" s="1" t="s">
        <v>2129</v>
      </c>
      <c r="P753" s="3" t="str">
        <f>HYPERLINK("https://icf.clappia.com/app/SOM165486/submission/QNZ87058813/ICF247370-SOM165486-4l7j7cdk5j3200000000/SIG-20250701_16175f47b.jpeg", "SIG-20250701_16175f47b.jpeg")</f>
        <v>SIG-20250701_16175f47b.jpeg</v>
      </c>
      <c r="Q753" s="3" t="str">
        <f>HYPERLINK("https://www.google.com/maps/place/7.8790027%2C-11.781046", "7.8790027,-11.781046")</f>
        <v>7.8790027,-11.781046</v>
      </c>
    </row>
    <row r="754" ht="15.75" customHeight="1">
      <c r="A754" s="1" t="s">
        <v>2130</v>
      </c>
      <c r="B754" s="1" t="s">
        <v>18</v>
      </c>
      <c r="C754" s="1" t="s">
        <v>2128</v>
      </c>
      <c r="D754" s="1" t="s">
        <v>2128</v>
      </c>
      <c r="E754" s="2">
        <v>45839.0</v>
      </c>
      <c r="F754" s="1" t="s">
        <v>21</v>
      </c>
      <c r="G754" s="1" t="s">
        <v>269</v>
      </c>
      <c r="H754" s="1" t="s">
        <v>1298</v>
      </c>
      <c r="I754" s="1">
        <v>150.0</v>
      </c>
      <c r="J754" s="1" t="s">
        <v>24</v>
      </c>
      <c r="K754" s="1">
        <v>150.0</v>
      </c>
      <c r="L754" s="1">
        <v>100.0</v>
      </c>
      <c r="M754" s="1">
        <v>50.0</v>
      </c>
      <c r="N754" s="1">
        <v>50.0</v>
      </c>
      <c r="O754" s="1" t="s">
        <v>1335</v>
      </c>
      <c r="P754" s="3" t="str">
        <f>HYPERLINK("https://icf.clappia.com/app/SOM165486/submission/MGU11913885/ICF247370-SOM165486-141poce182o9m0000000/SIG-20250701_1618makkb.jpeg", "SIG-20250701_1618makkb.jpeg")</f>
        <v>SIG-20250701_1618makkb.jpeg</v>
      </c>
      <c r="Q754" s="3" t="str">
        <f>HYPERLINK("https://www.google.com/maps/place/7.7113817%2C-11.69374", "7.7113817,-11.69374")</f>
        <v>7.7113817,-11.69374</v>
      </c>
    </row>
    <row r="755" ht="15.75" customHeight="1">
      <c r="A755" s="1" t="s">
        <v>2131</v>
      </c>
      <c r="B755" s="1" t="s">
        <v>18</v>
      </c>
      <c r="C755" s="1" t="s">
        <v>2132</v>
      </c>
      <c r="D755" s="1" t="s">
        <v>2128</v>
      </c>
      <c r="E755" s="2">
        <v>45839.0</v>
      </c>
      <c r="F755" s="1" t="s">
        <v>21</v>
      </c>
      <c r="G755" s="1" t="s">
        <v>29</v>
      </c>
      <c r="H755" s="1" t="s">
        <v>1831</v>
      </c>
      <c r="I755" s="1">
        <v>139.0</v>
      </c>
      <c r="J755" s="1" t="s">
        <v>24</v>
      </c>
      <c r="K755" s="1">
        <v>139.0</v>
      </c>
      <c r="L755" s="1">
        <v>99.0</v>
      </c>
      <c r="M755" s="1">
        <v>40.0</v>
      </c>
      <c r="N755" s="1">
        <v>40.0</v>
      </c>
      <c r="O755" s="1" t="s">
        <v>1832</v>
      </c>
      <c r="P755" s="3" t="str">
        <f>HYPERLINK("https://icf.clappia.com/app/SOM165486/submission/DWO24071086/ICF247370-SOM165486-9pndi29li9l20000000/SIG-20250701_1615h69nb.jpeg", "SIG-20250701_1615h69nb.jpeg")</f>
        <v>SIG-20250701_1615h69nb.jpeg</v>
      </c>
      <c r="Q755" s="3" t="str">
        <f>HYPERLINK("https://www.google.com/maps/place/8.2021533%2C-11.5094583", "8.2021533,-11.5094583")</f>
        <v>8.2021533,-11.5094583</v>
      </c>
    </row>
    <row r="756" ht="15.75" customHeight="1">
      <c r="A756" s="1" t="s">
        <v>2133</v>
      </c>
      <c r="B756" s="1" t="s">
        <v>18</v>
      </c>
      <c r="C756" s="1" t="s">
        <v>2134</v>
      </c>
      <c r="D756" s="1" t="s">
        <v>2135</v>
      </c>
      <c r="E756" s="2">
        <v>45838.0</v>
      </c>
      <c r="F756" s="1" t="s">
        <v>21</v>
      </c>
      <c r="G756" s="1" t="s">
        <v>29</v>
      </c>
      <c r="H756" s="1" t="s">
        <v>1831</v>
      </c>
      <c r="I756" s="1">
        <v>100.0</v>
      </c>
      <c r="J756" s="1" t="s">
        <v>24</v>
      </c>
      <c r="K756" s="1">
        <v>100.0</v>
      </c>
      <c r="L756" s="1">
        <v>89.0</v>
      </c>
      <c r="M756" s="1">
        <v>11.0</v>
      </c>
      <c r="N756" s="1">
        <v>11.0</v>
      </c>
      <c r="O756" s="1" t="s">
        <v>1832</v>
      </c>
      <c r="P756" s="3" t="str">
        <f>HYPERLINK("https://icf.clappia.com/app/SOM165486/submission/FCZ14569391/ICF247370-SOM165486-5m896mcfej6800000000/SIG-20250701_1554108h9i.jpeg", "SIG-20250701_1554108h9i.jpeg")</f>
        <v>SIG-20250701_1554108h9i.jpeg</v>
      </c>
      <c r="Q756" s="3" t="str">
        <f>HYPERLINK("https://www.google.com/maps/place/8.2018667%2C-11.5095918", "8.2018667,-11.5095918")</f>
        <v>8.2018667,-11.5095918</v>
      </c>
    </row>
    <row r="757" ht="15.75" customHeight="1">
      <c r="A757" s="1" t="s">
        <v>2136</v>
      </c>
      <c r="B757" s="1" t="s">
        <v>18</v>
      </c>
      <c r="C757" s="1" t="s">
        <v>2137</v>
      </c>
      <c r="D757" s="1" t="s">
        <v>2138</v>
      </c>
      <c r="E757" s="2">
        <v>45839.0</v>
      </c>
      <c r="F757" s="1" t="s">
        <v>68</v>
      </c>
      <c r="G757" s="1" t="s">
        <v>248</v>
      </c>
      <c r="H757" s="1" t="s">
        <v>264</v>
      </c>
      <c r="I757" s="1">
        <v>300.0</v>
      </c>
      <c r="J757" s="1" t="s">
        <v>24</v>
      </c>
      <c r="K757" s="1">
        <v>300.0</v>
      </c>
      <c r="L757" s="1">
        <v>300.0</v>
      </c>
      <c r="M757" s="1" t="s">
        <v>24</v>
      </c>
      <c r="N757" s="1" t="s">
        <v>24</v>
      </c>
      <c r="O757" s="1" t="s">
        <v>2104</v>
      </c>
      <c r="P757" s="3" t="str">
        <f>HYPERLINK("https://icf.clappia.com/app/SOM165486/submission/EWI88147764/ICF247370-SOM165486-18nhop583h3c40000000/SIG-20250701_1605jl092.jpeg", "SIG-20250701_1605jl092.jpeg")</f>
        <v>SIG-20250701_1605jl092.jpeg</v>
      </c>
    </row>
    <row r="758" ht="15.75" customHeight="1">
      <c r="A758" s="1" t="s">
        <v>2139</v>
      </c>
      <c r="B758" s="1" t="s">
        <v>18</v>
      </c>
      <c r="C758" s="1" t="s">
        <v>2019</v>
      </c>
      <c r="D758" s="1" t="s">
        <v>2019</v>
      </c>
      <c r="E758" s="2">
        <v>45839.0</v>
      </c>
      <c r="F758" s="1" t="s">
        <v>68</v>
      </c>
      <c r="G758" s="1" t="s">
        <v>248</v>
      </c>
      <c r="H758" s="1" t="s">
        <v>264</v>
      </c>
      <c r="I758" s="1">
        <v>300.0</v>
      </c>
      <c r="J758" s="1" t="s">
        <v>24</v>
      </c>
      <c r="K758" s="1">
        <v>300.0</v>
      </c>
      <c r="L758" s="1">
        <v>300.0</v>
      </c>
      <c r="M758" s="1" t="s">
        <v>24</v>
      </c>
      <c r="N758" s="1" t="s">
        <v>24</v>
      </c>
      <c r="O758" s="1" t="s">
        <v>2140</v>
      </c>
      <c r="P758" s="3" t="str">
        <f>HYPERLINK("https://icf.clappia.com/app/SOM165486/submission/CGP64431611/ICF247370-SOM165486-4igbbhai36ka00000000/SIG-20250701_1605o78gc.jpeg", "SIG-20250701_1605o78gc.jpeg")</f>
        <v>SIG-20250701_1605o78gc.jpeg</v>
      </c>
      <c r="Q758" s="3" t="str">
        <f>HYPERLINK("https://www.google.com/maps/place/9.2385467%2C-12.0611833", "9.2385467,-12.0611833")</f>
        <v>9.2385467,-12.0611833</v>
      </c>
    </row>
    <row r="759" ht="15.75" customHeight="1">
      <c r="A759" s="1" t="s">
        <v>2141</v>
      </c>
      <c r="B759" s="1" t="s">
        <v>18</v>
      </c>
      <c r="C759" s="1" t="s">
        <v>2142</v>
      </c>
      <c r="D759" s="1" t="s">
        <v>2142</v>
      </c>
      <c r="E759" s="2">
        <v>45839.0</v>
      </c>
      <c r="F759" s="1" t="s">
        <v>21</v>
      </c>
      <c r="G759" s="1" t="s">
        <v>77</v>
      </c>
      <c r="H759" s="1" t="s">
        <v>611</v>
      </c>
      <c r="I759" s="1">
        <v>975.0</v>
      </c>
      <c r="J759" s="1" t="s">
        <v>24</v>
      </c>
      <c r="K759" s="1">
        <v>975.0</v>
      </c>
      <c r="L759" s="1">
        <v>917.0</v>
      </c>
      <c r="M759" s="1">
        <v>58.0</v>
      </c>
      <c r="N759" s="1">
        <v>58.0</v>
      </c>
      <c r="O759" s="1" t="s">
        <v>2143</v>
      </c>
      <c r="P759" s="3" t="str">
        <f>HYPERLINK("https://icf.clappia.com/app/SOM165486/submission/KGK63609425/ICF247370-SOM165486-2pgj6kp55cfa0000000/SIG-20250701_1608f84gi.jpeg", "SIG-20250701_1608f84gi.jpeg")</f>
        <v>SIG-20250701_1608f84gi.jpeg</v>
      </c>
      <c r="Q759" s="3" t="str">
        <f>HYPERLINK("https://www.google.com/maps/place/7.9655983%2C-11.7403717", "7.9655983,-11.7403717")</f>
        <v>7.9655983,-11.7403717</v>
      </c>
    </row>
    <row r="760" ht="15.75" customHeight="1">
      <c r="A760" s="1" t="s">
        <v>2144</v>
      </c>
      <c r="B760" s="1" t="s">
        <v>18</v>
      </c>
      <c r="C760" s="1" t="s">
        <v>2137</v>
      </c>
      <c r="D760" s="1" t="s">
        <v>2137</v>
      </c>
      <c r="E760" s="2">
        <v>45839.0</v>
      </c>
      <c r="F760" s="1" t="s">
        <v>21</v>
      </c>
      <c r="G760" s="1" t="s">
        <v>781</v>
      </c>
      <c r="H760" s="1" t="s">
        <v>1256</v>
      </c>
      <c r="I760" s="1">
        <v>145.0</v>
      </c>
      <c r="J760" s="1" t="s">
        <v>24</v>
      </c>
      <c r="K760" s="1">
        <v>145.0</v>
      </c>
      <c r="L760" s="1">
        <v>145.0</v>
      </c>
      <c r="M760" s="1" t="s">
        <v>24</v>
      </c>
      <c r="N760" s="1" t="s">
        <v>24</v>
      </c>
      <c r="O760" s="1" t="s">
        <v>2145</v>
      </c>
      <c r="P760" s="3" t="str">
        <f>HYPERLINK("https://icf.clappia.com/app/SOM165486/submission/MPO14434174/ICF247370-SOM165486-1lm9j7hag9fke0000000/SIG-20250701_1604eiee7.jpeg", "SIG-20250701_1604eiee7.jpeg")</f>
        <v>SIG-20250701_1604eiee7.jpeg</v>
      </c>
      <c r="Q760" s="3" t="str">
        <f>HYPERLINK("https://www.google.com/maps/place/7.9080583%2C-11.505885", "7.9080583,-11.505885")</f>
        <v>7.9080583,-11.505885</v>
      </c>
    </row>
    <row r="761" ht="15.75" customHeight="1">
      <c r="A761" s="1" t="s">
        <v>2146</v>
      </c>
      <c r="B761" s="1" t="s">
        <v>18</v>
      </c>
      <c r="C761" s="1" t="s">
        <v>2147</v>
      </c>
      <c r="D761" s="1" t="s">
        <v>2147</v>
      </c>
      <c r="E761" s="2">
        <v>45839.0</v>
      </c>
      <c r="F761" s="1" t="s">
        <v>21</v>
      </c>
      <c r="G761" s="1" t="s">
        <v>95</v>
      </c>
      <c r="H761" s="1" t="s">
        <v>216</v>
      </c>
      <c r="I761" s="1">
        <v>169.0</v>
      </c>
      <c r="J761" s="1" t="s">
        <v>24</v>
      </c>
      <c r="K761" s="1">
        <v>169.0</v>
      </c>
      <c r="L761" s="1">
        <v>149.0</v>
      </c>
      <c r="M761" s="1">
        <v>20.0</v>
      </c>
      <c r="N761" s="1">
        <v>20.0</v>
      </c>
      <c r="O761" s="1" t="s">
        <v>217</v>
      </c>
      <c r="P761" s="3" t="str">
        <f>HYPERLINK("https://icf.clappia.com/app/SOM165486/submission/PVO89979896/ICF247370-SOM165486-1dg79nb2ghpmo0000000/SIG-20250701_1558agm5i.jpeg", "SIG-20250701_1558agm5i.jpeg")</f>
        <v>SIG-20250701_1558agm5i.jpeg</v>
      </c>
      <c r="Q761" s="3" t="str">
        <f>HYPERLINK("https://www.google.com/maps/place/7.9562652%2C-11.7607629", "7.9562652,-11.7607629")</f>
        <v>7.9562652,-11.7607629</v>
      </c>
    </row>
    <row r="762" ht="15.75" customHeight="1">
      <c r="A762" s="1" t="s">
        <v>2148</v>
      </c>
      <c r="B762" s="1" t="s">
        <v>18</v>
      </c>
      <c r="C762" s="1" t="s">
        <v>2149</v>
      </c>
      <c r="D762" s="1" t="s">
        <v>2150</v>
      </c>
      <c r="E762" s="2">
        <v>45839.0</v>
      </c>
      <c r="F762" s="1" t="s">
        <v>21</v>
      </c>
      <c r="G762" s="1" t="s">
        <v>331</v>
      </c>
      <c r="H762" s="1" t="s">
        <v>1322</v>
      </c>
      <c r="I762" s="1">
        <v>157.0</v>
      </c>
      <c r="J762" s="1" t="s">
        <v>24</v>
      </c>
      <c r="K762" s="1">
        <v>157.0</v>
      </c>
      <c r="L762" s="1">
        <v>157.0</v>
      </c>
      <c r="M762" s="1" t="s">
        <v>24</v>
      </c>
      <c r="N762" s="1" t="s">
        <v>24</v>
      </c>
      <c r="O762" s="1" t="s">
        <v>1323</v>
      </c>
      <c r="P762" s="3" t="str">
        <f>HYPERLINK("https://icf.clappia.com/app/SOM165486/submission/FPQ69725731/ICF247370-SOM165486-2431o8a26mboe0000000/SIG-20250701_1003g24mf.jpeg", "SIG-20250701_1003g24mf.jpeg")</f>
        <v>SIG-20250701_1003g24mf.jpeg</v>
      </c>
      <c r="Q762" s="3" t="str">
        <f t="shared" ref="Q762:Q764" si="13">HYPERLINK("https://www.google.com/maps/place/7.743135%2C-11.4934567", "7.743135,-11.4934567")</f>
        <v>7.743135,-11.4934567</v>
      </c>
    </row>
    <row r="763" ht="15.75" customHeight="1">
      <c r="A763" s="1" t="s">
        <v>2151</v>
      </c>
      <c r="B763" s="1" t="s">
        <v>18</v>
      </c>
      <c r="C763" s="1" t="s">
        <v>2152</v>
      </c>
      <c r="D763" s="1" t="s">
        <v>2153</v>
      </c>
      <c r="E763" s="2">
        <v>45839.0</v>
      </c>
      <c r="F763" s="1" t="s">
        <v>21</v>
      </c>
      <c r="G763" s="1" t="s">
        <v>331</v>
      </c>
      <c r="H763" s="1" t="s">
        <v>1322</v>
      </c>
      <c r="I763" s="1">
        <v>157.0</v>
      </c>
      <c r="J763" s="1" t="s">
        <v>24</v>
      </c>
      <c r="K763" s="1">
        <v>157.0</v>
      </c>
      <c r="L763" s="1">
        <v>157.0</v>
      </c>
      <c r="M763" s="1" t="s">
        <v>24</v>
      </c>
      <c r="N763" s="1" t="s">
        <v>24</v>
      </c>
      <c r="O763" s="1" t="s">
        <v>1323</v>
      </c>
      <c r="P763" s="3" t="str">
        <f>HYPERLINK("https://icf.clappia.com/app/SOM165486/submission/OKB28566190/ICF247370-SOM165486-24kel2d49joak0000000/SIG-20250701_0910mgci1.jpeg", "SIG-20250701_0910mgci1.jpeg")</f>
        <v>SIG-20250701_0910mgci1.jpeg</v>
      </c>
      <c r="Q763" s="3" t="str">
        <f t="shared" si="13"/>
        <v>7.743135,-11.4934567</v>
      </c>
    </row>
    <row r="764" ht="15.75" customHeight="1">
      <c r="A764" s="1" t="s">
        <v>2154</v>
      </c>
      <c r="B764" s="1" t="s">
        <v>18</v>
      </c>
      <c r="C764" s="1" t="s">
        <v>2155</v>
      </c>
      <c r="D764" s="1" t="s">
        <v>2153</v>
      </c>
      <c r="E764" s="2">
        <v>45839.0</v>
      </c>
      <c r="F764" s="1" t="s">
        <v>21</v>
      </c>
      <c r="G764" s="1" t="s">
        <v>331</v>
      </c>
      <c r="H764" s="1" t="s">
        <v>1322</v>
      </c>
      <c r="I764" s="1">
        <v>157.0</v>
      </c>
      <c r="J764" s="1" t="s">
        <v>24</v>
      </c>
      <c r="K764" s="1">
        <v>157.0</v>
      </c>
      <c r="L764" s="1">
        <v>157.0</v>
      </c>
      <c r="M764" s="1" t="s">
        <v>24</v>
      </c>
      <c r="N764" s="1" t="s">
        <v>24</v>
      </c>
      <c r="O764" s="1" t="s">
        <v>2156</v>
      </c>
      <c r="P764" s="3" t="str">
        <f>HYPERLINK("https://icf.clappia.com/app/SOM165486/submission/VJU41946613/ICF247370-SOM165486-2bgm23ngkjklm0000000/SIG-20250701_0909ajca7.jpeg", "SIG-20250701_0909ajca7.jpeg")</f>
        <v>SIG-20250701_0909ajca7.jpeg</v>
      </c>
      <c r="Q764" s="3" t="str">
        <f t="shared" si="13"/>
        <v>7.743135,-11.4934567</v>
      </c>
    </row>
    <row r="765" ht="15.75" customHeight="1">
      <c r="A765" s="1" t="s">
        <v>2157</v>
      </c>
      <c r="B765" s="1" t="s">
        <v>18</v>
      </c>
      <c r="C765" s="1" t="s">
        <v>2158</v>
      </c>
      <c r="D765" s="1" t="s">
        <v>2158</v>
      </c>
      <c r="E765" s="2">
        <v>45838.0</v>
      </c>
      <c r="F765" s="1" t="s">
        <v>68</v>
      </c>
      <c r="G765" s="1" t="s">
        <v>385</v>
      </c>
      <c r="H765" s="1" t="s">
        <v>386</v>
      </c>
      <c r="I765" s="1">
        <v>265.0</v>
      </c>
      <c r="J765" s="1" t="s">
        <v>24</v>
      </c>
      <c r="K765" s="1">
        <v>265.0</v>
      </c>
      <c r="L765" s="1">
        <v>240.0</v>
      </c>
      <c r="M765" s="1">
        <v>25.0</v>
      </c>
      <c r="N765" s="1">
        <v>25.0</v>
      </c>
      <c r="O765" s="1" t="s">
        <v>387</v>
      </c>
      <c r="P765" s="3" t="str">
        <f>HYPERLINK("https://icf.clappia.com/app/SOM165486/submission/ETM11907046/ICF247370-SOM165486-1pg0f4kf7n7760000000/SIG-20250701_155310c88b.jpeg", "SIG-20250701_155310c88b.jpeg")</f>
        <v>SIG-20250701_155310c88b.jpeg</v>
      </c>
      <c r="Q765" s="3" t="str">
        <f>HYPERLINK("https://www.google.com/maps/place/9.0218587%2C-12.33458", "9.0218587,-12.33458")</f>
        <v>9.0218587,-12.33458</v>
      </c>
    </row>
    <row r="766" ht="15.75" customHeight="1">
      <c r="A766" s="1" t="s">
        <v>2159</v>
      </c>
      <c r="B766" s="1" t="s">
        <v>18</v>
      </c>
      <c r="C766" s="1" t="s">
        <v>2160</v>
      </c>
      <c r="D766" s="1" t="s">
        <v>2160</v>
      </c>
      <c r="E766" s="2">
        <v>45839.0</v>
      </c>
      <c r="F766" s="1" t="s">
        <v>21</v>
      </c>
      <c r="G766" s="1" t="s">
        <v>269</v>
      </c>
      <c r="H766" s="1" t="s">
        <v>540</v>
      </c>
      <c r="I766" s="1">
        <v>100.0</v>
      </c>
      <c r="J766" s="1" t="s">
        <v>24</v>
      </c>
      <c r="K766" s="1">
        <v>100.0</v>
      </c>
      <c r="L766" s="1">
        <v>74.0</v>
      </c>
      <c r="M766" s="1">
        <v>26.0</v>
      </c>
      <c r="N766" s="1">
        <v>26.0</v>
      </c>
      <c r="O766" s="1" t="s">
        <v>541</v>
      </c>
      <c r="P766" s="3" t="str">
        <f>HYPERLINK("https://icf.clappia.com/app/SOM165486/submission/YXB01252427/ICF247370-SOM165486-3i46oieji25k00000000/SIG-20250701_1551iko1p.jpeg", "SIG-20250701_1551iko1p.jpeg")</f>
        <v>SIG-20250701_1551iko1p.jpeg</v>
      </c>
      <c r="Q766" s="3" t="str">
        <f>HYPERLINK("https://www.google.com/maps/place/7.83111%2C-11.5029033", "7.83111,-11.5029033")</f>
        <v>7.83111,-11.5029033</v>
      </c>
    </row>
    <row r="767" ht="15.75" customHeight="1">
      <c r="A767" s="1" t="s">
        <v>2161</v>
      </c>
      <c r="B767" s="1" t="s">
        <v>18</v>
      </c>
      <c r="C767" s="1" t="s">
        <v>2162</v>
      </c>
      <c r="D767" s="1" t="s">
        <v>2162</v>
      </c>
      <c r="E767" s="2">
        <v>45839.0</v>
      </c>
      <c r="F767" s="1" t="s">
        <v>21</v>
      </c>
      <c r="G767" s="1" t="s">
        <v>331</v>
      </c>
      <c r="H767" s="1" t="s">
        <v>332</v>
      </c>
      <c r="I767" s="1">
        <v>42.0</v>
      </c>
      <c r="J767" s="1" t="s">
        <v>24</v>
      </c>
      <c r="K767" s="1">
        <v>42.0</v>
      </c>
      <c r="L767" s="1">
        <v>42.0</v>
      </c>
      <c r="M767" s="1" t="s">
        <v>24</v>
      </c>
      <c r="N767" s="1" t="s">
        <v>24</v>
      </c>
      <c r="O767" s="1" t="s">
        <v>333</v>
      </c>
      <c r="P767" s="3" t="str">
        <f>HYPERLINK("https://icf.clappia.com/app/SOM165486/submission/XJX66912897/ICF247370-SOM165486-533eba5b4hc000000000/SIG-20250701_154813acpe.jpeg", "SIG-20250701_154813acpe.jpeg")</f>
        <v>SIG-20250701_154813acpe.jpeg</v>
      </c>
      <c r="Q767" s="3" t="str">
        <f>HYPERLINK("https://www.google.com/maps/place/7.63464%2C-11.6730283", "7.63464,-11.6730283")</f>
        <v>7.63464,-11.6730283</v>
      </c>
    </row>
    <row r="768" ht="15.75" customHeight="1">
      <c r="A768" s="1" t="s">
        <v>2163</v>
      </c>
      <c r="B768" s="1" t="s">
        <v>18</v>
      </c>
      <c r="C768" s="1" t="s">
        <v>2162</v>
      </c>
      <c r="D768" s="1" t="s">
        <v>2162</v>
      </c>
      <c r="E768" s="2">
        <v>45839.0</v>
      </c>
      <c r="F768" s="1" t="s">
        <v>21</v>
      </c>
      <c r="G768" s="1" t="s">
        <v>35</v>
      </c>
      <c r="H768" s="1" t="s">
        <v>51</v>
      </c>
      <c r="I768" s="1">
        <v>190.0</v>
      </c>
      <c r="J768" s="1" t="s">
        <v>24</v>
      </c>
      <c r="K768" s="1">
        <v>190.0</v>
      </c>
      <c r="L768" s="1">
        <v>90.0</v>
      </c>
      <c r="M768" s="1">
        <v>100.0</v>
      </c>
      <c r="N768" s="1">
        <v>70.0</v>
      </c>
      <c r="O768" s="1" t="s">
        <v>1431</v>
      </c>
      <c r="P768" s="3" t="str">
        <f>HYPERLINK("https://icf.clappia.com/app/SOM165486/submission/FBC63101418/ICF247370-SOM165486-48jn335iiaim00000000/SIG-20250701_153917lfki.jpeg", "SIG-20250701_153917lfki.jpeg")</f>
        <v>SIG-20250701_153917lfki.jpeg</v>
      </c>
      <c r="Q768" s="3" t="str">
        <f>HYPERLINK("https://www.google.com/maps/place/8.3222456%2C-11.733817", "8.3222456,-11.733817")</f>
        <v>8.3222456,-11.733817</v>
      </c>
    </row>
    <row r="769" ht="15.75" customHeight="1">
      <c r="A769" s="1" t="s">
        <v>2164</v>
      </c>
      <c r="B769" s="1" t="s">
        <v>18</v>
      </c>
      <c r="C769" s="1" t="s">
        <v>2165</v>
      </c>
      <c r="D769" s="1" t="s">
        <v>2166</v>
      </c>
      <c r="E769" s="2">
        <v>45838.0</v>
      </c>
      <c r="F769" s="1" t="s">
        <v>21</v>
      </c>
      <c r="G769" s="1" t="s">
        <v>164</v>
      </c>
      <c r="H769" s="1" t="s">
        <v>887</v>
      </c>
      <c r="I769" s="1">
        <v>190.0</v>
      </c>
      <c r="J769" s="1" t="s">
        <v>24</v>
      </c>
      <c r="K769" s="1">
        <v>190.0</v>
      </c>
      <c r="L769" s="1">
        <v>139.0</v>
      </c>
      <c r="M769" s="1">
        <v>51.0</v>
      </c>
      <c r="N769" s="1">
        <v>51.0</v>
      </c>
      <c r="O769" s="1" t="s">
        <v>2167</v>
      </c>
      <c r="P769" s="3" t="str">
        <f>HYPERLINK("https://icf.clappia.com/app/SOM165486/submission/QCZ28140298/ICF247370-SOM165486-36oj6d487ll800000000/SIG-20250701_1527jb2gi.jpeg", "SIG-20250701_1527jb2gi.jpeg")</f>
        <v>SIG-20250701_1527jb2gi.jpeg</v>
      </c>
    </row>
    <row r="770" ht="15.75" customHeight="1">
      <c r="A770" s="1" t="s">
        <v>2168</v>
      </c>
      <c r="B770" s="1" t="s">
        <v>283</v>
      </c>
      <c r="C770" s="1" t="s">
        <v>2166</v>
      </c>
      <c r="D770" s="1" t="s">
        <v>2166</v>
      </c>
      <c r="E770" s="2">
        <v>45839.0</v>
      </c>
      <c r="F770" s="1" t="s">
        <v>68</v>
      </c>
      <c r="G770" s="1" t="s">
        <v>340</v>
      </c>
      <c r="H770" s="1" t="s">
        <v>626</v>
      </c>
      <c r="I770" s="1">
        <v>100.0</v>
      </c>
      <c r="J770" s="1" t="s">
        <v>24</v>
      </c>
      <c r="K770" s="1">
        <v>100.0</v>
      </c>
      <c r="L770" s="1">
        <v>74.0</v>
      </c>
      <c r="M770" s="1">
        <v>26.0</v>
      </c>
      <c r="N770" s="1">
        <v>26.0</v>
      </c>
      <c r="O770" s="1" t="s">
        <v>2169</v>
      </c>
      <c r="P770" s="3" t="str">
        <f>HYPERLINK("https://icf.clappia.com/app/SOM165486/submission/AFB80850446/ICF247370-SOM165486-47i13ffakcg600000000/SIG-20250701_15484f7ie.jpeg", "SIG-20250701_15484f7ie.jpeg")</f>
        <v>SIG-20250701_15484f7ie.jpeg</v>
      </c>
      <c r="Q770" s="3" t="str">
        <f>HYPERLINK("https://www.google.com/maps/place/9.1688427%2C-12.0149069", "9.1688427,-12.0149069")</f>
        <v>9.1688427,-12.0149069</v>
      </c>
    </row>
    <row r="771" ht="15.75" customHeight="1">
      <c r="A771" s="1" t="s">
        <v>2170</v>
      </c>
      <c r="B771" s="1" t="s">
        <v>18</v>
      </c>
      <c r="C771" s="1" t="s">
        <v>2171</v>
      </c>
      <c r="D771" s="1" t="s">
        <v>2171</v>
      </c>
      <c r="E771" s="2">
        <v>45839.0</v>
      </c>
      <c r="F771" s="1" t="s">
        <v>21</v>
      </c>
      <c r="G771" s="1" t="s">
        <v>275</v>
      </c>
      <c r="H771" s="1" t="s">
        <v>1578</v>
      </c>
      <c r="I771" s="1">
        <v>100.0</v>
      </c>
      <c r="J771" s="1" t="s">
        <v>24</v>
      </c>
      <c r="K771" s="1">
        <v>100.0</v>
      </c>
      <c r="L771" s="1">
        <v>31.0</v>
      </c>
      <c r="M771" s="1">
        <v>69.0</v>
      </c>
      <c r="N771" s="1">
        <v>69.0</v>
      </c>
      <c r="O771" s="1" t="s">
        <v>1868</v>
      </c>
      <c r="P771" s="3" t="str">
        <f>HYPERLINK("https://icf.clappia.com/app/SOM165486/submission/GSK37148164/ICF247370-SOM165486-1eff551pa77ce0000000/SIG-20250701_1546195937.jpeg", "SIG-20250701_1546195937.jpeg")</f>
        <v>SIG-20250701_1546195937.jpeg</v>
      </c>
      <c r="Q771" s="3" t="str">
        <f>HYPERLINK("https://www.google.com/maps/place/7.7346233%2C-11.8153783", "7.7346233,-11.8153783")</f>
        <v>7.7346233,-11.8153783</v>
      </c>
    </row>
    <row r="772" ht="15.75" customHeight="1">
      <c r="A772" s="1" t="s">
        <v>2172</v>
      </c>
      <c r="B772" s="1" t="s">
        <v>18</v>
      </c>
      <c r="C772" s="1" t="s">
        <v>2173</v>
      </c>
      <c r="D772" s="1" t="s">
        <v>2171</v>
      </c>
      <c r="E772" s="2">
        <v>45839.0</v>
      </c>
      <c r="F772" s="1" t="s">
        <v>21</v>
      </c>
      <c r="G772" s="1" t="s">
        <v>164</v>
      </c>
      <c r="H772" s="1" t="s">
        <v>887</v>
      </c>
      <c r="I772" s="1">
        <v>79.0</v>
      </c>
      <c r="J772" s="1" t="s">
        <v>24</v>
      </c>
      <c r="K772" s="1">
        <v>79.0</v>
      </c>
      <c r="L772" s="1">
        <v>79.0</v>
      </c>
      <c r="M772" s="1" t="s">
        <v>24</v>
      </c>
      <c r="N772" s="1" t="s">
        <v>24</v>
      </c>
      <c r="O772" s="1" t="s">
        <v>2174</v>
      </c>
      <c r="P772" s="3" t="str">
        <f>HYPERLINK("https://icf.clappia.com/app/SOM165486/submission/SVK68770931/ICF247370-SOM165486-5l6f93afld8o00000000/SIG-20250701_144814m4hc.jpeg", "SIG-20250701_144814m4hc.jpeg")</f>
        <v>SIG-20250701_144814m4hc.jpeg</v>
      </c>
      <c r="Q772" s="3" t="str">
        <f>HYPERLINK("https://www.google.com/maps/place/7.889485%2C-11.90357", "7.889485,-11.90357")</f>
        <v>7.889485,-11.90357</v>
      </c>
    </row>
    <row r="773" ht="15.75" customHeight="1">
      <c r="A773" s="1" t="s">
        <v>2175</v>
      </c>
      <c r="B773" s="1" t="s">
        <v>18</v>
      </c>
      <c r="C773" s="1" t="s">
        <v>2176</v>
      </c>
      <c r="D773" s="1" t="s">
        <v>2171</v>
      </c>
      <c r="E773" s="2">
        <v>45839.0</v>
      </c>
      <c r="F773" s="1" t="s">
        <v>21</v>
      </c>
      <c r="G773" s="1" t="s">
        <v>164</v>
      </c>
      <c r="H773" s="1" t="s">
        <v>887</v>
      </c>
      <c r="I773" s="1">
        <v>79.0</v>
      </c>
      <c r="J773" s="1" t="s">
        <v>24</v>
      </c>
      <c r="K773" s="1">
        <v>79.0</v>
      </c>
      <c r="L773" s="1">
        <v>79.0</v>
      </c>
      <c r="M773" s="1" t="s">
        <v>24</v>
      </c>
      <c r="N773" s="1" t="s">
        <v>24</v>
      </c>
      <c r="O773" s="1" t="s">
        <v>2174</v>
      </c>
      <c r="P773" s="3" t="str">
        <f>HYPERLINK("https://icf.clappia.com/app/SOM165486/submission/HMB44229358/ICF247370-SOM165486-17l332d2lc20o0000000/SIG-20250701_1439pp7l9.jpeg", "SIG-20250701_1439pp7l9.jpeg")</f>
        <v>SIG-20250701_1439pp7l9.jpeg</v>
      </c>
      <c r="Q773" s="3" t="str">
        <f>HYPERLINK("https://www.google.com/maps/place/7.8893017%2C-11.9036617", "7.8893017,-11.9036617")</f>
        <v>7.8893017,-11.9036617</v>
      </c>
    </row>
    <row r="774" ht="15.75" customHeight="1">
      <c r="A774" s="1" t="s">
        <v>2177</v>
      </c>
      <c r="B774" s="1" t="s">
        <v>18</v>
      </c>
      <c r="C774" s="1" t="s">
        <v>2178</v>
      </c>
      <c r="D774" s="1" t="s">
        <v>2171</v>
      </c>
      <c r="E774" s="2">
        <v>45838.0</v>
      </c>
      <c r="F774" s="1" t="s">
        <v>21</v>
      </c>
      <c r="G774" s="1" t="s">
        <v>164</v>
      </c>
      <c r="H774" s="1" t="s">
        <v>887</v>
      </c>
      <c r="I774" s="1">
        <v>128.0</v>
      </c>
      <c r="J774" s="1" t="s">
        <v>24</v>
      </c>
      <c r="K774" s="1">
        <v>128.0</v>
      </c>
      <c r="L774" s="1">
        <v>121.0</v>
      </c>
      <c r="M774" s="1">
        <v>7.0</v>
      </c>
      <c r="N774" s="1" t="s">
        <v>24</v>
      </c>
      <c r="O774" s="1" t="s">
        <v>888</v>
      </c>
      <c r="P774" s="3" t="str">
        <f>HYPERLINK("https://icf.clappia.com/app/SOM165486/submission/PIR69560806/ICF247370-SOM165486-1jco35lgenn440000000/SIG-20250701_14272ippk.jpeg", "SIG-20250701_14272ippk.jpeg")</f>
        <v>SIG-20250701_14272ippk.jpeg</v>
      </c>
      <c r="Q774" s="3" t="str">
        <f>HYPERLINK("https://www.google.com/maps/place/7.8898433%2C-11.90325", "7.8898433,-11.90325")</f>
        <v>7.8898433,-11.90325</v>
      </c>
    </row>
    <row r="775" ht="15.75" customHeight="1">
      <c r="A775" s="1" t="s">
        <v>2179</v>
      </c>
      <c r="B775" s="1" t="s">
        <v>18</v>
      </c>
      <c r="C775" s="1" t="s">
        <v>2180</v>
      </c>
      <c r="D775" s="1" t="s">
        <v>2180</v>
      </c>
      <c r="E775" s="2">
        <v>45839.0</v>
      </c>
      <c r="F775" s="1" t="s">
        <v>21</v>
      </c>
      <c r="G775" s="1" t="s">
        <v>275</v>
      </c>
      <c r="H775" s="1" t="s">
        <v>1578</v>
      </c>
      <c r="I775" s="1">
        <v>100.0</v>
      </c>
      <c r="J775" s="1" t="s">
        <v>24</v>
      </c>
      <c r="K775" s="1">
        <v>100.0</v>
      </c>
      <c r="L775" s="1">
        <v>52.0</v>
      </c>
      <c r="M775" s="1">
        <v>48.0</v>
      </c>
      <c r="N775" s="1">
        <v>48.0</v>
      </c>
      <c r="O775" s="1" t="s">
        <v>2181</v>
      </c>
      <c r="P775" s="3" t="str">
        <f>HYPERLINK("https://icf.clappia.com/app/SOM165486/submission/TAQ54623258/ICF247370-SOM165486-5j4cigip0bhm00000000/SIG-20250701_1544apanb.jpeg", "SIG-20250701_1544apanb.jpeg")</f>
        <v>SIG-20250701_1544apanb.jpeg</v>
      </c>
      <c r="Q775" s="3" t="str">
        <f>HYPERLINK("https://www.google.com/maps/place/7.7343633%2C-11.815085", "7.7343633,-11.815085")</f>
        <v>7.7343633,-11.815085</v>
      </c>
    </row>
    <row r="776" ht="15.75" customHeight="1">
      <c r="A776" s="1" t="s">
        <v>2182</v>
      </c>
      <c r="B776" s="1" t="s">
        <v>18</v>
      </c>
      <c r="C776" s="1" t="s">
        <v>2183</v>
      </c>
      <c r="D776" s="1" t="s">
        <v>2183</v>
      </c>
      <c r="E776" s="2">
        <v>45839.0</v>
      </c>
      <c r="F776" s="1" t="s">
        <v>21</v>
      </c>
      <c r="G776" s="1" t="s">
        <v>95</v>
      </c>
      <c r="H776" s="1" t="s">
        <v>710</v>
      </c>
      <c r="I776" s="1">
        <v>309.0</v>
      </c>
      <c r="J776" s="1" t="s">
        <v>24</v>
      </c>
      <c r="K776" s="1">
        <v>309.0</v>
      </c>
      <c r="L776" s="1">
        <v>305.0</v>
      </c>
      <c r="M776" s="1">
        <v>4.0</v>
      </c>
      <c r="N776" s="1">
        <v>4.0</v>
      </c>
      <c r="O776" s="1" t="s">
        <v>2184</v>
      </c>
      <c r="P776" s="3" t="str">
        <f>HYPERLINK("https://icf.clappia.com/app/SOM165486/submission/GLZ56071506/ICF247370-SOM165486-4e0coan26fo400000000/SIG-20250701_1542oe30h.jpeg", "SIG-20250701_1542oe30h.jpeg")</f>
        <v>SIG-20250701_1542oe30h.jpeg</v>
      </c>
      <c r="Q776" s="3" t="str">
        <f>HYPERLINK("https://www.google.com/maps/place/7.9484991%2C-11.7112773", "7.9484991,-11.7112773")</f>
        <v>7.9484991,-11.7112773</v>
      </c>
    </row>
    <row r="777" ht="15.75" customHeight="1">
      <c r="A777" s="1" t="s">
        <v>2185</v>
      </c>
      <c r="B777" s="1" t="s">
        <v>18</v>
      </c>
      <c r="C777" s="1" t="s">
        <v>2186</v>
      </c>
      <c r="D777" s="1" t="s">
        <v>2186</v>
      </c>
      <c r="E777" s="2">
        <v>45839.0</v>
      </c>
      <c r="F777" s="1" t="s">
        <v>21</v>
      </c>
      <c r="G777" s="1" t="s">
        <v>269</v>
      </c>
      <c r="H777" s="1" t="s">
        <v>1298</v>
      </c>
      <c r="I777" s="1">
        <v>150.0</v>
      </c>
      <c r="J777" s="1" t="s">
        <v>24</v>
      </c>
      <c r="K777" s="1">
        <v>150.0</v>
      </c>
      <c r="L777" s="1">
        <v>100.0</v>
      </c>
      <c r="M777" s="1">
        <v>50.0</v>
      </c>
      <c r="N777" s="1">
        <v>50.0</v>
      </c>
      <c r="O777" s="1" t="s">
        <v>1335</v>
      </c>
      <c r="P777" s="3" t="str">
        <f>HYPERLINK("https://icf.clappia.com/app/SOM165486/submission/JLQ42119996/ICF247370-SOM165486-40ddbp5lph7000000000/SIG-20250701_1540eecjl.jpeg", "SIG-20250701_1540eecjl.jpeg")</f>
        <v>SIG-20250701_1540eecjl.jpeg</v>
      </c>
      <c r="Q777" s="3" t="str">
        <f>HYPERLINK("https://www.google.com/maps/place/7.7113671%2C-11.6942384", "7.7113671,-11.6942384")</f>
        <v>7.7113671,-11.6942384</v>
      </c>
    </row>
    <row r="778" ht="15.75" customHeight="1">
      <c r="A778" s="1" t="s">
        <v>2187</v>
      </c>
      <c r="B778" s="1" t="s">
        <v>18</v>
      </c>
      <c r="C778" s="1" t="s">
        <v>2188</v>
      </c>
      <c r="D778" s="1" t="s">
        <v>2188</v>
      </c>
      <c r="E778" s="2">
        <v>45839.0</v>
      </c>
      <c r="F778" s="1" t="s">
        <v>21</v>
      </c>
      <c r="G778" s="1" t="s">
        <v>269</v>
      </c>
      <c r="H778" s="1" t="s">
        <v>1298</v>
      </c>
      <c r="I778" s="1">
        <v>150.0</v>
      </c>
      <c r="J778" s="1" t="s">
        <v>24</v>
      </c>
      <c r="K778" s="1">
        <v>150.0</v>
      </c>
      <c r="L778" s="1">
        <v>100.0</v>
      </c>
      <c r="M778" s="1">
        <v>50.0</v>
      </c>
      <c r="N778" s="1">
        <v>50.0</v>
      </c>
      <c r="O778" s="1" t="s">
        <v>1335</v>
      </c>
      <c r="P778" s="3" t="str">
        <f>HYPERLINK("https://icf.clappia.com/app/SOM165486/submission/ZOT95710885/ICF247370-SOM165486-296d5jidggd5g000000/SIG-20250701_153915g1hj.jpeg", "SIG-20250701_153915g1hj.jpeg")</f>
        <v>SIG-20250701_153915g1hj.jpeg</v>
      </c>
      <c r="Q778" s="3" t="str">
        <f>HYPERLINK("https://www.google.com/maps/place/7.7113711%2C-11.6942423", "7.7113711,-11.6942423")</f>
        <v>7.7113711,-11.6942423</v>
      </c>
    </row>
    <row r="779" ht="15.75" customHeight="1">
      <c r="A779" s="1" t="s">
        <v>2189</v>
      </c>
      <c r="B779" s="1" t="s">
        <v>18</v>
      </c>
      <c r="C779" s="1" t="s">
        <v>2190</v>
      </c>
      <c r="D779" s="1" t="s">
        <v>2190</v>
      </c>
      <c r="E779" s="2">
        <v>45839.0</v>
      </c>
      <c r="F779" s="1" t="s">
        <v>21</v>
      </c>
      <c r="G779" s="1" t="s">
        <v>95</v>
      </c>
      <c r="H779" s="1" t="s">
        <v>710</v>
      </c>
      <c r="I779" s="1">
        <v>126.0</v>
      </c>
      <c r="J779" s="1" t="s">
        <v>24</v>
      </c>
      <c r="K779" s="1">
        <v>126.0</v>
      </c>
      <c r="L779" s="1">
        <v>125.0</v>
      </c>
      <c r="M779" s="1">
        <v>1.0</v>
      </c>
      <c r="N779" s="1" t="s">
        <v>24</v>
      </c>
      <c r="O779" s="1" t="s">
        <v>1506</v>
      </c>
      <c r="P779" s="3" t="str">
        <f>HYPERLINK("https://icf.clappia.com/app/SOM165486/submission/GLH69090778/ICF247370-SOM165486-2i7b19f3go9800000000/SIG-20250701_15372dc59.jpeg", "SIG-20250701_15372dc59.jpeg")</f>
        <v>SIG-20250701_15372dc59.jpeg</v>
      </c>
      <c r="Q779" s="3" t="str">
        <f>HYPERLINK("https://www.google.com/maps/place/7.9474917%2C-11.7048167", "7.9474917,-11.7048167")</f>
        <v>7.9474917,-11.7048167</v>
      </c>
    </row>
    <row r="780" ht="15.75" customHeight="1">
      <c r="A780" s="1" t="s">
        <v>2191</v>
      </c>
      <c r="B780" s="1" t="s">
        <v>18</v>
      </c>
      <c r="C780" s="1" t="s">
        <v>2192</v>
      </c>
      <c r="D780" s="1" t="s">
        <v>2193</v>
      </c>
      <c r="E780" s="2">
        <v>45839.0</v>
      </c>
      <c r="F780" s="1" t="s">
        <v>21</v>
      </c>
      <c r="G780" s="1" t="s">
        <v>269</v>
      </c>
      <c r="H780" s="1" t="s">
        <v>540</v>
      </c>
      <c r="I780" s="1">
        <v>100.0</v>
      </c>
      <c r="J780" s="1" t="s">
        <v>24</v>
      </c>
      <c r="K780" s="1">
        <v>100.0</v>
      </c>
      <c r="L780" s="1">
        <v>78.0</v>
      </c>
      <c r="M780" s="1">
        <v>22.0</v>
      </c>
      <c r="N780" s="1">
        <v>22.0</v>
      </c>
      <c r="O780" s="1" t="s">
        <v>541</v>
      </c>
      <c r="P780" s="3" t="str">
        <f>HYPERLINK("https://icf.clappia.com/app/SOM165486/submission/GMT06957940/ICF247370-SOM165486-61c1o58c8fea00000000/SIG-20250701_150910g4if.jpeg", "SIG-20250701_150910g4if.jpeg")</f>
        <v>SIG-20250701_150910g4if.jpeg</v>
      </c>
    </row>
    <row r="781" ht="15.75" customHeight="1">
      <c r="A781" s="1" t="s">
        <v>2194</v>
      </c>
      <c r="B781" s="1" t="s">
        <v>18</v>
      </c>
      <c r="C781" s="1" t="s">
        <v>2195</v>
      </c>
      <c r="D781" s="1" t="s">
        <v>2195</v>
      </c>
      <c r="E781" s="2">
        <v>45839.0</v>
      </c>
      <c r="F781" s="1" t="s">
        <v>21</v>
      </c>
      <c r="G781" s="1" t="s">
        <v>722</v>
      </c>
      <c r="H781" s="1" t="s">
        <v>723</v>
      </c>
      <c r="I781" s="1">
        <v>135.0</v>
      </c>
      <c r="J781" s="1" t="s">
        <v>24</v>
      </c>
      <c r="K781" s="1">
        <v>135.0</v>
      </c>
      <c r="L781" s="1">
        <v>92.0</v>
      </c>
      <c r="M781" s="1">
        <v>43.0</v>
      </c>
      <c r="N781" s="1">
        <v>43.0</v>
      </c>
      <c r="O781" s="1" t="s">
        <v>724</v>
      </c>
      <c r="P781" s="3" t="str">
        <f>HYPERLINK("https://icf.clappia.com/app/SOM165486/submission/HIF89823379/ICF247370-SOM165486-5ki78fg2b0ji00000000/SIG-20250701_1533jed9e.jpeg", "SIG-20250701_1533jed9e.jpeg")</f>
        <v>SIG-20250701_1533jed9e.jpeg</v>
      </c>
      <c r="Q781" s="3" t="str">
        <f>HYPERLINK("https://www.google.com/maps/place/8.1209172%2C-11.7033195", "8.1209172,-11.7033195")</f>
        <v>8.1209172,-11.7033195</v>
      </c>
    </row>
    <row r="782" ht="15.75" customHeight="1">
      <c r="A782" s="1" t="s">
        <v>2196</v>
      </c>
      <c r="B782" s="1" t="s">
        <v>18</v>
      </c>
      <c r="C782" s="1" t="s">
        <v>2197</v>
      </c>
      <c r="D782" s="1" t="s">
        <v>2197</v>
      </c>
      <c r="E782" s="2">
        <v>45838.0</v>
      </c>
      <c r="F782" s="1" t="s">
        <v>21</v>
      </c>
      <c r="G782" s="1" t="s">
        <v>781</v>
      </c>
      <c r="H782" s="1" t="s">
        <v>782</v>
      </c>
      <c r="I782" s="1">
        <v>200.0</v>
      </c>
      <c r="J782" s="1" t="s">
        <v>24</v>
      </c>
      <c r="K782" s="1">
        <v>200.0</v>
      </c>
      <c r="L782" s="1">
        <v>150.0</v>
      </c>
      <c r="M782" s="1">
        <v>50.0</v>
      </c>
      <c r="N782" s="1">
        <v>50.0</v>
      </c>
      <c r="O782" s="1" t="s">
        <v>783</v>
      </c>
      <c r="P782" s="3" t="str">
        <f>HYPERLINK("https://icf.clappia.com/app/SOM165486/submission/LXA70954762/ICF247370-SOM165486-248b2fpf9p7p20000000/SIG-20250701_153215oj1c.jpeg", "SIG-20250701_153215oj1c.jpeg")</f>
        <v>SIG-20250701_153215oj1c.jpeg</v>
      </c>
      <c r="Q782" s="3" t="str">
        <f>HYPERLINK("https://www.google.com/maps/place/7.8781917%2C-11.5355033", "7.8781917,-11.5355033")</f>
        <v>7.8781917,-11.5355033</v>
      </c>
    </row>
    <row r="783" ht="15.75" customHeight="1">
      <c r="A783" s="1" t="s">
        <v>2198</v>
      </c>
      <c r="B783" s="1" t="s">
        <v>18</v>
      </c>
      <c r="C783" s="1" t="s">
        <v>2199</v>
      </c>
      <c r="D783" s="1" t="s">
        <v>2199</v>
      </c>
      <c r="E783" s="2">
        <v>45839.0</v>
      </c>
      <c r="F783" s="1" t="s">
        <v>68</v>
      </c>
      <c r="G783" s="1" t="s">
        <v>592</v>
      </c>
      <c r="H783" s="1" t="s">
        <v>593</v>
      </c>
      <c r="I783" s="1">
        <v>200.0</v>
      </c>
      <c r="J783" s="1" t="s">
        <v>24</v>
      </c>
      <c r="K783" s="1">
        <v>200.0</v>
      </c>
      <c r="L783" s="1">
        <v>195.0</v>
      </c>
      <c r="M783" s="1">
        <v>5.0</v>
      </c>
      <c r="N783" s="1">
        <v>5.0</v>
      </c>
      <c r="O783" s="1" t="s">
        <v>694</v>
      </c>
      <c r="P783" s="3" t="str">
        <f>HYPERLINK("https://icf.clappia.com/app/SOM165486/submission/QKN58586615/ICF247370-SOM165486-15bc888e86g9m0000000/SIG-20250701_1345pfddm.jpeg", "SIG-20250701_1345pfddm.jpeg")</f>
        <v>SIG-20250701_1345pfddm.jpeg</v>
      </c>
      <c r="Q783" s="3" t="str">
        <f>HYPERLINK("https://www.google.com/maps/place/8.9080767%2C-12.03363", "8.9080767,-12.03363")</f>
        <v>8.9080767,-12.03363</v>
      </c>
    </row>
    <row r="784" ht="15.75" customHeight="1">
      <c r="A784" s="1" t="s">
        <v>2200</v>
      </c>
      <c r="B784" s="1" t="s">
        <v>18</v>
      </c>
      <c r="C784" s="1" t="s">
        <v>2201</v>
      </c>
      <c r="D784" s="1" t="s">
        <v>2201</v>
      </c>
      <c r="E784" s="2">
        <v>45839.0</v>
      </c>
      <c r="F784" s="1" t="s">
        <v>21</v>
      </c>
      <c r="G784" s="1" t="s">
        <v>95</v>
      </c>
      <c r="H784" s="1" t="s">
        <v>710</v>
      </c>
      <c r="I784" s="1">
        <v>110.0</v>
      </c>
      <c r="J784" s="1" t="s">
        <v>24</v>
      </c>
      <c r="K784" s="1">
        <v>110.0</v>
      </c>
      <c r="L784" s="1">
        <v>110.0</v>
      </c>
      <c r="M784" s="1" t="s">
        <v>24</v>
      </c>
      <c r="N784" s="1" t="s">
        <v>24</v>
      </c>
      <c r="O784" s="1" t="s">
        <v>2202</v>
      </c>
      <c r="P784" s="3" t="str">
        <f>HYPERLINK("https://icf.clappia.com/app/SOM165486/submission/FVV16313160/ICF247370-SOM165486-1lhh20li033n60000000/SIG-20250701_133024ema.jpeg", "SIG-20250701_133024ema.jpeg")</f>
        <v>SIG-20250701_133024ema.jpeg</v>
      </c>
      <c r="Q784" s="3" t="str">
        <f>HYPERLINK("https://www.google.com/maps/place/7.9484991%2C-11.7112773", "7.9484991,-11.7112773")</f>
        <v>7.9484991,-11.7112773</v>
      </c>
    </row>
    <row r="785" ht="15.75" customHeight="1">
      <c r="A785" s="1" t="s">
        <v>2203</v>
      </c>
      <c r="B785" s="1" t="s">
        <v>18</v>
      </c>
      <c r="C785" s="1" t="s">
        <v>2201</v>
      </c>
      <c r="D785" s="1" t="s">
        <v>2201</v>
      </c>
      <c r="E785" s="2">
        <v>45839.0</v>
      </c>
      <c r="F785" s="1" t="s">
        <v>21</v>
      </c>
      <c r="G785" s="1" t="s">
        <v>35</v>
      </c>
      <c r="H785" s="1" t="s">
        <v>972</v>
      </c>
      <c r="I785" s="1">
        <v>200.0</v>
      </c>
      <c r="J785" s="1" t="s">
        <v>24</v>
      </c>
      <c r="K785" s="1">
        <v>200.0</v>
      </c>
      <c r="L785" s="1">
        <v>197.0</v>
      </c>
      <c r="M785" s="1">
        <v>3.0</v>
      </c>
      <c r="N785" s="1">
        <v>3.0</v>
      </c>
      <c r="O785" s="1" t="s">
        <v>2204</v>
      </c>
      <c r="P785" s="3" t="str">
        <f>HYPERLINK("https://icf.clappia.com/app/SOM165486/submission/FBO69263047/ICF247370-SOM165486-61kip448n4om00000000/SIG-20250701_0957epj2o.jpeg", "SIG-20250701_0957epj2o.jpeg")</f>
        <v>SIG-20250701_0957epj2o.jpeg</v>
      </c>
      <c r="Q785" s="3" t="str">
        <f>HYPERLINK("https://www.google.com/maps/place/8.2386183%2C-11.6921533", "8.2386183,-11.6921533")</f>
        <v>8.2386183,-11.6921533</v>
      </c>
    </row>
    <row r="786" ht="15.75" customHeight="1">
      <c r="A786" s="1" t="s">
        <v>2205</v>
      </c>
      <c r="B786" s="1" t="s">
        <v>18</v>
      </c>
      <c r="C786" s="1" t="s">
        <v>2201</v>
      </c>
      <c r="D786" s="1" t="s">
        <v>2201</v>
      </c>
      <c r="E786" s="2">
        <v>45839.0</v>
      </c>
      <c r="F786" s="1" t="s">
        <v>21</v>
      </c>
      <c r="G786" s="1" t="s">
        <v>35</v>
      </c>
      <c r="H786" s="1" t="s">
        <v>972</v>
      </c>
      <c r="I786" s="1">
        <v>200.0</v>
      </c>
      <c r="J786" s="1" t="s">
        <v>24</v>
      </c>
      <c r="K786" s="1">
        <v>200.0</v>
      </c>
      <c r="L786" s="1">
        <v>191.0</v>
      </c>
      <c r="M786" s="1">
        <v>9.0</v>
      </c>
      <c r="N786" s="1">
        <v>9.0</v>
      </c>
      <c r="O786" s="1" t="s">
        <v>2206</v>
      </c>
      <c r="P786" s="3" t="str">
        <f>HYPERLINK("https://icf.clappia.com/app/SOM165486/submission/HVF72965069/ICF247370-SOM165486-n42odh5en2j20000000/SIG-20250701_1528e0on6.jpeg", "SIG-20250701_1528e0on6.jpeg")</f>
        <v>SIG-20250701_1528e0on6.jpeg</v>
      </c>
      <c r="Q786" s="3" t="str">
        <f>HYPERLINK("https://www.google.com/maps/place/8.2368567%2C-11.6897883", "8.2368567,-11.6897883")</f>
        <v>8.2368567,-11.6897883</v>
      </c>
    </row>
    <row r="787" ht="15.75" customHeight="1">
      <c r="A787" s="1" t="s">
        <v>2207</v>
      </c>
      <c r="B787" s="1" t="s">
        <v>18</v>
      </c>
      <c r="C787" s="1" t="s">
        <v>2201</v>
      </c>
      <c r="D787" s="1" t="s">
        <v>2201</v>
      </c>
      <c r="E787" s="2">
        <v>45839.0</v>
      </c>
      <c r="F787" s="1" t="s">
        <v>21</v>
      </c>
      <c r="G787" s="1" t="s">
        <v>781</v>
      </c>
      <c r="H787" s="1" t="s">
        <v>782</v>
      </c>
      <c r="I787" s="1">
        <v>693.0</v>
      </c>
      <c r="J787" s="1" t="s">
        <v>24</v>
      </c>
      <c r="K787" s="1">
        <v>693.0</v>
      </c>
      <c r="L787" s="1">
        <v>145.0</v>
      </c>
      <c r="M787" s="1">
        <v>548.0</v>
      </c>
      <c r="N787" s="1">
        <v>5.0</v>
      </c>
      <c r="O787" s="1" t="s">
        <v>783</v>
      </c>
      <c r="P787" s="3" t="str">
        <f>HYPERLINK("https://icf.clappia.com/app/SOM165486/submission/EPA01001731/ICF247370-SOM165486-1bjoecec6f1i00000000/SIG-20250701_1527551a9.jpeg", "SIG-20250701_1527551a9.jpeg")</f>
        <v>SIG-20250701_1527551a9.jpeg</v>
      </c>
      <c r="Q787" s="3" t="str">
        <f>HYPERLINK("https://www.google.com/maps/place/7.8785583%2C-11.5357483", "7.8785583,-11.5357483")</f>
        <v>7.8785583,-11.5357483</v>
      </c>
    </row>
    <row r="788" ht="15.75" customHeight="1">
      <c r="A788" s="1" t="s">
        <v>2208</v>
      </c>
      <c r="B788" s="1" t="s">
        <v>18</v>
      </c>
      <c r="C788" s="1" t="s">
        <v>1764</v>
      </c>
      <c r="D788" s="1" t="s">
        <v>1764</v>
      </c>
      <c r="E788" s="2">
        <v>45839.0</v>
      </c>
      <c r="F788" s="1" t="s">
        <v>68</v>
      </c>
      <c r="G788" s="1" t="s">
        <v>597</v>
      </c>
      <c r="H788" s="1" t="s">
        <v>739</v>
      </c>
      <c r="I788" s="1">
        <v>146.0</v>
      </c>
      <c r="J788" s="1" t="s">
        <v>24</v>
      </c>
      <c r="K788" s="1">
        <v>146.0</v>
      </c>
      <c r="L788" s="1">
        <v>104.0</v>
      </c>
      <c r="M788" s="1">
        <v>42.0</v>
      </c>
      <c r="N788" s="1">
        <v>42.0</v>
      </c>
      <c r="O788" s="1" t="s">
        <v>1379</v>
      </c>
      <c r="P788" s="3" t="str">
        <f>HYPERLINK("https://icf.clappia.com/app/SOM165486/submission/ETF14331862/ICF247370-SOM165486-3e69coecihcc00000000/SIG-20250701_1527ncmnn.jpeg", "SIG-20250701_1527ncmnn.jpeg")</f>
        <v>SIG-20250701_1527ncmnn.jpeg</v>
      </c>
      <c r="Q788" s="3" t="str">
        <f t="shared" ref="Q788:Q789" si="14">HYPERLINK("https://www.google.com/maps/place/8.8529219%2C-12.1395105", "8.8529219,-12.1395105")</f>
        <v>8.8529219,-12.1395105</v>
      </c>
    </row>
    <row r="789" ht="15.75" customHeight="1">
      <c r="A789" s="1" t="s">
        <v>2209</v>
      </c>
      <c r="B789" s="1" t="s">
        <v>18</v>
      </c>
      <c r="C789" s="1" t="s">
        <v>2210</v>
      </c>
      <c r="D789" s="1" t="s">
        <v>2210</v>
      </c>
      <c r="E789" s="2">
        <v>45838.0</v>
      </c>
      <c r="F789" s="1" t="s">
        <v>68</v>
      </c>
      <c r="G789" s="1" t="s">
        <v>597</v>
      </c>
      <c r="H789" s="1" t="s">
        <v>739</v>
      </c>
      <c r="I789" s="1">
        <v>150.0</v>
      </c>
      <c r="J789" s="1" t="s">
        <v>24</v>
      </c>
      <c r="K789" s="1">
        <v>150.0</v>
      </c>
      <c r="L789" s="1">
        <v>104.0</v>
      </c>
      <c r="M789" s="1">
        <v>46.0</v>
      </c>
      <c r="N789" s="1">
        <v>46.0</v>
      </c>
      <c r="O789" s="1" t="s">
        <v>812</v>
      </c>
      <c r="P789" s="3" t="str">
        <f>HYPERLINK("https://icf.clappia.com/app/SOM165486/submission/EYI91698153/ICF247370-SOM165486-2b96fflnfbpj60000000/SIG-20250701_1524gkkeh.jpeg", "SIG-20250701_1524gkkeh.jpeg")</f>
        <v>SIG-20250701_1524gkkeh.jpeg</v>
      </c>
      <c r="Q789" s="3" t="str">
        <f t="shared" si="14"/>
        <v>8.8529219,-12.1395105</v>
      </c>
    </row>
    <row r="790" ht="15.75" customHeight="1">
      <c r="A790" s="1" t="s">
        <v>2211</v>
      </c>
      <c r="B790" s="1" t="s">
        <v>18</v>
      </c>
      <c r="C790" s="1" t="s">
        <v>1092</v>
      </c>
      <c r="D790" s="1" t="s">
        <v>1092</v>
      </c>
      <c r="E790" s="2">
        <v>45838.0</v>
      </c>
      <c r="F790" s="1" t="s">
        <v>21</v>
      </c>
      <c r="G790" s="1" t="s">
        <v>722</v>
      </c>
      <c r="H790" s="1" t="s">
        <v>723</v>
      </c>
      <c r="I790" s="1">
        <v>200.0</v>
      </c>
      <c r="J790" s="1" t="s">
        <v>24</v>
      </c>
      <c r="K790" s="1">
        <v>200.0</v>
      </c>
      <c r="L790" s="1">
        <v>165.0</v>
      </c>
      <c r="M790" s="1">
        <v>35.0</v>
      </c>
      <c r="N790" s="1">
        <v>35.0</v>
      </c>
      <c r="O790" s="1" t="s">
        <v>724</v>
      </c>
      <c r="P790" s="3" t="str">
        <f>HYPERLINK("https://icf.clappia.com/app/SOM165486/submission/CPY79540805/ICF247370-SOM165486-4j5gfhn2m9k800000000/SIG-20250701_1524m5m36.jpeg", "SIG-20250701_1524m5m36.jpeg")</f>
        <v>SIG-20250701_1524m5m36.jpeg</v>
      </c>
      <c r="Q790" s="3" t="str">
        <f>HYPERLINK("https://www.google.com/maps/place/8.1207396%2C-11.7036857", "8.1207396,-11.7036857")</f>
        <v>8.1207396,-11.7036857</v>
      </c>
    </row>
    <row r="791" ht="15.75" customHeight="1">
      <c r="A791" s="1" t="s">
        <v>2212</v>
      </c>
      <c r="B791" s="1" t="s">
        <v>283</v>
      </c>
      <c r="C791" s="1" t="s">
        <v>2213</v>
      </c>
      <c r="D791" s="1" t="s">
        <v>2213</v>
      </c>
      <c r="E791" s="2">
        <v>45839.0</v>
      </c>
      <c r="F791" s="1" t="s">
        <v>68</v>
      </c>
      <c r="G791" s="1" t="s">
        <v>385</v>
      </c>
      <c r="H791" s="1" t="s">
        <v>1604</v>
      </c>
      <c r="I791" s="1">
        <v>150.0</v>
      </c>
      <c r="J791" s="1" t="s">
        <v>24</v>
      </c>
      <c r="K791" s="1">
        <v>150.0</v>
      </c>
      <c r="L791" s="1">
        <v>140.0</v>
      </c>
      <c r="M791" s="1">
        <v>10.0</v>
      </c>
      <c r="N791" s="1" t="s">
        <v>24</v>
      </c>
      <c r="O791" s="1" t="s">
        <v>2214</v>
      </c>
      <c r="P791" s="3" t="str">
        <f>HYPERLINK("https://icf.clappia.com/app/SOM165486/submission/DUM39113388/ICF247370-SOM165486-1bg6k7c20g37e0000000/SIG-20250701_152112fc2f.jpeg", "SIG-20250701_152112fc2f.jpeg")</f>
        <v>SIG-20250701_152112fc2f.jpeg</v>
      </c>
      <c r="Q791" s="3" t="str">
        <f>HYPERLINK("https://www.google.com/maps/place/9.02187%2C-12.33463", "9.02187,-12.33463")</f>
        <v>9.02187,-12.33463</v>
      </c>
    </row>
    <row r="792" ht="15.75" customHeight="1">
      <c r="A792" s="1" t="s">
        <v>2215</v>
      </c>
      <c r="B792" s="1" t="s">
        <v>18</v>
      </c>
      <c r="C792" s="1" t="s">
        <v>2213</v>
      </c>
      <c r="D792" s="1" t="s">
        <v>2213</v>
      </c>
      <c r="E792" s="2">
        <v>45839.0</v>
      </c>
      <c r="F792" s="1" t="s">
        <v>21</v>
      </c>
      <c r="G792" s="1" t="s">
        <v>275</v>
      </c>
      <c r="H792" s="1" t="s">
        <v>2216</v>
      </c>
      <c r="I792" s="1">
        <v>142.0</v>
      </c>
      <c r="J792" s="1" t="s">
        <v>24</v>
      </c>
      <c r="K792" s="1">
        <v>142.0</v>
      </c>
      <c r="L792" s="1">
        <v>142.0</v>
      </c>
      <c r="M792" s="1" t="s">
        <v>24</v>
      </c>
      <c r="N792" s="1" t="s">
        <v>24</v>
      </c>
      <c r="O792" s="1" t="s">
        <v>2217</v>
      </c>
      <c r="P792" s="3" t="str">
        <f>HYPERLINK("https://icf.clappia.com/app/SOM165486/submission/ILG85426738/ICF247370-SOM165486-3cnk3lp4hf5200000000/SIG-20250701_15082d385.jpeg", "SIG-20250701_15082d385.jpeg")</f>
        <v>SIG-20250701_15082d385.jpeg</v>
      </c>
      <c r="Q792" s="3" t="str">
        <f>HYPERLINK("https://www.google.com/maps/place/7.6668479%2C-11.8661838", "7.6668479,-11.8661838")</f>
        <v>7.6668479,-11.8661838</v>
      </c>
    </row>
    <row r="793" ht="15.75" customHeight="1">
      <c r="A793" s="1" t="s">
        <v>2218</v>
      </c>
      <c r="B793" s="1" t="s">
        <v>18</v>
      </c>
      <c r="C793" s="1" t="s">
        <v>2219</v>
      </c>
      <c r="D793" s="1" t="s">
        <v>2213</v>
      </c>
      <c r="E793" s="2">
        <v>45838.0</v>
      </c>
      <c r="F793" s="1" t="s">
        <v>21</v>
      </c>
      <c r="G793" s="1" t="s">
        <v>275</v>
      </c>
      <c r="H793" s="1" t="s">
        <v>2216</v>
      </c>
      <c r="I793" s="1">
        <v>207.0</v>
      </c>
      <c r="J793" s="1" t="s">
        <v>24</v>
      </c>
      <c r="K793" s="1">
        <v>207.0</v>
      </c>
      <c r="L793" s="1">
        <v>207.0</v>
      </c>
      <c r="M793" s="1" t="s">
        <v>24</v>
      </c>
      <c r="N793" s="1" t="s">
        <v>24</v>
      </c>
      <c r="O793" s="1" t="s">
        <v>2217</v>
      </c>
      <c r="P793" s="3" t="str">
        <f>HYPERLINK("https://icf.clappia.com/app/SOM165486/submission/HQN73724735/ICF247370-SOM165486-4epk7p59805a00000000/SIG-20250630_1154lgf57.jpeg", "SIG-20250630_1154lgf57.jpeg")</f>
        <v>SIG-20250630_1154lgf57.jpeg</v>
      </c>
      <c r="Q793" s="3" t="str">
        <f>HYPERLINK("https://www.google.com/maps/place/8.8094711%2C-10.9048807", "8.8094711,-10.9048807")</f>
        <v>8.8094711,-10.9048807</v>
      </c>
    </row>
    <row r="794" ht="15.75" customHeight="1">
      <c r="A794" s="1" t="s">
        <v>2220</v>
      </c>
      <c r="B794" s="1" t="s">
        <v>18</v>
      </c>
      <c r="C794" s="1" t="s">
        <v>2221</v>
      </c>
      <c r="D794" s="1" t="s">
        <v>2213</v>
      </c>
      <c r="E794" s="2">
        <v>45838.0</v>
      </c>
      <c r="F794" s="1" t="s">
        <v>21</v>
      </c>
      <c r="G794" s="1" t="s">
        <v>275</v>
      </c>
      <c r="H794" s="1" t="s">
        <v>2216</v>
      </c>
      <c r="I794" s="1">
        <v>349.0</v>
      </c>
      <c r="J794" s="1" t="s">
        <v>24</v>
      </c>
      <c r="K794" s="1">
        <v>349.0</v>
      </c>
      <c r="L794" s="1">
        <v>207.0</v>
      </c>
      <c r="M794" s="1">
        <v>142.0</v>
      </c>
      <c r="N794" s="1" t="s">
        <v>24</v>
      </c>
      <c r="O794" s="1" t="s">
        <v>2222</v>
      </c>
      <c r="P794" s="3" t="str">
        <f>HYPERLINK("https://icf.clappia.com/app/SOM165486/submission/ZFY63386134/ICF247370-SOM165486-31b0p1k4j8fg00000000/SIG-20250630_110111ei9k.jpeg", "SIG-20250630_110111ei9k.jpeg")</f>
        <v>SIG-20250630_110111ei9k.jpeg</v>
      </c>
    </row>
    <row r="795" ht="15.75" customHeight="1">
      <c r="A795" s="1" t="s">
        <v>2223</v>
      </c>
      <c r="B795" s="1" t="s">
        <v>18</v>
      </c>
      <c r="C795" s="1" t="s">
        <v>2224</v>
      </c>
      <c r="D795" s="1" t="s">
        <v>2224</v>
      </c>
      <c r="E795" s="2">
        <v>45839.0</v>
      </c>
      <c r="F795" s="1" t="s">
        <v>21</v>
      </c>
      <c r="G795" s="1" t="s">
        <v>269</v>
      </c>
      <c r="H795" s="1" t="s">
        <v>1298</v>
      </c>
      <c r="I795" s="1">
        <v>112.0</v>
      </c>
      <c r="J795" s="1" t="s">
        <v>24</v>
      </c>
      <c r="K795" s="1">
        <v>112.0</v>
      </c>
      <c r="L795" s="1">
        <v>112.0</v>
      </c>
      <c r="M795" s="1" t="s">
        <v>24</v>
      </c>
      <c r="N795" s="1" t="s">
        <v>24</v>
      </c>
      <c r="O795" s="1" t="s">
        <v>1299</v>
      </c>
      <c r="P795" s="3" t="str">
        <f>HYPERLINK("https://icf.clappia.com/app/SOM165486/submission/SXD93730808/ICF247370-SOM165486-3mkkp334lkc600000000/SIG-20250701_152113eok6.jpeg", "SIG-20250701_152113eok6.jpeg")</f>
        <v>SIG-20250701_152113eok6.jpeg</v>
      </c>
      <c r="Q795" s="3" t="str">
        <f>HYPERLINK("https://www.google.com/maps/place/7.75368%2C-11.6748", "7.75368,-11.6748")</f>
        <v>7.75368,-11.6748</v>
      </c>
    </row>
    <row r="796" ht="15.75" customHeight="1">
      <c r="A796" s="1" t="s">
        <v>2225</v>
      </c>
      <c r="B796" s="1" t="s">
        <v>18</v>
      </c>
      <c r="C796" s="1" t="s">
        <v>2226</v>
      </c>
      <c r="D796" s="1" t="s">
        <v>2226</v>
      </c>
      <c r="E796" s="2">
        <v>45839.0</v>
      </c>
      <c r="F796" s="1" t="s">
        <v>21</v>
      </c>
      <c r="G796" s="1" t="s">
        <v>95</v>
      </c>
      <c r="H796" s="1" t="s">
        <v>710</v>
      </c>
      <c r="I796" s="1">
        <v>232.0</v>
      </c>
      <c r="J796" s="1" t="s">
        <v>24</v>
      </c>
      <c r="K796" s="1">
        <v>232.0</v>
      </c>
      <c r="L796" s="1">
        <v>92.0</v>
      </c>
      <c r="M796" s="1">
        <v>140.0</v>
      </c>
      <c r="N796" s="1">
        <v>130.0</v>
      </c>
      <c r="O796" s="1" t="s">
        <v>2227</v>
      </c>
      <c r="P796" s="3" t="str">
        <f>HYPERLINK("https://icf.clappia.com/app/SOM165486/submission/IGL37988717/ICF247370-SOM165486-60ka74b0o22g00000000/SIG-20250701_1519gl4b1.jpeg", "SIG-20250701_1519gl4b1.jpeg")</f>
        <v>SIG-20250701_1519gl4b1.jpeg</v>
      </c>
      <c r="Q796" s="3" t="str">
        <f>HYPERLINK("https://www.google.com/maps/place/7.9479567%2C-11.705265", "7.9479567,-11.705265")</f>
        <v>7.9479567,-11.705265</v>
      </c>
    </row>
    <row r="797" ht="15.75" customHeight="1">
      <c r="A797" s="1" t="s">
        <v>2228</v>
      </c>
      <c r="B797" s="1" t="s">
        <v>18</v>
      </c>
      <c r="C797" s="1" t="s">
        <v>2226</v>
      </c>
      <c r="D797" s="1" t="s">
        <v>2226</v>
      </c>
      <c r="E797" s="2">
        <v>45839.0</v>
      </c>
      <c r="F797" s="1" t="s">
        <v>68</v>
      </c>
      <c r="G797" s="1" t="s">
        <v>597</v>
      </c>
      <c r="H797" s="1" t="s">
        <v>739</v>
      </c>
      <c r="I797" s="1">
        <v>108.0</v>
      </c>
      <c r="J797" s="1" t="s">
        <v>24</v>
      </c>
      <c r="K797" s="1">
        <v>108.0</v>
      </c>
      <c r="L797" s="1">
        <v>93.0</v>
      </c>
      <c r="M797" s="1">
        <v>15.0</v>
      </c>
      <c r="N797" s="1">
        <v>15.0</v>
      </c>
      <c r="O797" s="1" t="s">
        <v>2229</v>
      </c>
      <c r="P797" s="3" t="str">
        <f>HYPERLINK("https://icf.clappia.com/app/SOM165486/submission/BQP82882440/ICF247370-SOM165486-881n873445400000000/SIG-20250701_1520j9ni8.jpeg", "SIG-20250701_1520j9ni8.jpeg")</f>
        <v>SIG-20250701_1520j9ni8.jpeg</v>
      </c>
      <c r="Q797" s="3" t="str">
        <f>HYPERLINK("https://www.google.com/maps/place/8.841611%2C-12.154517", "8.841611,-12.154517")</f>
        <v>8.841611,-12.154517</v>
      </c>
    </row>
    <row r="798" ht="15.75" customHeight="1">
      <c r="A798" s="1" t="s">
        <v>2230</v>
      </c>
      <c r="B798" s="1" t="s">
        <v>18</v>
      </c>
      <c r="C798" s="1" t="s">
        <v>2231</v>
      </c>
      <c r="D798" s="1" t="s">
        <v>2231</v>
      </c>
      <c r="E798" s="2">
        <v>45807.0</v>
      </c>
      <c r="F798" s="1" t="s">
        <v>68</v>
      </c>
      <c r="G798" s="1" t="s">
        <v>597</v>
      </c>
      <c r="H798" s="1" t="s">
        <v>739</v>
      </c>
      <c r="I798" s="1">
        <v>150.0</v>
      </c>
      <c r="J798" s="1" t="s">
        <v>24</v>
      </c>
      <c r="K798" s="1">
        <v>150.0</v>
      </c>
      <c r="L798" s="1">
        <v>142.0</v>
      </c>
      <c r="M798" s="1">
        <v>8.0</v>
      </c>
      <c r="N798" s="1">
        <v>8.0</v>
      </c>
      <c r="O798" s="1" t="s">
        <v>740</v>
      </c>
      <c r="P798" s="3" t="str">
        <f>HYPERLINK("https://icf.clappia.com/app/SOM165486/submission/AFX43826385/ICF247370-SOM165486-1afplfondpabi0000000/SIG-20250701_151124mp0.jpeg", "SIG-20250701_151124mp0.jpeg")</f>
        <v>SIG-20250701_151124mp0.jpeg</v>
      </c>
      <c r="Q798" s="3" t="str">
        <f>HYPERLINK("https://www.google.com/maps/place/8.860876%2C-12.1237915", "8.860876,-12.1237915")</f>
        <v>8.860876,-12.1237915</v>
      </c>
    </row>
    <row r="799" ht="15.75" customHeight="1">
      <c r="A799" s="1" t="s">
        <v>2232</v>
      </c>
      <c r="B799" s="1" t="s">
        <v>18</v>
      </c>
      <c r="C799" s="1" t="s">
        <v>2233</v>
      </c>
      <c r="D799" s="1" t="s">
        <v>2233</v>
      </c>
      <c r="E799" s="2">
        <v>45839.0</v>
      </c>
      <c r="F799" s="1" t="s">
        <v>68</v>
      </c>
      <c r="G799" s="1" t="s">
        <v>69</v>
      </c>
      <c r="H799" s="1" t="s">
        <v>70</v>
      </c>
      <c r="I799" s="1">
        <v>150.0</v>
      </c>
      <c r="J799" s="1" t="s">
        <v>24</v>
      </c>
      <c r="K799" s="1">
        <v>150.0</v>
      </c>
      <c r="L799" s="1">
        <v>150.0</v>
      </c>
      <c r="M799" s="1" t="s">
        <v>24</v>
      </c>
      <c r="N799" s="1" t="s">
        <v>24</v>
      </c>
      <c r="O799" s="1" t="s">
        <v>2234</v>
      </c>
      <c r="P799" s="3" t="str">
        <f>HYPERLINK("https://icf.clappia.com/app/SOM165486/submission/KOU01930216/ICF247370-SOM165486-110l86f9b367a0000000/SIG-20250701_15119ocai.jpeg", "SIG-20250701_15119ocai.jpeg")</f>
        <v>SIG-20250701_15119ocai.jpeg</v>
      </c>
      <c r="Q799" s="3" t="str">
        <f>HYPERLINK("https://www.google.com/maps/place/8.877635%2C-12.1083517", "8.877635,-12.1083517")</f>
        <v>8.877635,-12.1083517</v>
      </c>
    </row>
    <row r="800" ht="15.75" customHeight="1">
      <c r="A800" s="1" t="s">
        <v>2235</v>
      </c>
      <c r="B800" s="1" t="s">
        <v>18</v>
      </c>
      <c r="C800" s="1" t="s">
        <v>2192</v>
      </c>
      <c r="D800" s="1" t="s">
        <v>2192</v>
      </c>
      <c r="E800" s="2">
        <v>45839.0</v>
      </c>
      <c r="F800" s="1" t="s">
        <v>68</v>
      </c>
      <c r="G800" s="1" t="s">
        <v>286</v>
      </c>
      <c r="H800" s="1" t="s">
        <v>320</v>
      </c>
      <c r="I800" s="1">
        <v>200.0</v>
      </c>
      <c r="J800" s="1" t="s">
        <v>24</v>
      </c>
      <c r="K800" s="1">
        <v>200.0</v>
      </c>
      <c r="L800" s="1">
        <v>184.0</v>
      </c>
      <c r="M800" s="1">
        <v>16.0</v>
      </c>
      <c r="N800" s="1">
        <v>16.0</v>
      </c>
      <c r="O800" s="1" t="s">
        <v>1782</v>
      </c>
      <c r="P800" s="3" t="str">
        <f>HYPERLINK("https://icf.clappia.com/app/SOM165486/submission/GOK86765193/ICF247370-SOM165486-2i50gp1a58im00000000/SIG-20250701_15084h4jp.jpeg", "SIG-20250701_15084h4jp.jpeg")</f>
        <v>SIG-20250701_15084h4jp.jpeg</v>
      </c>
      <c r="Q800" s="3" t="str">
        <f>HYPERLINK("https://www.google.com/maps/place/9.0305429%2C-12.1575735", "9.0305429,-12.1575735")</f>
        <v>9.0305429,-12.1575735</v>
      </c>
    </row>
    <row r="801" ht="15.75" customHeight="1">
      <c r="A801" s="1" t="s">
        <v>2236</v>
      </c>
      <c r="B801" s="1" t="s">
        <v>18</v>
      </c>
      <c r="C801" s="1" t="s">
        <v>2237</v>
      </c>
      <c r="D801" s="1" t="s">
        <v>2237</v>
      </c>
      <c r="E801" s="2">
        <v>45839.0</v>
      </c>
      <c r="F801" s="1" t="s">
        <v>21</v>
      </c>
      <c r="G801" s="1" t="s">
        <v>95</v>
      </c>
      <c r="H801" s="1" t="s">
        <v>1301</v>
      </c>
      <c r="I801" s="1">
        <v>50.0</v>
      </c>
      <c r="J801" s="1" t="s">
        <v>24</v>
      </c>
      <c r="K801" s="1">
        <v>50.0</v>
      </c>
      <c r="L801" s="1">
        <v>47.0</v>
      </c>
      <c r="M801" s="1">
        <v>3.0</v>
      </c>
      <c r="N801" s="1" t="s">
        <v>24</v>
      </c>
      <c r="O801" s="1" t="s">
        <v>1382</v>
      </c>
      <c r="P801" s="3" t="str">
        <f>HYPERLINK("https://icf.clappia.com/app/SOM165486/submission/QJQ88987212/ICF247370-SOM165486-35n4ekgd51bk00000000/SIG-20250701_1506m2mde.jpeg", "SIG-20250701_1506m2mde.jpeg")</f>
        <v>SIG-20250701_1506m2mde.jpeg</v>
      </c>
      <c r="Q801" s="3" t="str">
        <f>HYPERLINK("https://www.google.com/maps/place/7.9428183%2C-11.666065", "7.9428183,-11.666065")</f>
        <v>7.9428183,-11.666065</v>
      </c>
    </row>
    <row r="802" ht="15.75" customHeight="1">
      <c r="A802" s="1" t="s">
        <v>2238</v>
      </c>
      <c r="B802" s="1" t="s">
        <v>18</v>
      </c>
      <c r="C802" s="1" t="s">
        <v>2237</v>
      </c>
      <c r="D802" s="1" t="s">
        <v>2237</v>
      </c>
      <c r="E802" s="2">
        <v>45839.0</v>
      </c>
      <c r="F802" s="1" t="s">
        <v>68</v>
      </c>
      <c r="G802" s="1" t="s">
        <v>672</v>
      </c>
      <c r="H802" s="1" t="s">
        <v>2239</v>
      </c>
      <c r="I802" s="1">
        <v>100.0</v>
      </c>
      <c r="J802" s="1" t="s">
        <v>24</v>
      </c>
      <c r="K802" s="1">
        <v>100.0</v>
      </c>
      <c r="L802" s="1">
        <v>86.0</v>
      </c>
      <c r="M802" s="1">
        <v>14.0</v>
      </c>
      <c r="N802" s="1">
        <v>14.0</v>
      </c>
      <c r="O802" s="1" t="s">
        <v>2240</v>
      </c>
      <c r="P802" s="3" t="str">
        <f>HYPERLINK("https://icf.clappia.com/app/SOM165486/submission/LDF81353584/ICF247370-SOM165486-3b3d734jg3d000000000/SIG-20250701_1505dn801.jpeg", "SIG-20250701_1505dn801.jpeg")</f>
        <v>SIG-20250701_1505dn801.jpeg</v>
      </c>
      <c r="Q802" s="3" t="str">
        <f>HYPERLINK("https://www.google.com/maps/place/9.0262733%2C-11.9881183", "9.0262733,-11.9881183")</f>
        <v>9.0262733,-11.9881183</v>
      </c>
    </row>
    <row r="803" ht="15.75" customHeight="1">
      <c r="A803" s="1" t="s">
        <v>2241</v>
      </c>
      <c r="B803" s="1" t="s">
        <v>283</v>
      </c>
      <c r="C803" s="1" t="s">
        <v>2237</v>
      </c>
      <c r="D803" s="1" t="s">
        <v>2237</v>
      </c>
      <c r="E803" s="2">
        <v>45838.0</v>
      </c>
      <c r="F803" s="1" t="s">
        <v>68</v>
      </c>
      <c r="G803" s="1" t="s">
        <v>340</v>
      </c>
      <c r="H803" s="1" t="s">
        <v>626</v>
      </c>
      <c r="I803" s="1">
        <v>270.0</v>
      </c>
      <c r="J803" s="1" t="s">
        <v>24</v>
      </c>
      <c r="K803" s="1">
        <v>270.0</v>
      </c>
      <c r="L803" s="1">
        <v>262.0</v>
      </c>
      <c r="M803" s="1">
        <v>8.0</v>
      </c>
      <c r="N803" s="1" t="s">
        <v>24</v>
      </c>
      <c r="O803" s="1" t="s">
        <v>2169</v>
      </c>
      <c r="P803" s="3" t="str">
        <f>HYPERLINK("https://icf.clappia.com/app/SOM165486/submission/WWA74588119/ICF247370-SOM165486-1mm4mfm0jh50e0000000/SIG-20250701_15057bb73.jpeg", "SIG-20250701_15057bb73.jpeg")</f>
        <v>SIG-20250701_15057bb73.jpeg</v>
      </c>
      <c r="Q803" s="3" t="str">
        <f>HYPERLINK("https://www.google.com/maps/place/9.1706095%2C-12.0131088", "9.1706095,-12.0131088")</f>
        <v>9.1706095,-12.0131088</v>
      </c>
    </row>
    <row r="804" ht="15.75" customHeight="1">
      <c r="A804" s="1" t="s">
        <v>2242</v>
      </c>
      <c r="B804" s="1" t="s">
        <v>18</v>
      </c>
      <c r="C804" s="1" t="s">
        <v>2243</v>
      </c>
      <c r="D804" s="1" t="s">
        <v>2243</v>
      </c>
      <c r="E804" s="2">
        <v>45839.0</v>
      </c>
      <c r="F804" s="1" t="s">
        <v>21</v>
      </c>
      <c r="G804" s="1" t="s">
        <v>95</v>
      </c>
      <c r="H804" s="1" t="s">
        <v>1301</v>
      </c>
      <c r="I804" s="1">
        <v>150.0</v>
      </c>
      <c r="J804" s="1" t="s">
        <v>24</v>
      </c>
      <c r="K804" s="1">
        <v>150.0</v>
      </c>
      <c r="L804" s="1">
        <v>145.0</v>
      </c>
      <c r="M804" s="1">
        <v>5.0</v>
      </c>
      <c r="N804" s="1" t="s">
        <v>24</v>
      </c>
      <c r="O804" s="1" t="s">
        <v>1302</v>
      </c>
      <c r="P804" s="3" t="str">
        <f>HYPERLINK("https://icf.clappia.com/app/SOM165486/submission/VKZ86772221/ICF247370-SOM165486-2b3f87h1g478e0000000/SIG-20250701_1504jo3a1.jpeg", "SIG-20250701_1504jo3a1.jpeg")</f>
        <v>SIG-20250701_1504jo3a1.jpeg</v>
      </c>
      <c r="Q804" s="3" t="str">
        <f>HYPERLINK("https://www.google.com/maps/place/7.94267%2C-11.6663533", "7.94267,-11.6663533")</f>
        <v>7.94267,-11.6663533</v>
      </c>
    </row>
    <row r="805" ht="15.75" customHeight="1">
      <c r="A805" s="1" t="s">
        <v>2244</v>
      </c>
      <c r="B805" s="1" t="s">
        <v>283</v>
      </c>
      <c r="C805" s="1" t="s">
        <v>2245</v>
      </c>
      <c r="D805" s="1" t="s">
        <v>2245</v>
      </c>
      <c r="E805" s="2">
        <v>45839.0</v>
      </c>
      <c r="F805" s="1" t="s">
        <v>68</v>
      </c>
      <c r="G805" s="1" t="s">
        <v>385</v>
      </c>
      <c r="H805" s="1" t="s">
        <v>1200</v>
      </c>
      <c r="I805" s="1">
        <v>300.0</v>
      </c>
      <c r="J805" s="1" t="s">
        <v>24</v>
      </c>
      <c r="K805" s="1">
        <v>300.0</v>
      </c>
      <c r="L805" s="1">
        <v>286.0</v>
      </c>
      <c r="M805" s="1">
        <v>14.0</v>
      </c>
      <c r="N805" s="1">
        <v>14.0</v>
      </c>
      <c r="O805" s="1" t="s">
        <v>1201</v>
      </c>
      <c r="P805" s="3" t="str">
        <f>HYPERLINK("https://icf.clappia.com/app/SOM165486/submission/NFL39241116/ICF247370-SOM165486-3i78m0l5p7j200000000/SIG-20250701_1503bg9ie.jpeg", "SIG-20250701_1503bg9ie.jpeg")</f>
        <v>SIG-20250701_1503bg9ie.jpeg</v>
      </c>
      <c r="Q805" s="3" t="str">
        <f>HYPERLINK("https://www.google.com/maps/place/9.1714733%2C-12.060525", "9.1714733,-12.060525")</f>
        <v>9.1714733,-12.060525</v>
      </c>
    </row>
    <row r="806" ht="15.75" customHeight="1">
      <c r="A806" s="1" t="s">
        <v>2246</v>
      </c>
      <c r="B806" s="1" t="s">
        <v>18</v>
      </c>
      <c r="C806" s="1" t="s">
        <v>2247</v>
      </c>
      <c r="D806" s="1" t="s">
        <v>2247</v>
      </c>
      <c r="E806" s="2">
        <v>45839.0</v>
      </c>
      <c r="F806" s="1" t="s">
        <v>21</v>
      </c>
      <c r="G806" s="1" t="s">
        <v>1331</v>
      </c>
      <c r="H806" s="1" t="s">
        <v>1332</v>
      </c>
      <c r="I806" s="1">
        <v>182.0</v>
      </c>
      <c r="J806" s="1" t="s">
        <v>24</v>
      </c>
      <c r="K806" s="1">
        <v>182.0</v>
      </c>
      <c r="L806" s="1">
        <v>179.0</v>
      </c>
      <c r="M806" s="1">
        <v>3.0</v>
      </c>
      <c r="N806" s="1" t="s">
        <v>24</v>
      </c>
      <c r="O806" s="1" t="s">
        <v>1333</v>
      </c>
      <c r="P806" s="3" t="str">
        <f>HYPERLINK("https://icf.clappia.com/app/SOM165486/submission/URC96365664/ICF247370-SOM165486-4550h0dj8pc600000000/SIG-20250701_1502hel4o.jpeg", "SIG-20250701_1502hel4o.jpeg")</f>
        <v>SIG-20250701_1502hel4o.jpeg</v>
      </c>
      <c r="Q806" s="3" t="str">
        <f>HYPERLINK("https://www.google.com/maps/place/8.1269117%2C-11.6531683", "8.1269117,-11.6531683")</f>
        <v>8.1269117,-11.6531683</v>
      </c>
    </row>
    <row r="807" ht="15.75" customHeight="1">
      <c r="A807" s="1" t="s">
        <v>2248</v>
      </c>
      <c r="B807" s="1" t="s">
        <v>283</v>
      </c>
      <c r="C807" s="1" t="s">
        <v>2249</v>
      </c>
      <c r="D807" s="1" t="s">
        <v>2249</v>
      </c>
      <c r="E807" s="2">
        <v>45839.0</v>
      </c>
      <c r="F807" s="1" t="s">
        <v>68</v>
      </c>
      <c r="G807" s="1" t="s">
        <v>385</v>
      </c>
      <c r="H807" s="1" t="s">
        <v>828</v>
      </c>
      <c r="I807" s="1">
        <v>260.0</v>
      </c>
      <c r="J807" s="1" t="s">
        <v>24</v>
      </c>
      <c r="K807" s="1">
        <v>260.0</v>
      </c>
      <c r="L807" s="1">
        <v>260.0</v>
      </c>
      <c r="M807" s="1" t="s">
        <v>24</v>
      </c>
      <c r="N807" s="1" t="s">
        <v>24</v>
      </c>
      <c r="O807" s="1" t="s">
        <v>2250</v>
      </c>
      <c r="P807" s="3" t="str">
        <f>HYPERLINK("https://icf.clappia.com/app/SOM165486/submission/QMT63527212/ICF247370-SOM165486-3fm7h2kb24e800000000/SIG-20250701_1500bhffh.jpeg", "SIG-20250701_1500bhffh.jpeg")</f>
        <v>SIG-20250701_1500bhffh.jpeg</v>
      </c>
      <c r="Q807" s="3" t="str">
        <f>HYPERLINK("https://www.google.com/maps/place/9.2110838%2C-11.9713645", "9.2110838,-11.9713645")</f>
        <v>9.2110838,-11.9713645</v>
      </c>
    </row>
    <row r="808" ht="15.75" customHeight="1">
      <c r="A808" s="1" t="s">
        <v>2251</v>
      </c>
      <c r="B808" s="1" t="s">
        <v>18</v>
      </c>
      <c r="C808" s="1" t="s">
        <v>2252</v>
      </c>
      <c r="D808" s="1" t="s">
        <v>2252</v>
      </c>
      <c r="E808" s="2">
        <v>45839.0</v>
      </c>
      <c r="F808" s="1" t="s">
        <v>21</v>
      </c>
      <c r="G808" s="1" t="s">
        <v>275</v>
      </c>
      <c r="H808" s="1" t="s">
        <v>1220</v>
      </c>
      <c r="I808" s="1">
        <v>347.0</v>
      </c>
      <c r="J808" s="1" t="s">
        <v>24</v>
      </c>
      <c r="K808" s="1">
        <v>347.0</v>
      </c>
      <c r="L808" s="1">
        <v>347.0</v>
      </c>
      <c r="M808" s="1" t="s">
        <v>24</v>
      </c>
      <c r="N808" s="1" t="s">
        <v>24</v>
      </c>
      <c r="O808" s="1" t="s">
        <v>1221</v>
      </c>
      <c r="P808" s="3" t="str">
        <f>HYPERLINK("https://icf.clappia.com/app/SOM165486/submission/OCF02914215/ICF247370-SOM165486-f48a2lj5cn280000000/SIG-20250701_145716b0cl.jpeg", "SIG-20250701_145716b0cl.jpeg")</f>
        <v>SIG-20250701_145716b0cl.jpeg</v>
      </c>
      <c r="Q808" s="3" t="str">
        <f>HYPERLINK("https://www.google.com/maps/place/7.6524583%2C-11.96395", "7.6524583,-11.96395")</f>
        <v>7.6524583,-11.96395</v>
      </c>
    </row>
    <row r="809" ht="15.75" customHeight="1">
      <c r="A809" s="1" t="s">
        <v>2253</v>
      </c>
      <c r="B809" s="1" t="s">
        <v>18</v>
      </c>
      <c r="C809" s="1" t="s">
        <v>2254</v>
      </c>
      <c r="D809" s="1" t="s">
        <v>2254</v>
      </c>
      <c r="E809" s="2">
        <v>45839.0</v>
      </c>
      <c r="F809" s="1" t="s">
        <v>21</v>
      </c>
      <c r="G809" s="1" t="s">
        <v>129</v>
      </c>
      <c r="H809" s="1" t="s">
        <v>1250</v>
      </c>
      <c r="I809" s="1">
        <v>140.0</v>
      </c>
      <c r="J809" s="1" t="s">
        <v>24</v>
      </c>
      <c r="K809" s="1">
        <v>140.0</v>
      </c>
      <c r="L809" s="1">
        <v>121.0</v>
      </c>
      <c r="M809" s="1">
        <v>19.0</v>
      </c>
      <c r="N809" s="1">
        <v>19.0</v>
      </c>
      <c r="O809" s="1" t="s">
        <v>1722</v>
      </c>
      <c r="P809" s="3" t="str">
        <f>HYPERLINK("https://icf.clappia.com/app/SOM165486/submission/KGD94914196/ICF247370-SOM165486-4g9pbmge7k2i00000000/SIG-20250701_1439156bgh.jpeg", "SIG-20250701_1439156bgh.jpeg")</f>
        <v>SIG-20250701_1439156bgh.jpeg</v>
      </c>
      <c r="Q809" s="3" t="str">
        <f>HYPERLINK("https://www.google.com/maps/place/7.6118083%2C-11.8634833", "7.6118083,-11.8634833")</f>
        <v>7.6118083,-11.8634833</v>
      </c>
    </row>
    <row r="810" ht="15.75" customHeight="1">
      <c r="A810" s="1" t="s">
        <v>2255</v>
      </c>
      <c r="B810" s="1" t="s">
        <v>283</v>
      </c>
      <c r="C810" s="1" t="s">
        <v>2173</v>
      </c>
      <c r="D810" s="1" t="s">
        <v>2173</v>
      </c>
      <c r="E810" s="2">
        <v>45839.0</v>
      </c>
      <c r="F810" s="1" t="s">
        <v>68</v>
      </c>
      <c r="G810" s="1" t="s">
        <v>592</v>
      </c>
      <c r="H810" s="1" t="s">
        <v>665</v>
      </c>
      <c r="I810" s="1">
        <v>638.0</v>
      </c>
      <c r="J810" s="1">
        <v>38.0</v>
      </c>
      <c r="K810" s="1">
        <v>676.0</v>
      </c>
      <c r="L810" s="1">
        <v>638.0</v>
      </c>
      <c r="M810" s="1">
        <v>38.0</v>
      </c>
      <c r="N810" s="1" t="s">
        <v>24</v>
      </c>
      <c r="O810" s="1" t="s">
        <v>2256</v>
      </c>
      <c r="P810" s="3" t="str">
        <f>HYPERLINK("https://icf.clappia.com/app/SOM165486/submission/QUP24845349/ICF247370-SOM165486-30doinaija1a00000000/SIG-20250701_144912gn2m.jpeg", "SIG-20250701_144912gn2m.jpeg")</f>
        <v>SIG-20250701_144912gn2m.jpeg</v>
      </c>
      <c r="Q810" s="3" t="str">
        <f>HYPERLINK("https://www.google.com/maps/place/8.8907967%2C-12.0624175", "8.8907967,-12.0624175")</f>
        <v>8.8907967,-12.0624175</v>
      </c>
    </row>
    <row r="811" ht="15.75" customHeight="1">
      <c r="A811" s="1" t="s">
        <v>2257</v>
      </c>
      <c r="B811" s="1" t="s">
        <v>283</v>
      </c>
      <c r="C811" s="1" t="s">
        <v>2173</v>
      </c>
      <c r="D811" s="1" t="s">
        <v>2173</v>
      </c>
      <c r="E811" s="2">
        <v>45839.0</v>
      </c>
      <c r="F811" s="1" t="s">
        <v>68</v>
      </c>
      <c r="G811" s="1" t="s">
        <v>88</v>
      </c>
      <c r="H811" s="1" t="s">
        <v>1314</v>
      </c>
      <c r="I811" s="1">
        <v>350.0</v>
      </c>
      <c r="J811" s="1" t="s">
        <v>24</v>
      </c>
      <c r="K811" s="1">
        <v>350.0</v>
      </c>
      <c r="L811" s="1">
        <v>350.0</v>
      </c>
      <c r="M811" s="1" t="s">
        <v>24</v>
      </c>
      <c r="N811" s="1" t="s">
        <v>24</v>
      </c>
      <c r="O811" s="1" t="s">
        <v>2258</v>
      </c>
      <c r="P811" s="3" t="str">
        <f>HYPERLINK("https://icf.clappia.com/app/SOM165486/submission/TXD04305276/ICF247370-SOM165486-3cfkpaj478ig00000000/SIG-20250701_1450bknim.jpeg", "SIG-20250701_1450bknim.jpeg")</f>
        <v>SIG-20250701_1450bknim.jpeg</v>
      </c>
      <c r="Q811" s="3" t="str">
        <f>HYPERLINK("https://www.google.com/maps/place/8.8743683%2C-12.0321667", "8.8743683,-12.0321667")</f>
        <v>8.8743683,-12.0321667</v>
      </c>
    </row>
    <row r="812" ht="15.75" customHeight="1">
      <c r="A812" s="1" t="s">
        <v>2259</v>
      </c>
      <c r="B812" s="1" t="s">
        <v>18</v>
      </c>
      <c r="C812" s="1" t="s">
        <v>2260</v>
      </c>
      <c r="D812" s="1" t="s">
        <v>2260</v>
      </c>
      <c r="E812" s="2">
        <v>45839.0</v>
      </c>
      <c r="F812" s="1" t="s">
        <v>21</v>
      </c>
      <c r="G812" s="1" t="s">
        <v>421</v>
      </c>
      <c r="H812" s="1" t="s">
        <v>422</v>
      </c>
      <c r="I812" s="1">
        <v>173.0</v>
      </c>
      <c r="J812" s="1" t="s">
        <v>24</v>
      </c>
      <c r="K812" s="1">
        <v>173.0</v>
      </c>
      <c r="L812" s="1">
        <v>41.0</v>
      </c>
      <c r="M812" s="1">
        <v>132.0</v>
      </c>
      <c r="N812" s="1">
        <v>132.0</v>
      </c>
      <c r="O812" s="1" t="s">
        <v>423</v>
      </c>
      <c r="P812" s="3" t="str">
        <f>HYPERLINK("https://icf.clappia.com/app/SOM165486/submission/YGS28630810/ICF247370-SOM165486-56jenh9ljecc00000000/SIG-20250701_144772f0f.jpeg", "SIG-20250701_144772f0f.jpeg")</f>
        <v>SIG-20250701_144772f0f.jpeg</v>
      </c>
      <c r="Q812" s="3" t="str">
        <f>HYPERLINK("https://www.google.com/maps/place/8.1062675%2C-11.5573115", "8.1062675,-11.5573115")</f>
        <v>8.1062675,-11.5573115</v>
      </c>
    </row>
    <row r="813" ht="15.75" customHeight="1">
      <c r="A813" s="1" t="s">
        <v>2261</v>
      </c>
      <c r="B813" s="1" t="s">
        <v>18</v>
      </c>
      <c r="C813" s="1" t="s">
        <v>2260</v>
      </c>
      <c r="D813" s="1" t="s">
        <v>2260</v>
      </c>
      <c r="E813" s="2">
        <v>45839.0</v>
      </c>
      <c r="F813" s="1" t="s">
        <v>68</v>
      </c>
      <c r="G813" s="1" t="s">
        <v>69</v>
      </c>
      <c r="H813" s="1" t="s">
        <v>1127</v>
      </c>
      <c r="I813" s="1">
        <v>250.0</v>
      </c>
      <c r="J813" s="1" t="s">
        <v>24</v>
      </c>
      <c r="K813" s="1">
        <v>250.0</v>
      </c>
      <c r="L813" s="1">
        <v>218.0</v>
      </c>
      <c r="M813" s="1">
        <v>32.0</v>
      </c>
      <c r="N813" s="1">
        <v>28.0</v>
      </c>
      <c r="O813" s="1" t="s">
        <v>2262</v>
      </c>
      <c r="P813" s="3" t="str">
        <f>HYPERLINK("https://icf.clappia.com/app/SOM165486/submission/JSF47764659/ICF247370-SOM165486-6342d49c2iec00000000/SIG-20250701_14487hi0n.jpeg", "SIG-20250701_14487hi0n.jpeg")</f>
        <v>SIG-20250701_14487hi0n.jpeg</v>
      </c>
      <c r="Q813" s="3" t="str">
        <f>HYPERLINK("https://www.google.com/maps/place/8.9017267%2C-12.17208", "8.9017267,-12.17208")</f>
        <v>8.9017267,-12.17208</v>
      </c>
    </row>
    <row r="814" ht="15.75" customHeight="1">
      <c r="A814" s="1" t="s">
        <v>2263</v>
      </c>
      <c r="B814" s="1" t="s">
        <v>18</v>
      </c>
      <c r="C814" s="1" t="s">
        <v>2260</v>
      </c>
      <c r="D814" s="1" t="s">
        <v>2260</v>
      </c>
      <c r="E814" s="2">
        <v>45839.0</v>
      </c>
      <c r="F814" s="1" t="s">
        <v>21</v>
      </c>
      <c r="G814" s="1" t="s">
        <v>95</v>
      </c>
      <c r="H814" s="1" t="s">
        <v>615</v>
      </c>
      <c r="I814" s="1">
        <v>214.0</v>
      </c>
      <c r="J814" s="1" t="s">
        <v>24</v>
      </c>
      <c r="K814" s="1">
        <v>214.0</v>
      </c>
      <c r="L814" s="1">
        <v>214.0</v>
      </c>
      <c r="M814" s="1" t="s">
        <v>24</v>
      </c>
      <c r="N814" s="1" t="s">
        <v>24</v>
      </c>
      <c r="O814" s="1" t="s">
        <v>1037</v>
      </c>
      <c r="P814" s="3" t="str">
        <f>HYPERLINK("https://icf.clappia.com/app/SOM165486/submission/JCH92421737/ICF247370-SOM165486-23i4b4gp5gi2k0000000/SIG-20250701_1447107b6i.jpeg", "SIG-20250701_1447107b6i.jpeg")</f>
        <v>SIG-20250701_1447107b6i.jpeg</v>
      </c>
      <c r="Q814" s="3" t="str">
        <f>HYPERLINK("https://www.google.com/maps/place/7.9684542%2C-11.7609337", "7.9684542,-11.7609337")</f>
        <v>7.9684542,-11.7609337</v>
      </c>
    </row>
    <row r="815" ht="15.75" customHeight="1">
      <c r="A815" s="1" t="s">
        <v>2264</v>
      </c>
      <c r="B815" s="1" t="s">
        <v>18</v>
      </c>
      <c r="C815" s="1" t="s">
        <v>2265</v>
      </c>
      <c r="D815" s="1" t="s">
        <v>2265</v>
      </c>
      <c r="E815" s="2">
        <v>45839.0</v>
      </c>
      <c r="F815" s="1" t="s">
        <v>21</v>
      </c>
      <c r="G815" s="1" t="s">
        <v>129</v>
      </c>
      <c r="H815" s="1" t="s">
        <v>959</v>
      </c>
      <c r="I815" s="1">
        <v>150.0</v>
      </c>
      <c r="J815" s="1" t="s">
        <v>24</v>
      </c>
      <c r="K815" s="1">
        <v>150.0</v>
      </c>
      <c r="L815" s="1">
        <v>149.0</v>
      </c>
      <c r="M815" s="1">
        <v>1.0</v>
      </c>
      <c r="N815" s="1">
        <v>1.0</v>
      </c>
      <c r="O815" s="1" t="s">
        <v>1758</v>
      </c>
      <c r="P815" s="3" t="str">
        <f>HYPERLINK("https://icf.clappia.com/app/SOM165486/submission/PYM75282583/ICF247370-SOM165486-4jj1anbae0d600000000/SIG-20250701_1443ik9lk.jpeg", "SIG-20250701_1443ik9lk.jpeg")</f>
        <v>SIG-20250701_1443ik9lk.jpeg</v>
      </c>
      <c r="Q815" s="3" t="str">
        <f>HYPERLINK("https://www.google.com/maps/place/7.5755531%2C-11.9376335", "7.5755531,-11.9376335")</f>
        <v>7.5755531,-11.9376335</v>
      </c>
    </row>
    <row r="816" ht="15.75" customHeight="1">
      <c r="A816" s="1" t="s">
        <v>2266</v>
      </c>
      <c r="B816" s="1" t="s">
        <v>18</v>
      </c>
      <c r="C816" s="1" t="s">
        <v>2265</v>
      </c>
      <c r="D816" s="1" t="s">
        <v>2265</v>
      </c>
      <c r="E816" s="2">
        <v>45839.0</v>
      </c>
      <c r="F816" s="1" t="s">
        <v>21</v>
      </c>
      <c r="G816" s="1" t="s">
        <v>781</v>
      </c>
      <c r="H816" s="1" t="s">
        <v>2267</v>
      </c>
      <c r="I816" s="1">
        <v>122.0</v>
      </c>
      <c r="J816" s="1" t="s">
        <v>24</v>
      </c>
      <c r="K816" s="1">
        <v>122.0</v>
      </c>
      <c r="L816" s="1">
        <v>113.0</v>
      </c>
      <c r="M816" s="1">
        <v>9.0</v>
      </c>
      <c r="N816" s="1">
        <v>9.0</v>
      </c>
      <c r="O816" s="1" t="s">
        <v>2268</v>
      </c>
      <c r="P816" s="3" t="str">
        <f>HYPERLINK("https://icf.clappia.com/app/SOM165486/submission/WEW41952037/ICF247370-SOM165486-54ma6731b46k00000000/SIG-20250701_1446cd32k.jpeg", "SIG-20250701_1446cd32k.jpeg")</f>
        <v>SIG-20250701_1446cd32k.jpeg</v>
      </c>
      <c r="Q816" s="3" t="str">
        <f>HYPERLINK("https://www.google.com/maps/place/7.9322617%2C-11.5992471", "7.9322617,-11.5992471")</f>
        <v>7.9322617,-11.5992471</v>
      </c>
    </row>
    <row r="817" ht="15.75" customHeight="1">
      <c r="A817" s="1" t="s">
        <v>2269</v>
      </c>
      <c r="B817" s="1" t="s">
        <v>18</v>
      </c>
      <c r="C817" s="1" t="s">
        <v>2265</v>
      </c>
      <c r="D817" s="1" t="s">
        <v>2265</v>
      </c>
      <c r="E817" s="2">
        <v>45839.0</v>
      </c>
      <c r="F817" s="1" t="s">
        <v>68</v>
      </c>
      <c r="G817" s="1" t="s">
        <v>69</v>
      </c>
      <c r="H817" s="1" t="s">
        <v>70</v>
      </c>
      <c r="I817" s="1">
        <v>200.0</v>
      </c>
      <c r="J817" s="1" t="s">
        <v>24</v>
      </c>
      <c r="K817" s="1">
        <v>200.0</v>
      </c>
      <c r="L817" s="1">
        <v>173.0</v>
      </c>
      <c r="M817" s="1">
        <v>27.0</v>
      </c>
      <c r="N817" s="1">
        <v>27.0</v>
      </c>
      <c r="O817" s="1" t="s">
        <v>2270</v>
      </c>
      <c r="P817" s="3" t="str">
        <f>HYPERLINK("https://icf.clappia.com/app/SOM165486/submission/RJB58225176/ICF247370-SOM165486-26d5ng8cmjcec0000000/SIG-20250701_144515b86m.jpeg", "SIG-20250701_144515b86m.jpeg")</f>
        <v>SIG-20250701_144515b86m.jpeg</v>
      </c>
      <c r="Q817" s="3" t="str">
        <f>HYPERLINK("https://www.google.com/maps/place/8.8761526%2C-12.1086866", "8.8761526,-12.1086866")</f>
        <v>8.8761526,-12.1086866</v>
      </c>
    </row>
    <row r="818" ht="15.75" customHeight="1">
      <c r="A818" s="1" t="s">
        <v>2271</v>
      </c>
      <c r="B818" s="1" t="s">
        <v>18</v>
      </c>
      <c r="C818" s="1" t="s">
        <v>2272</v>
      </c>
      <c r="D818" s="1" t="s">
        <v>2272</v>
      </c>
      <c r="E818" s="2">
        <v>45839.0</v>
      </c>
      <c r="F818" s="1" t="s">
        <v>21</v>
      </c>
      <c r="G818" s="1" t="s">
        <v>58</v>
      </c>
      <c r="H818" s="1" t="s">
        <v>147</v>
      </c>
      <c r="I818" s="1">
        <v>196.0</v>
      </c>
      <c r="J818" s="1" t="s">
        <v>24</v>
      </c>
      <c r="K818" s="1">
        <v>196.0</v>
      </c>
      <c r="L818" s="1">
        <v>116.0</v>
      </c>
      <c r="M818" s="1">
        <v>80.0</v>
      </c>
      <c r="N818" s="1">
        <v>80.0</v>
      </c>
      <c r="O818" s="1" t="s">
        <v>2273</v>
      </c>
      <c r="P818" s="3" t="str">
        <f>HYPERLINK("https://icf.clappia.com/app/SOM165486/submission/BIL56276980/ICF247370-SOM165486-2082626iaig800000000/SIG-20250701_144333l4e.jpeg", "SIG-20250701_144333l4e.jpeg")</f>
        <v>SIG-20250701_144333l4e.jpeg</v>
      </c>
      <c r="Q818" s="3" t="str">
        <f>HYPERLINK("https://www.google.com/maps/place/7.8783968%2C-11.7814123", "7.8783968,-11.7814123")</f>
        <v>7.8783968,-11.7814123</v>
      </c>
    </row>
    <row r="819" ht="15.75" customHeight="1">
      <c r="A819" s="1" t="s">
        <v>2274</v>
      </c>
      <c r="B819" s="1" t="s">
        <v>18</v>
      </c>
      <c r="C819" s="1" t="s">
        <v>2275</v>
      </c>
      <c r="D819" s="1" t="s">
        <v>2275</v>
      </c>
      <c r="E819" s="2">
        <v>45839.0</v>
      </c>
      <c r="F819" s="1" t="s">
        <v>21</v>
      </c>
      <c r="G819" s="1" t="s">
        <v>129</v>
      </c>
      <c r="H819" s="1" t="s">
        <v>607</v>
      </c>
      <c r="I819" s="1">
        <v>192.0</v>
      </c>
      <c r="J819" s="1" t="s">
        <v>24</v>
      </c>
      <c r="K819" s="1">
        <v>192.0</v>
      </c>
      <c r="L819" s="1">
        <v>174.0</v>
      </c>
      <c r="M819" s="1">
        <v>18.0</v>
      </c>
      <c r="N819" s="1">
        <v>18.0</v>
      </c>
      <c r="O819" s="1" t="s">
        <v>1160</v>
      </c>
      <c r="P819" s="3" t="str">
        <f>HYPERLINK("https://icf.clappia.com/app/SOM165486/submission/FWR03042521/ICF247370-SOM165486-16e99jijol6h60000000/SIG-20250701_14428b92f.jpeg", "SIG-20250701_14428b92f.jpeg")</f>
        <v>SIG-20250701_14428b92f.jpeg</v>
      </c>
      <c r="Q819" s="3" t="str">
        <f t="shared" ref="Q819:Q820" si="15">HYPERLINK("https://www.google.com/maps/place/7.5783647%2C-11.937838", "7.5783647,-11.937838")</f>
        <v>7.5783647,-11.937838</v>
      </c>
    </row>
    <row r="820" ht="15.75" customHeight="1">
      <c r="A820" s="1" t="s">
        <v>2276</v>
      </c>
      <c r="B820" s="1" t="s">
        <v>18</v>
      </c>
      <c r="C820" s="1" t="s">
        <v>2277</v>
      </c>
      <c r="D820" s="1" t="s">
        <v>510</v>
      </c>
      <c r="E820" s="2">
        <v>45839.0</v>
      </c>
      <c r="F820" s="1" t="s">
        <v>21</v>
      </c>
      <c r="G820" s="1" t="s">
        <v>129</v>
      </c>
      <c r="H820" s="1" t="s">
        <v>607</v>
      </c>
      <c r="I820" s="1">
        <v>120.0</v>
      </c>
      <c r="J820" s="1" t="s">
        <v>24</v>
      </c>
      <c r="K820" s="1">
        <v>120.0</v>
      </c>
      <c r="L820" s="1">
        <v>104.0</v>
      </c>
      <c r="M820" s="1">
        <v>16.0</v>
      </c>
      <c r="N820" s="1">
        <v>16.0</v>
      </c>
      <c r="O820" s="1" t="s">
        <v>608</v>
      </c>
      <c r="P820" s="3" t="str">
        <f>HYPERLINK("https://icf.clappia.com/app/SOM165486/submission/DOM04297163/ICF247370-SOM165486-3aag59l1p4mg00000000/SIG-20250701_1440f5l6e.jpeg", "SIG-20250701_1440f5l6e.jpeg")</f>
        <v>SIG-20250701_1440f5l6e.jpeg</v>
      </c>
      <c r="Q820" s="3" t="str">
        <f t="shared" si="15"/>
        <v>7.5783647,-11.937838</v>
      </c>
    </row>
    <row r="821" ht="15.75" customHeight="1">
      <c r="A821" s="1" t="s">
        <v>2278</v>
      </c>
      <c r="B821" s="1" t="s">
        <v>18</v>
      </c>
      <c r="C821" s="1" t="s">
        <v>510</v>
      </c>
      <c r="D821" s="1" t="s">
        <v>510</v>
      </c>
      <c r="E821" s="2">
        <v>45838.0</v>
      </c>
      <c r="F821" s="1" t="s">
        <v>21</v>
      </c>
      <c r="G821" s="1" t="s">
        <v>95</v>
      </c>
      <c r="H821" s="1" t="s">
        <v>615</v>
      </c>
      <c r="I821" s="1">
        <v>50.0</v>
      </c>
      <c r="J821" s="1" t="s">
        <v>24</v>
      </c>
      <c r="K821" s="1">
        <v>50.0</v>
      </c>
      <c r="L821" s="1">
        <v>39.0</v>
      </c>
      <c r="M821" s="1">
        <v>11.0</v>
      </c>
      <c r="N821" s="1">
        <v>1.0</v>
      </c>
      <c r="O821" s="1" t="s">
        <v>1037</v>
      </c>
      <c r="P821" s="3" t="str">
        <f>HYPERLINK("https://icf.clappia.com/app/SOM165486/submission/BLU98133806/ICF247370-SOM165486-4nd27po31j0e00000000/SIG-20250701_1442n8ne8.jpeg", "SIG-20250701_1442n8ne8.jpeg")</f>
        <v>SIG-20250701_1442n8ne8.jpeg</v>
      </c>
      <c r="Q821" s="3" t="str">
        <f>HYPERLINK("https://www.google.com/maps/place/7.9695805%2C-11.7614766", "7.9695805,-11.7614766")</f>
        <v>7.9695805,-11.7614766</v>
      </c>
    </row>
    <row r="822" ht="15.75" customHeight="1">
      <c r="A822" s="1" t="s">
        <v>2279</v>
      </c>
      <c r="B822" s="1" t="s">
        <v>18</v>
      </c>
      <c r="C822" s="1" t="s">
        <v>2280</v>
      </c>
      <c r="D822" s="1" t="s">
        <v>2280</v>
      </c>
      <c r="E822" s="2">
        <v>45838.0</v>
      </c>
      <c r="F822" s="1" t="s">
        <v>21</v>
      </c>
      <c r="G822" s="1" t="s">
        <v>421</v>
      </c>
      <c r="H822" s="1" t="s">
        <v>422</v>
      </c>
      <c r="I822" s="1">
        <v>151.0</v>
      </c>
      <c r="J822" s="1" t="s">
        <v>24</v>
      </c>
      <c r="K822" s="1">
        <v>151.0</v>
      </c>
      <c r="L822" s="1">
        <v>151.0</v>
      </c>
      <c r="M822" s="1" t="s">
        <v>24</v>
      </c>
      <c r="N822" s="1" t="s">
        <v>24</v>
      </c>
      <c r="O822" s="1" t="s">
        <v>423</v>
      </c>
      <c r="P822" s="3" t="str">
        <f>HYPERLINK("https://icf.clappia.com/app/SOM165486/submission/WWU33031452/ICF247370-SOM165486-2if1g732cei800000000/SIG-20250701_14329h59m.jpeg", "SIG-20250701_14329h59m.jpeg")</f>
        <v>SIG-20250701_14329h59m.jpeg</v>
      </c>
      <c r="Q822" s="3" t="str">
        <f>HYPERLINK("https://www.google.com/maps/place/8.1062675%2C-11.5573115", "8.1062675,-11.5573115")</f>
        <v>8.1062675,-11.5573115</v>
      </c>
    </row>
    <row r="823" ht="15.75" customHeight="1">
      <c r="A823" s="1" t="s">
        <v>2281</v>
      </c>
      <c r="B823" s="1" t="s">
        <v>18</v>
      </c>
      <c r="C823" s="1" t="s">
        <v>1790</v>
      </c>
      <c r="D823" s="1" t="s">
        <v>1790</v>
      </c>
      <c r="E823" s="2">
        <v>45839.0</v>
      </c>
      <c r="F823" s="1" t="s">
        <v>68</v>
      </c>
      <c r="G823" s="1" t="s">
        <v>325</v>
      </c>
      <c r="H823" s="1" t="s">
        <v>1523</v>
      </c>
      <c r="I823" s="1">
        <v>132.0</v>
      </c>
      <c r="J823" s="1">
        <v>50.0</v>
      </c>
      <c r="K823" s="1">
        <v>182.0</v>
      </c>
      <c r="L823" s="1">
        <v>140.0</v>
      </c>
      <c r="M823" s="1">
        <v>42.0</v>
      </c>
      <c r="N823" s="1">
        <v>42.0</v>
      </c>
      <c r="O823" s="1" t="s">
        <v>1524</v>
      </c>
      <c r="P823" s="3" t="str">
        <f>HYPERLINK("https://icf.clappia.com/app/SOM165486/submission/TWZ46250641/ICF247370-SOM165486-5jp4m37m4f6400000000/SIG-20250701_1436peoeb.jpeg", "SIG-20250701_1436peoeb.jpeg")</f>
        <v>SIG-20250701_1436peoeb.jpeg</v>
      </c>
      <c r="Q823" s="3" t="str">
        <f>HYPERLINK("https://www.google.com/maps/place/8.788525%2C-11.907785", "8.788525,-11.907785")</f>
        <v>8.788525,-11.907785</v>
      </c>
    </row>
    <row r="824" ht="15.75" customHeight="1">
      <c r="A824" s="1" t="s">
        <v>2282</v>
      </c>
      <c r="B824" s="1" t="s">
        <v>283</v>
      </c>
      <c r="C824" s="1" t="s">
        <v>2283</v>
      </c>
      <c r="D824" s="1" t="s">
        <v>2283</v>
      </c>
      <c r="E824" s="2">
        <v>45839.0</v>
      </c>
      <c r="F824" s="1" t="s">
        <v>68</v>
      </c>
      <c r="G824" s="1" t="s">
        <v>69</v>
      </c>
      <c r="H824" s="1" t="s">
        <v>1127</v>
      </c>
      <c r="I824" s="1">
        <v>200.0</v>
      </c>
      <c r="J824" s="1">
        <v>50.0</v>
      </c>
      <c r="K824" s="1">
        <v>250.0</v>
      </c>
      <c r="L824" s="1">
        <v>229.0</v>
      </c>
      <c r="M824" s="1">
        <v>21.0</v>
      </c>
      <c r="N824" s="1">
        <v>21.0</v>
      </c>
      <c r="O824" s="1" t="s">
        <v>2284</v>
      </c>
      <c r="P824" s="3" t="str">
        <f>HYPERLINK("https://icf.clappia.com/app/SOM165486/submission/IDN71831001/ICF247370-SOM165486-2c77203hknac0000000/SIG-20250630_1200hb3dp.jpeg", "SIG-20250630_1200hb3dp.jpeg")</f>
        <v>SIG-20250630_1200hb3dp.jpeg</v>
      </c>
      <c r="Q824" s="3" t="str">
        <f>HYPERLINK("https://www.google.com/maps/place/8.9155183%2C-12.2105717", "8.9155183,-12.2105717")</f>
        <v>8.9155183,-12.2105717</v>
      </c>
    </row>
    <row r="825" ht="15.75" customHeight="1">
      <c r="A825" s="1" t="s">
        <v>2285</v>
      </c>
      <c r="B825" s="1" t="s">
        <v>18</v>
      </c>
      <c r="C825" s="1" t="s">
        <v>2286</v>
      </c>
      <c r="D825" s="1" t="s">
        <v>2286</v>
      </c>
      <c r="E825" s="2">
        <v>45839.0</v>
      </c>
      <c r="F825" s="1" t="s">
        <v>21</v>
      </c>
      <c r="G825" s="1" t="s">
        <v>164</v>
      </c>
      <c r="H825" s="1" t="s">
        <v>1058</v>
      </c>
      <c r="I825" s="1">
        <v>179.0</v>
      </c>
      <c r="J825" s="1" t="s">
        <v>24</v>
      </c>
      <c r="K825" s="1">
        <v>179.0</v>
      </c>
      <c r="L825" s="1">
        <v>142.0</v>
      </c>
      <c r="M825" s="1">
        <v>37.0</v>
      </c>
      <c r="N825" s="1" t="s">
        <v>24</v>
      </c>
      <c r="O825" s="1" t="s">
        <v>1888</v>
      </c>
      <c r="P825" s="3" t="str">
        <f>HYPERLINK("https://icf.clappia.com/app/SOM165486/submission/JGC69654328/ICF247370-SOM165486-3225k2j7chg000000000/SIG-20250701_14323f47c.jpeg", "SIG-20250701_14323f47c.jpeg")</f>
        <v>SIG-20250701_14323f47c.jpeg</v>
      </c>
      <c r="Q825" s="3" t="str">
        <f>HYPERLINK("https://www.google.com/maps/place/7.7732767%2C-11.9862967", "7.7732767,-11.9862967")</f>
        <v>7.7732767,-11.9862967</v>
      </c>
    </row>
    <row r="826" ht="15.75" customHeight="1">
      <c r="A826" s="1" t="s">
        <v>2287</v>
      </c>
      <c r="B826" s="1" t="s">
        <v>18</v>
      </c>
      <c r="C826" s="1" t="s">
        <v>2288</v>
      </c>
      <c r="D826" s="1" t="s">
        <v>2289</v>
      </c>
      <c r="E826" s="2">
        <v>45839.0</v>
      </c>
      <c r="F826" s="1" t="s">
        <v>21</v>
      </c>
      <c r="G826" s="1" t="s">
        <v>164</v>
      </c>
      <c r="H826" s="1" t="s">
        <v>1058</v>
      </c>
      <c r="I826" s="1">
        <v>179.0</v>
      </c>
      <c r="J826" s="1" t="s">
        <v>24</v>
      </c>
      <c r="K826" s="1">
        <v>179.0</v>
      </c>
      <c r="L826" s="1">
        <v>142.0</v>
      </c>
      <c r="M826" s="1">
        <v>37.0</v>
      </c>
      <c r="N826" s="1">
        <v>37.0</v>
      </c>
      <c r="O826" s="1" t="s">
        <v>1888</v>
      </c>
      <c r="P826" s="3" t="str">
        <f>HYPERLINK("https://icf.clappia.com/app/SOM165486/submission/YDU08450820/ICF247370-SOM165486-jcnc3m6kkbgk0000000/SIG-20250701_142915ho98.jpeg", "SIG-20250701_142915ho98.jpeg")</f>
        <v>SIG-20250701_142915ho98.jpeg</v>
      </c>
    </row>
    <row r="827" ht="15.75" customHeight="1">
      <c r="A827" s="1" t="s">
        <v>2290</v>
      </c>
      <c r="B827" s="1" t="s">
        <v>18</v>
      </c>
      <c r="C827" s="1" t="s">
        <v>2288</v>
      </c>
      <c r="D827" s="1" t="s">
        <v>2288</v>
      </c>
      <c r="E827" s="2">
        <v>45839.0</v>
      </c>
      <c r="F827" s="1" t="s">
        <v>21</v>
      </c>
      <c r="G827" s="1" t="s">
        <v>95</v>
      </c>
      <c r="H827" s="1" t="s">
        <v>697</v>
      </c>
      <c r="I827" s="1">
        <v>100.0</v>
      </c>
      <c r="J827" s="1" t="s">
        <v>24</v>
      </c>
      <c r="K827" s="1">
        <v>100.0</v>
      </c>
      <c r="L827" s="1">
        <v>93.0</v>
      </c>
      <c r="M827" s="1">
        <v>7.0</v>
      </c>
      <c r="N827" s="1">
        <v>7.0</v>
      </c>
      <c r="O827" s="1" t="s">
        <v>1873</v>
      </c>
      <c r="P827" s="3" t="str">
        <f>HYPERLINK("https://icf.clappia.com/app/SOM165486/submission/AAZ10850003/ICF247370-SOM165486-5ipa9bhh52co00000000/SIG-20250701_14298mbg6.jpeg", "SIG-20250701_14298mbg6.jpeg")</f>
        <v>SIG-20250701_14298mbg6.jpeg</v>
      </c>
      <c r="Q827" s="3" t="str">
        <f>HYPERLINK("https://www.google.com/maps/place/7.9548417%2C-11.75256", "7.9548417,-11.75256")</f>
        <v>7.9548417,-11.75256</v>
      </c>
    </row>
    <row r="828" ht="15.75" customHeight="1">
      <c r="A828" s="1" t="s">
        <v>2291</v>
      </c>
      <c r="B828" s="1" t="s">
        <v>18</v>
      </c>
      <c r="C828" s="1" t="s">
        <v>2288</v>
      </c>
      <c r="D828" s="1" t="s">
        <v>2288</v>
      </c>
      <c r="E828" s="2">
        <v>45839.0</v>
      </c>
      <c r="F828" s="1" t="s">
        <v>68</v>
      </c>
      <c r="G828" s="1" t="s">
        <v>385</v>
      </c>
      <c r="H828" s="1" t="s">
        <v>828</v>
      </c>
      <c r="I828" s="1">
        <v>145.0</v>
      </c>
      <c r="J828" s="1" t="s">
        <v>24</v>
      </c>
      <c r="K828" s="1">
        <v>145.0</v>
      </c>
      <c r="L828" s="1">
        <v>145.0</v>
      </c>
      <c r="M828" s="1" t="s">
        <v>24</v>
      </c>
      <c r="N828" s="1" t="s">
        <v>24</v>
      </c>
      <c r="O828" s="1" t="s">
        <v>829</v>
      </c>
      <c r="P828" s="3" t="str">
        <f>HYPERLINK("https://icf.clappia.com/app/SOM165486/submission/WIX77282029/ICF247370-SOM165486-29p5b336dken20000000/SIG-20250701_1428466el.jpeg", "SIG-20250701_1428466el.jpeg")</f>
        <v>SIG-20250701_1428466el.jpeg</v>
      </c>
      <c r="Q828" s="3" t="str">
        <f>HYPERLINK("https://www.google.com/maps/place/9.1209967%2C-12.1113617", "9.1209967,-12.1113617")</f>
        <v>9.1209967,-12.1113617</v>
      </c>
    </row>
    <row r="829" ht="15.75" customHeight="1">
      <c r="A829" s="1" t="s">
        <v>2292</v>
      </c>
      <c r="B829" s="1" t="s">
        <v>18</v>
      </c>
      <c r="C829" s="1" t="s">
        <v>2293</v>
      </c>
      <c r="D829" s="1" t="s">
        <v>2293</v>
      </c>
      <c r="E829" s="2">
        <v>45838.0</v>
      </c>
      <c r="F829" s="1" t="s">
        <v>21</v>
      </c>
      <c r="G829" s="1" t="s">
        <v>95</v>
      </c>
      <c r="H829" s="1" t="s">
        <v>697</v>
      </c>
      <c r="I829" s="1">
        <v>100.0</v>
      </c>
      <c r="J829" s="1" t="s">
        <v>24</v>
      </c>
      <c r="K829" s="1">
        <v>100.0</v>
      </c>
      <c r="L829" s="1">
        <v>77.0</v>
      </c>
      <c r="M829" s="1">
        <v>23.0</v>
      </c>
      <c r="N829" s="1">
        <v>23.0</v>
      </c>
      <c r="O829" s="1" t="s">
        <v>1873</v>
      </c>
      <c r="P829" s="3" t="str">
        <f>HYPERLINK("https://icf.clappia.com/app/SOM165486/submission/DKQ46541883/ICF247370-SOM165486-2i4mea894mha00000000/SIG-20250701_135878o7c.jpeg", "SIG-20250701_135878o7c.jpeg")</f>
        <v>SIG-20250701_135878o7c.jpeg</v>
      </c>
      <c r="Q829" s="3" t="str">
        <f>HYPERLINK("https://www.google.com/maps/place/7.9500876%2C-11.7484624", "7.9500876,-11.7484624")</f>
        <v>7.9500876,-11.7484624</v>
      </c>
    </row>
    <row r="830" ht="15.75" customHeight="1">
      <c r="A830" s="1" t="s">
        <v>2294</v>
      </c>
      <c r="B830" s="1" t="s">
        <v>18</v>
      </c>
      <c r="C830" s="1" t="s">
        <v>2295</v>
      </c>
      <c r="D830" s="1" t="s">
        <v>2295</v>
      </c>
      <c r="E830" s="2">
        <v>45839.0</v>
      </c>
      <c r="F830" s="1" t="s">
        <v>21</v>
      </c>
      <c r="G830" s="1" t="s">
        <v>58</v>
      </c>
      <c r="H830" s="1" t="s">
        <v>59</v>
      </c>
      <c r="I830" s="1">
        <v>350.0</v>
      </c>
      <c r="J830" s="1">
        <v>200.0</v>
      </c>
      <c r="K830" s="1">
        <v>550.0</v>
      </c>
      <c r="L830" s="1">
        <v>547.0</v>
      </c>
      <c r="M830" s="1">
        <v>3.0</v>
      </c>
      <c r="N830" s="1">
        <v>3.0</v>
      </c>
      <c r="O830" s="1" t="s">
        <v>60</v>
      </c>
      <c r="P830" s="3" t="str">
        <f>HYPERLINK("https://icf.clappia.com/app/SOM165486/submission/QHT51038565/ICF247370-SOM165486-hcn7b1cg73fm0000000/SIG-20250701_142312hl7e.jpeg", "SIG-20250701_142312hl7e.jpeg")</f>
        <v>SIG-20250701_142312hl7e.jpeg</v>
      </c>
      <c r="Q830" s="3" t="str">
        <f>HYPERLINK("https://www.google.com/maps/place/7.9408433%2C-11.74067", "7.9408433,-11.74067")</f>
        <v>7.9408433,-11.74067</v>
      </c>
    </row>
    <row r="831" ht="15.75" customHeight="1">
      <c r="A831" s="1" t="s">
        <v>2296</v>
      </c>
      <c r="B831" s="1" t="s">
        <v>18</v>
      </c>
      <c r="C831" s="1" t="s">
        <v>2297</v>
      </c>
      <c r="D831" s="1" t="s">
        <v>2297</v>
      </c>
      <c r="E831" s="2">
        <v>45839.0</v>
      </c>
      <c r="F831" s="1" t="s">
        <v>21</v>
      </c>
      <c r="G831" s="1" t="s">
        <v>95</v>
      </c>
      <c r="H831" s="1" t="s">
        <v>216</v>
      </c>
      <c r="I831" s="1">
        <v>366.0</v>
      </c>
      <c r="J831" s="1" t="s">
        <v>24</v>
      </c>
      <c r="K831" s="1">
        <v>366.0</v>
      </c>
      <c r="L831" s="1">
        <v>316.0</v>
      </c>
      <c r="M831" s="1">
        <v>50.0</v>
      </c>
      <c r="N831" s="1">
        <v>50.0</v>
      </c>
      <c r="O831" s="1" t="s">
        <v>992</v>
      </c>
      <c r="P831" s="3" t="str">
        <f>HYPERLINK("https://icf.clappia.com/app/SOM165486/submission/BGK31354200/ICF247370-SOM165486-16a1efflip6gg0000000/SIG-20250701_1421k4mjm.jpeg", "SIG-20250701_1421k4mjm.jpeg")</f>
        <v>SIG-20250701_1421k4mjm.jpeg</v>
      </c>
      <c r="Q831" s="3" t="str">
        <f>HYPERLINK("https://www.google.com/maps/place/7.9508614%2C-11.7575473", "7.9508614,-11.7575473")</f>
        <v>7.9508614,-11.7575473</v>
      </c>
    </row>
    <row r="832" ht="15.75" customHeight="1">
      <c r="A832" s="1" t="s">
        <v>2298</v>
      </c>
      <c r="B832" s="1" t="s">
        <v>18</v>
      </c>
      <c r="C832" s="1" t="s">
        <v>2299</v>
      </c>
      <c r="D832" s="1" t="s">
        <v>2299</v>
      </c>
      <c r="E832" s="2">
        <v>45839.0</v>
      </c>
      <c r="F832" s="1" t="s">
        <v>21</v>
      </c>
      <c r="G832" s="1" t="s">
        <v>269</v>
      </c>
      <c r="H832" s="1" t="s">
        <v>1298</v>
      </c>
      <c r="I832" s="1">
        <v>228.0</v>
      </c>
      <c r="J832" s="1" t="s">
        <v>24</v>
      </c>
      <c r="K832" s="1">
        <v>228.0</v>
      </c>
      <c r="L832" s="1">
        <v>145.0</v>
      </c>
      <c r="M832" s="1">
        <v>83.0</v>
      </c>
      <c r="N832" s="1">
        <v>83.0</v>
      </c>
      <c r="O832" s="1" t="s">
        <v>1828</v>
      </c>
      <c r="P832" s="3" t="str">
        <f>HYPERLINK("https://icf.clappia.com/app/SOM165486/submission/EFV21582744/ICF247370-SOM165486-odgife1bm78k0000000/SIG-20250701_1420ko2hp.jpeg", "SIG-20250701_1420ko2hp.jpeg")</f>
        <v>SIG-20250701_1420ko2hp.jpeg</v>
      </c>
      <c r="Q832" s="3" t="str">
        <f>HYPERLINK("https://www.google.com/maps/place/7.7113693%2C-11.6942432", "7.7113693,-11.6942432")</f>
        <v>7.7113693,-11.6942432</v>
      </c>
    </row>
    <row r="833" ht="15.75" customHeight="1">
      <c r="A833" s="1" t="s">
        <v>2300</v>
      </c>
      <c r="B833" s="1" t="s">
        <v>18</v>
      </c>
      <c r="C833" s="1" t="s">
        <v>2299</v>
      </c>
      <c r="D833" s="1" t="s">
        <v>2299</v>
      </c>
      <c r="E833" s="2">
        <v>45839.0</v>
      </c>
      <c r="F833" s="1" t="s">
        <v>68</v>
      </c>
      <c r="G833" s="1" t="s">
        <v>286</v>
      </c>
      <c r="H833" s="1" t="s">
        <v>320</v>
      </c>
      <c r="I833" s="1">
        <v>400.0</v>
      </c>
      <c r="J833" s="1" t="s">
        <v>24</v>
      </c>
      <c r="K833" s="1">
        <v>400.0</v>
      </c>
      <c r="L833" s="1">
        <v>331.0</v>
      </c>
      <c r="M833" s="1">
        <v>69.0</v>
      </c>
      <c r="N833" s="1">
        <v>69.0</v>
      </c>
      <c r="O833" s="1" t="s">
        <v>1467</v>
      </c>
      <c r="P833" s="3" t="str">
        <f>HYPERLINK("https://icf.clappia.com/app/SOM165486/submission/BMD47919474/ICF247370-SOM165486-4n2nkkl2p94m00000000/SIG-20250701_141910no98.jpeg", "SIG-20250701_141910no98.jpeg")</f>
        <v>SIG-20250701_141910no98.jpeg</v>
      </c>
      <c r="Q833" s="3" t="str">
        <f>HYPERLINK("https://www.google.com/maps/place/9.0297391%2C-12.1578211", "9.0297391,-12.1578211")</f>
        <v>9.0297391,-12.1578211</v>
      </c>
    </row>
    <row r="834" ht="15.75" customHeight="1">
      <c r="A834" s="1" t="s">
        <v>2301</v>
      </c>
      <c r="B834" s="1" t="s">
        <v>18</v>
      </c>
      <c r="C834" s="1" t="s">
        <v>2302</v>
      </c>
      <c r="D834" s="1" t="s">
        <v>2302</v>
      </c>
      <c r="E834" s="2">
        <v>45839.0</v>
      </c>
      <c r="F834" s="1" t="s">
        <v>68</v>
      </c>
      <c r="G834" s="1" t="s">
        <v>88</v>
      </c>
      <c r="H834" s="1" t="s">
        <v>1138</v>
      </c>
      <c r="I834" s="1">
        <v>255.0</v>
      </c>
      <c r="J834" s="1">
        <v>50.0</v>
      </c>
      <c r="K834" s="1">
        <v>305.0</v>
      </c>
      <c r="L834" s="1">
        <v>305.0</v>
      </c>
      <c r="M834" s="1" t="s">
        <v>24</v>
      </c>
      <c r="N834" s="1" t="s">
        <v>24</v>
      </c>
      <c r="O834" s="1" t="s">
        <v>2303</v>
      </c>
      <c r="P834" s="3" t="str">
        <f>HYPERLINK("https://icf.clappia.com/app/SOM165486/submission/YTQ38344461/ICF247370-SOM165486-3mnf0069g62200000000/SIG-20250701_14167bf19.jpeg", "SIG-20250701_14167bf19.jpeg")</f>
        <v>SIG-20250701_14167bf19.jpeg</v>
      </c>
      <c r="Q834" s="3" t="str">
        <f>HYPERLINK("https://www.google.com/maps/place/8.8877903%2C-12.035973", "8.8877903,-12.035973")</f>
        <v>8.8877903,-12.035973</v>
      </c>
    </row>
    <row r="835" ht="15.75" customHeight="1">
      <c r="A835" s="1" t="s">
        <v>2304</v>
      </c>
      <c r="B835" s="1" t="s">
        <v>283</v>
      </c>
      <c r="C835" s="1" t="s">
        <v>2305</v>
      </c>
      <c r="D835" s="1" t="s">
        <v>2302</v>
      </c>
      <c r="E835" s="2">
        <v>45839.0</v>
      </c>
      <c r="F835" s="1" t="s">
        <v>68</v>
      </c>
      <c r="G835" s="1" t="s">
        <v>325</v>
      </c>
      <c r="H835" s="1" t="s">
        <v>1523</v>
      </c>
      <c r="I835" s="1">
        <v>100.0</v>
      </c>
      <c r="J835" s="1">
        <v>100.0</v>
      </c>
      <c r="K835" s="1">
        <v>200.0</v>
      </c>
      <c r="L835" s="1">
        <v>166.0</v>
      </c>
      <c r="M835" s="1">
        <v>34.0</v>
      </c>
      <c r="N835" s="1">
        <v>34.0</v>
      </c>
      <c r="O835" s="1" t="s">
        <v>2306</v>
      </c>
      <c r="P835" s="3" t="str">
        <f>HYPERLINK("https://icf.clappia.com/app/SOM165486/submission/MZE61912352/ICF247370-SOM165486-20n4j3e0g1aj20000000/SIG-20250701_1323bdedp.jpeg", "SIG-20250701_1323bdedp.jpeg")</f>
        <v>SIG-20250701_1323bdedp.jpeg</v>
      </c>
      <c r="Q835" s="3" t="str">
        <f>HYPERLINK("https://www.google.com/maps/place/8.8428217%2C-11.9257383", "8.8428217,-11.9257383")</f>
        <v>8.8428217,-11.9257383</v>
      </c>
    </row>
    <row r="836" ht="15.75" customHeight="1">
      <c r="A836" s="1" t="s">
        <v>2307</v>
      </c>
      <c r="B836" s="1" t="s">
        <v>18</v>
      </c>
      <c r="C836" s="1" t="s">
        <v>2308</v>
      </c>
      <c r="D836" s="1" t="s">
        <v>2309</v>
      </c>
      <c r="E836" s="2">
        <v>45839.0</v>
      </c>
      <c r="F836" s="1" t="s">
        <v>21</v>
      </c>
      <c r="G836" s="1" t="s">
        <v>58</v>
      </c>
      <c r="H836" s="1" t="s">
        <v>1154</v>
      </c>
      <c r="I836" s="1">
        <v>200.0</v>
      </c>
      <c r="J836" s="1" t="s">
        <v>24</v>
      </c>
      <c r="K836" s="1">
        <v>200.0</v>
      </c>
      <c r="L836" s="1">
        <v>164.0</v>
      </c>
      <c r="M836" s="1">
        <v>36.0</v>
      </c>
      <c r="N836" s="1">
        <v>36.0</v>
      </c>
      <c r="O836" s="1" t="s">
        <v>1155</v>
      </c>
      <c r="P836" s="3" t="str">
        <f>HYPERLINK("https://icf.clappia.com/app/SOM165486/submission/MIK85514800/ICF247370-SOM165486-5dm52bhcdh2g00000000/SIG-20250701_1409k99e5.jpeg", "SIG-20250701_1409k99e5.jpeg")</f>
        <v>SIG-20250701_1409k99e5.jpeg</v>
      </c>
      <c r="Q836" s="3" t="str">
        <f>HYPERLINK("https://www.google.com/maps/place/7.9871867%2C-11.7984867", "7.9871867,-11.7984867")</f>
        <v>7.9871867,-11.7984867</v>
      </c>
    </row>
    <row r="837" ht="15.75" customHeight="1">
      <c r="A837" s="1" t="s">
        <v>2310</v>
      </c>
      <c r="B837" s="1" t="s">
        <v>18</v>
      </c>
      <c r="C837" s="1" t="s">
        <v>2311</v>
      </c>
      <c r="D837" s="1" t="s">
        <v>2311</v>
      </c>
      <c r="E837" s="2">
        <v>45839.0</v>
      </c>
      <c r="F837" s="1" t="s">
        <v>68</v>
      </c>
      <c r="G837" s="1" t="s">
        <v>88</v>
      </c>
      <c r="H837" s="1" t="s">
        <v>1138</v>
      </c>
      <c r="I837" s="1">
        <v>255.0</v>
      </c>
      <c r="J837" s="1">
        <v>50.0</v>
      </c>
      <c r="K837" s="1">
        <v>305.0</v>
      </c>
      <c r="L837" s="1">
        <v>305.0</v>
      </c>
      <c r="M837" s="1" t="s">
        <v>24</v>
      </c>
      <c r="N837" s="1" t="s">
        <v>24</v>
      </c>
      <c r="O837" s="1" t="s">
        <v>2312</v>
      </c>
      <c r="P837" s="3" t="str">
        <f>HYPERLINK("https://icf.clappia.com/app/SOM165486/submission/QRR96152017/ICF247370-SOM165486-5k9fcg88eiik00000000/SIG-20250701_1411llc6o.jpeg", "SIG-20250701_1411llc6o.jpeg")</f>
        <v>SIG-20250701_1411llc6o.jpeg</v>
      </c>
      <c r="Q837" s="3" t="str">
        <f>HYPERLINK("https://www.google.com/maps/place/8.8847974%2C-12.0334517", "8.8847974,-12.0334517")</f>
        <v>8.8847974,-12.0334517</v>
      </c>
    </row>
    <row r="838" ht="15.75" customHeight="1">
      <c r="A838" s="1" t="s">
        <v>2313</v>
      </c>
      <c r="B838" s="1" t="s">
        <v>18</v>
      </c>
      <c r="C838" s="1" t="s">
        <v>2314</v>
      </c>
      <c r="D838" s="1" t="s">
        <v>2314</v>
      </c>
      <c r="E838" s="2">
        <v>45839.0</v>
      </c>
      <c r="F838" s="1" t="s">
        <v>21</v>
      </c>
      <c r="G838" s="1" t="s">
        <v>275</v>
      </c>
      <c r="H838" s="1" t="s">
        <v>1220</v>
      </c>
      <c r="I838" s="1">
        <v>258.0</v>
      </c>
      <c r="J838" s="1" t="s">
        <v>24</v>
      </c>
      <c r="K838" s="1">
        <v>258.0</v>
      </c>
      <c r="L838" s="1">
        <v>258.0</v>
      </c>
      <c r="M838" s="1" t="s">
        <v>24</v>
      </c>
      <c r="N838" s="1" t="s">
        <v>24</v>
      </c>
      <c r="O838" s="1" t="s">
        <v>2315</v>
      </c>
      <c r="P838" s="3" t="str">
        <f>HYPERLINK("https://icf.clappia.com/app/SOM165486/submission/APT45632321/ICF247370-SOM165486-2lpp84in0ajo00000000/SIG-20250701_14112gm95.jpeg", "SIG-20250701_14112gm95.jpeg")</f>
        <v>SIG-20250701_14112gm95.jpeg</v>
      </c>
      <c r="Q838" s="3" t="str">
        <f>HYPERLINK("https://www.google.com/maps/place/7.6500994%2C-11.9630988", "7.6500994,-11.9630988")</f>
        <v>7.6500994,-11.9630988</v>
      </c>
    </row>
    <row r="839" ht="15.75" customHeight="1">
      <c r="A839" s="1" t="s">
        <v>2316</v>
      </c>
      <c r="B839" s="1" t="s">
        <v>18</v>
      </c>
      <c r="C839" s="1" t="s">
        <v>2317</v>
      </c>
      <c r="D839" s="1" t="s">
        <v>2317</v>
      </c>
      <c r="E839" s="2">
        <v>45839.0</v>
      </c>
      <c r="F839" s="1" t="s">
        <v>68</v>
      </c>
      <c r="G839" s="1" t="s">
        <v>340</v>
      </c>
      <c r="H839" s="1" t="s">
        <v>2318</v>
      </c>
      <c r="I839" s="1">
        <v>179.0</v>
      </c>
      <c r="J839" s="1">
        <v>179.0</v>
      </c>
      <c r="K839" s="1">
        <v>358.0</v>
      </c>
      <c r="L839" s="1">
        <v>179.0</v>
      </c>
      <c r="M839" s="1">
        <v>179.0</v>
      </c>
      <c r="N839" s="1" t="s">
        <v>2319</v>
      </c>
      <c r="O839" s="1" t="s">
        <v>2320</v>
      </c>
      <c r="P839" s="3" t="str">
        <f>HYPERLINK("https://icf.clappia.com/app/SOM165486/submission/FVX96389532/ICF247370-SOM165486-19241c0le13la0000000/SIG-20250630_13269i3e8.jpeg", "SIG-20250630_13269i3e8.jpeg")</f>
        <v>SIG-20250630_13269i3e8.jpeg</v>
      </c>
      <c r="Q839" s="3" t="str">
        <f>HYPERLINK("https://www.google.com/maps/place/9.1306067%2C-12.0101783", "9.1306067,-12.0101783")</f>
        <v>9.1306067,-12.0101783</v>
      </c>
    </row>
    <row r="840" ht="15.75" customHeight="1">
      <c r="A840" s="1" t="s">
        <v>2321</v>
      </c>
      <c r="B840" s="1" t="s">
        <v>18</v>
      </c>
      <c r="C840" s="1" t="s">
        <v>2322</v>
      </c>
      <c r="D840" s="1" t="s">
        <v>2322</v>
      </c>
      <c r="E840" s="2">
        <v>45839.0</v>
      </c>
      <c r="F840" s="1" t="s">
        <v>68</v>
      </c>
      <c r="G840" s="1" t="s">
        <v>325</v>
      </c>
      <c r="H840" s="1" t="s">
        <v>1670</v>
      </c>
      <c r="I840" s="1">
        <v>121.0</v>
      </c>
      <c r="J840" s="1" t="s">
        <v>24</v>
      </c>
      <c r="K840" s="1">
        <v>121.0</v>
      </c>
      <c r="L840" s="1">
        <v>107.0</v>
      </c>
      <c r="M840" s="1">
        <v>14.0</v>
      </c>
      <c r="N840" s="1">
        <v>14.0</v>
      </c>
      <c r="O840" s="1" t="s">
        <v>2323</v>
      </c>
      <c r="P840" s="3" t="str">
        <f>HYPERLINK("https://icf.clappia.com/app/SOM165486/submission/MCR55480560/ICF247370-SOM165486-4pl4m7mdi72800000000/SIG-20250701_1114cml3l.jpeg", "SIG-20250701_1114cml3l.jpeg")</f>
        <v>SIG-20250701_1114cml3l.jpeg</v>
      </c>
      <c r="Q840" s="3" t="str">
        <f>HYPERLINK("https://www.google.com/maps/place/8.8052217%2C-11.9660049", "8.8052217,-11.9660049")</f>
        <v>8.8052217,-11.9660049</v>
      </c>
    </row>
    <row r="841" ht="15.75" customHeight="1">
      <c r="A841" s="1" t="s">
        <v>2324</v>
      </c>
      <c r="B841" s="1" t="s">
        <v>18</v>
      </c>
      <c r="C841" s="1" t="s">
        <v>2325</v>
      </c>
      <c r="D841" s="1" t="s">
        <v>2325</v>
      </c>
      <c r="E841" s="2">
        <v>45839.0</v>
      </c>
      <c r="F841" s="1" t="s">
        <v>68</v>
      </c>
      <c r="G841" s="1" t="s">
        <v>286</v>
      </c>
      <c r="H841" s="1" t="s">
        <v>320</v>
      </c>
      <c r="I841" s="1">
        <v>160.0</v>
      </c>
      <c r="J841" s="1" t="s">
        <v>24</v>
      </c>
      <c r="K841" s="1">
        <v>160.0</v>
      </c>
      <c r="L841" s="1">
        <v>153.0</v>
      </c>
      <c r="M841" s="1">
        <v>7.0</v>
      </c>
      <c r="N841" s="1">
        <v>7.0</v>
      </c>
      <c r="O841" s="1" t="s">
        <v>707</v>
      </c>
      <c r="P841" s="3" t="str">
        <f>HYPERLINK("https://icf.clappia.com/app/SOM165486/submission/LJC20850511/ICF247370-SOM165486-523mg6678ieo00000000/SIG-20250701_102514h36j.jpeg", "SIG-20250701_102514h36j.jpeg")</f>
        <v>SIG-20250701_102514h36j.jpeg</v>
      </c>
      <c r="Q841" s="3" t="str">
        <f>HYPERLINK("https://www.google.com/maps/place/9.0297933%2C-12.15737", "9.0297933,-12.15737")</f>
        <v>9.0297933,-12.15737</v>
      </c>
    </row>
    <row r="842" ht="15.75" customHeight="1">
      <c r="A842" s="1" t="s">
        <v>2326</v>
      </c>
      <c r="B842" s="1" t="s">
        <v>18</v>
      </c>
      <c r="C842" s="1" t="s">
        <v>2327</v>
      </c>
      <c r="D842" s="1" t="s">
        <v>2327</v>
      </c>
      <c r="E842" s="2">
        <v>45839.0</v>
      </c>
      <c r="F842" s="1" t="s">
        <v>68</v>
      </c>
      <c r="G842" s="1" t="s">
        <v>69</v>
      </c>
      <c r="H842" s="1" t="s">
        <v>571</v>
      </c>
      <c r="I842" s="1">
        <v>100.0</v>
      </c>
      <c r="J842" s="1" t="s">
        <v>24</v>
      </c>
      <c r="K842" s="1">
        <v>100.0</v>
      </c>
      <c r="L842" s="1">
        <v>100.0</v>
      </c>
      <c r="M842" s="1" t="s">
        <v>24</v>
      </c>
      <c r="N842" s="1" t="s">
        <v>24</v>
      </c>
      <c r="O842" s="1" t="s">
        <v>2328</v>
      </c>
      <c r="P842" s="3" t="str">
        <f>HYPERLINK("https://icf.clappia.com/app/SOM165486/submission/SRR72964006/ICF247370-SOM165486-64eio72k0lig00000000/SIG-20250701_135754e1d.jpeg", "SIG-20250701_135754e1d.jpeg")</f>
        <v>SIG-20250701_135754e1d.jpeg</v>
      </c>
      <c r="Q842" s="3" t="str">
        <f>HYPERLINK("https://www.google.com/maps/place/8.8391814%2C-12.1159946", "8.8391814,-12.1159946")</f>
        <v>8.8391814,-12.1159946</v>
      </c>
    </row>
    <row r="843" ht="15.75" customHeight="1">
      <c r="A843" s="1" t="s">
        <v>2329</v>
      </c>
      <c r="B843" s="1" t="s">
        <v>18</v>
      </c>
      <c r="C843" s="1" t="s">
        <v>2330</v>
      </c>
      <c r="D843" s="1" t="s">
        <v>2330</v>
      </c>
      <c r="E843" s="2">
        <v>45839.0</v>
      </c>
      <c r="F843" s="1" t="s">
        <v>68</v>
      </c>
      <c r="G843" s="1" t="s">
        <v>672</v>
      </c>
      <c r="H843" s="1" t="s">
        <v>673</v>
      </c>
      <c r="I843" s="1">
        <v>216.0</v>
      </c>
      <c r="J843" s="1" t="s">
        <v>24</v>
      </c>
      <c r="K843" s="1">
        <v>216.0</v>
      </c>
      <c r="L843" s="1">
        <v>16.0</v>
      </c>
      <c r="M843" s="1">
        <v>200.0</v>
      </c>
      <c r="N843" s="1">
        <v>200.0</v>
      </c>
      <c r="O843" s="1">
        <v>2.0</v>
      </c>
      <c r="P843" s="3" t="str">
        <f>HYPERLINK("https://icf.clappia.com/app/SOM165486/submission/VSD69912926/ICF247370-SOM165486-7979d3ic89mi0000000/SIG-20250701_13554g2em.jpeg", "SIG-20250701_13554g2em.jpeg")</f>
        <v>SIG-20250701_13554g2em.jpeg</v>
      </c>
      <c r="Q843" s="3" t="str">
        <f>HYPERLINK("https://www.google.com/maps/place/8.9497983%2C-11.98205", "8.9497983,-11.98205")</f>
        <v>8.9497983,-11.98205</v>
      </c>
    </row>
    <row r="844" ht="15.75" customHeight="1">
      <c r="A844" s="1" t="s">
        <v>2331</v>
      </c>
      <c r="B844" s="1" t="s">
        <v>18</v>
      </c>
      <c r="C844" s="1" t="s">
        <v>2332</v>
      </c>
      <c r="D844" s="1" t="s">
        <v>2332</v>
      </c>
      <c r="E844" s="2">
        <v>45838.0</v>
      </c>
      <c r="F844" s="1" t="s">
        <v>21</v>
      </c>
      <c r="G844" s="1" t="s">
        <v>58</v>
      </c>
      <c r="H844" s="1" t="s">
        <v>1154</v>
      </c>
      <c r="I844" s="1">
        <v>50.0</v>
      </c>
      <c r="J844" s="1" t="s">
        <v>24</v>
      </c>
      <c r="K844" s="1">
        <v>50.0</v>
      </c>
      <c r="L844" s="1">
        <v>44.0</v>
      </c>
      <c r="M844" s="1">
        <v>6.0</v>
      </c>
      <c r="N844" s="1">
        <v>6.0</v>
      </c>
      <c r="O844" s="1" t="s">
        <v>1155</v>
      </c>
      <c r="P844" s="3" t="str">
        <f>HYPERLINK("https://icf.clappia.com/app/SOM165486/submission/EOH89499684/ICF247370-SOM165486-61f0naok8jh200000000/SIG-20250701_1353end3n.jpeg", "SIG-20250701_1353end3n.jpeg")</f>
        <v>SIG-20250701_1353end3n.jpeg</v>
      </c>
      <c r="Q844" s="3" t="str">
        <f>HYPERLINK("https://www.google.com/maps/place/7.9790329%2C-11.7899484", "7.9790329,-11.7899484")</f>
        <v>7.9790329,-11.7899484</v>
      </c>
    </row>
    <row r="845" ht="15.75" customHeight="1">
      <c r="A845" s="1" t="s">
        <v>2333</v>
      </c>
      <c r="B845" s="1" t="s">
        <v>18</v>
      </c>
      <c r="C845" s="1" t="s">
        <v>2334</v>
      </c>
      <c r="D845" s="1" t="s">
        <v>2335</v>
      </c>
      <c r="E845" s="2">
        <v>45839.0</v>
      </c>
      <c r="F845" s="1" t="s">
        <v>21</v>
      </c>
      <c r="G845" s="1" t="s">
        <v>1331</v>
      </c>
      <c r="H845" s="1" t="s">
        <v>1332</v>
      </c>
      <c r="I845" s="1">
        <v>101.0</v>
      </c>
      <c r="J845" s="1" t="s">
        <v>24</v>
      </c>
      <c r="K845" s="1">
        <v>101.0</v>
      </c>
      <c r="L845" s="1">
        <v>101.0</v>
      </c>
      <c r="M845" s="1" t="s">
        <v>24</v>
      </c>
      <c r="N845" s="1" t="s">
        <v>24</v>
      </c>
      <c r="O845" s="1" t="s">
        <v>1866</v>
      </c>
      <c r="P845" s="3" t="str">
        <f>HYPERLINK("https://icf.clappia.com/app/SOM165486/submission/WKB12940424/ICF247370-SOM165486-bpih6giiii1m0000000/SIG-20250701_1347o6bj9.jpeg", "SIG-20250701_1347o6bj9.jpeg")</f>
        <v>SIG-20250701_1347o6bj9.jpeg</v>
      </c>
      <c r="Q845" s="3" t="str">
        <f>HYPERLINK("https://www.google.com/maps/place/8.1279417%2C-11.6511217", "8.1279417,-11.6511217")</f>
        <v>8.1279417,-11.6511217</v>
      </c>
    </row>
    <row r="846" ht="15.75" customHeight="1">
      <c r="A846" s="1" t="s">
        <v>2336</v>
      </c>
      <c r="B846" s="1" t="s">
        <v>18</v>
      </c>
      <c r="C846" s="1" t="s">
        <v>2335</v>
      </c>
      <c r="D846" s="1" t="s">
        <v>2335</v>
      </c>
      <c r="E846" s="2">
        <v>45839.0</v>
      </c>
      <c r="F846" s="1" t="s">
        <v>21</v>
      </c>
      <c r="G846" s="1" t="s">
        <v>331</v>
      </c>
      <c r="H846" s="1" t="s">
        <v>2337</v>
      </c>
      <c r="I846" s="1">
        <v>356.0</v>
      </c>
      <c r="J846" s="1" t="s">
        <v>24</v>
      </c>
      <c r="K846" s="1">
        <v>356.0</v>
      </c>
      <c r="L846" s="1">
        <v>356.0</v>
      </c>
      <c r="M846" s="1" t="s">
        <v>24</v>
      </c>
      <c r="N846" s="1" t="s">
        <v>24</v>
      </c>
      <c r="O846" s="1" t="s">
        <v>2338</v>
      </c>
      <c r="P846" s="3" t="str">
        <f>HYPERLINK("https://icf.clappia.com/app/SOM165486/submission/CTR54536338/ICF247370-SOM165486-1f94g1obcocmk0000000/SIG-20250701_134918dg15.jpeg", "SIG-20250701_134918dg15.jpeg")</f>
        <v>SIG-20250701_134918dg15.jpeg</v>
      </c>
      <c r="Q846" s="3" t="str">
        <f>HYPERLINK("https://www.google.com/maps/place/7.7797344%2C-11.4220269", "7.7797344,-11.4220269")</f>
        <v>7.7797344,-11.4220269</v>
      </c>
    </row>
    <row r="847" ht="15.75" customHeight="1">
      <c r="A847" s="1" t="s">
        <v>2339</v>
      </c>
      <c r="B847" s="1" t="s">
        <v>18</v>
      </c>
      <c r="C847" s="1" t="s">
        <v>2340</v>
      </c>
      <c r="D847" s="1" t="s">
        <v>2340</v>
      </c>
      <c r="E847" s="2">
        <v>45839.0</v>
      </c>
      <c r="F847" s="1" t="s">
        <v>21</v>
      </c>
      <c r="G847" s="1" t="s">
        <v>275</v>
      </c>
      <c r="H847" s="1" t="s">
        <v>1220</v>
      </c>
      <c r="I847" s="1">
        <v>298.0</v>
      </c>
      <c r="J847" s="1" t="s">
        <v>24</v>
      </c>
      <c r="K847" s="1">
        <v>298.0</v>
      </c>
      <c r="L847" s="1">
        <v>298.0</v>
      </c>
      <c r="M847" s="1" t="s">
        <v>24</v>
      </c>
      <c r="N847" s="1" t="s">
        <v>24</v>
      </c>
      <c r="O847" s="1" t="s">
        <v>2341</v>
      </c>
      <c r="P847" s="3" t="str">
        <f>HYPERLINK("https://icf.clappia.com/app/SOM165486/submission/ZSD14556199/ICF247370-SOM165486-4f026bgb6dk200000000/SIG-20250701_1351p164d.jpeg", "SIG-20250701_1351p164d.jpeg")</f>
        <v>SIG-20250701_1351p164d.jpeg</v>
      </c>
      <c r="Q847" s="3" t="str">
        <f>HYPERLINK("https://www.google.com/maps/place/7.652255%2C-11.9638567", "7.652255,-11.9638567")</f>
        <v>7.652255,-11.9638567</v>
      </c>
    </row>
    <row r="848" ht="15.75" customHeight="1">
      <c r="A848" s="1" t="s">
        <v>2342</v>
      </c>
      <c r="B848" s="1" t="s">
        <v>18</v>
      </c>
      <c r="C848" s="1" t="s">
        <v>2343</v>
      </c>
      <c r="D848" s="1" t="s">
        <v>2343</v>
      </c>
      <c r="E848" s="2">
        <v>45838.0</v>
      </c>
      <c r="F848" s="1" t="s">
        <v>21</v>
      </c>
      <c r="G848" s="1" t="s">
        <v>58</v>
      </c>
      <c r="H848" s="1" t="s">
        <v>1154</v>
      </c>
      <c r="I848" s="1">
        <v>100.0</v>
      </c>
      <c r="J848" s="1" t="s">
        <v>24</v>
      </c>
      <c r="K848" s="1">
        <v>100.0</v>
      </c>
      <c r="L848" s="1">
        <v>87.0</v>
      </c>
      <c r="M848" s="1">
        <v>13.0</v>
      </c>
      <c r="N848" s="1">
        <v>13.0</v>
      </c>
      <c r="O848" s="1" t="s">
        <v>2344</v>
      </c>
      <c r="P848" s="3" t="str">
        <f>HYPERLINK("https://icf.clappia.com/app/SOM165486/submission/KGZ39796232/ICF247370-SOM165486-3d0i521b7a9i00000000/SIG-20250701_1349182ikj.jpeg", "SIG-20250701_1349182ikj.jpeg")</f>
        <v>SIG-20250701_1349182ikj.jpeg</v>
      </c>
      <c r="Q848" s="3" t="str">
        <f>HYPERLINK("https://www.google.com/maps/place/7.9790329%2C-11.7899484", "7.9790329,-11.7899484")</f>
        <v>7.9790329,-11.7899484</v>
      </c>
    </row>
    <row r="849" ht="15.75" customHeight="1">
      <c r="A849" s="1" t="s">
        <v>2345</v>
      </c>
      <c r="B849" s="1" t="s">
        <v>18</v>
      </c>
      <c r="C849" s="1" t="s">
        <v>2346</v>
      </c>
      <c r="D849" s="1" t="s">
        <v>2346</v>
      </c>
      <c r="E849" s="2">
        <v>45839.0</v>
      </c>
      <c r="F849" s="1" t="s">
        <v>21</v>
      </c>
      <c r="G849" s="1" t="s">
        <v>275</v>
      </c>
      <c r="H849" s="1" t="s">
        <v>1220</v>
      </c>
      <c r="I849" s="1">
        <v>298.0</v>
      </c>
      <c r="J849" s="1" t="s">
        <v>24</v>
      </c>
      <c r="K849" s="1">
        <v>298.0</v>
      </c>
      <c r="L849" s="1">
        <v>298.0</v>
      </c>
      <c r="M849" s="1" t="s">
        <v>24</v>
      </c>
      <c r="N849" s="1" t="s">
        <v>24</v>
      </c>
      <c r="O849" s="1" t="s">
        <v>2341</v>
      </c>
      <c r="P849" s="3" t="str">
        <f>HYPERLINK("https://icf.clappia.com/app/SOM165486/submission/IPN31711336/ICF247370-SOM165486-46lj50dkil4200000000/SIG-20250701_1349gic6e.jpeg", "SIG-20250701_1349gic6e.jpeg")</f>
        <v>SIG-20250701_1349gic6e.jpeg</v>
      </c>
      <c r="Q849" s="3" t="str">
        <f>HYPERLINK("https://www.google.com/maps/place/7.652255%2C-11.9638567", "7.652255,-11.9638567")</f>
        <v>7.652255,-11.9638567</v>
      </c>
    </row>
    <row r="850" ht="15.75" customHeight="1">
      <c r="A850" s="1" t="s">
        <v>2347</v>
      </c>
      <c r="B850" s="1" t="s">
        <v>18</v>
      </c>
      <c r="C850" s="1" t="s">
        <v>2348</v>
      </c>
      <c r="D850" s="1" t="s">
        <v>2348</v>
      </c>
      <c r="E850" s="2">
        <v>45839.0</v>
      </c>
      <c r="F850" s="1" t="s">
        <v>21</v>
      </c>
      <c r="G850" s="1" t="s">
        <v>275</v>
      </c>
      <c r="H850" s="1" t="s">
        <v>1220</v>
      </c>
      <c r="I850" s="1">
        <v>298.0</v>
      </c>
      <c r="J850" s="1" t="s">
        <v>24</v>
      </c>
      <c r="K850" s="1">
        <v>298.0</v>
      </c>
      <c r="L850" s="1">
        <v>298.0</v>
      </c>
      <c r="M850" s="1" t="s">
        <v>24</v>
      </c>
      <c r="N850" s="1" t="s">
        <v>24</v>
      </c>
      <c r="O850" s="1" t="s">
        <v>2349</v>
      </c>
      <c r="P850" s="3" t="str">
        <f>HYPERLINK("https://icf.clappia.com/app/SOM165486/submission/ZXE96363363/ICF247370-SOM165486-64d2jfpn8jg000000000/SIG-20250701_1102gf01i.jpeg", "SIG-20250701_1102gf01i.jpeg")</f>
        <v>SIG-20250701_1102gf01i.jpeg</v>
      </c>
      <c r="Q850" s="3" t="str">
        <f>HYPERLINK("https://www.google.com/maps/place/7.6245967%2C-11.95104", "7.6245967,-11.95104")</f>
        <v>7.6245967,-11.95104</v>
      </c>
    </row>
    <row r="851" ht="15.75" customHeight="1">
      <c r="A851" s="1" t="s">
        <v>2350</v>
      </c>
      <c r="B851" s="1" t="s">
        <v>18</v>
      </c>
      <c r="C851" s="1" t="s">
        <v>2351</v>
      </c>
      <c r="D851" s="1" t="s">
        <v>2351</v>
      </c>
      <c r="E851" s="2">
        <v>45839.0</v>
      </c>
      <c r="F851" s="1" t="s">
        <v>68</v>
      </c>
      <c r="G851" s="1" t="s">
        <v>83</v>
      </c>
      <c r="H851" s="1" t="s">
        <v>1097</v>
      </c>
      <c r="I851" s="1">
        <v>200.0</v>
      </c>
      <c r="J851" s="1" t="s">
        <v>24</v>
      </c>
      <c r="K851" s="1">
        <v>200.0</v>
      </c>
      <c r="L851" s="1">
        <v>184.0</v>
      </c>
      <c r="M851" s="1">
        <v>16.0</v>
      </c>
      <c r="N851" s="1">
        <v>16.0</v>
      </c>
      <c r="O851" s="1" t="s">
        <v>2352</v>
      </c>
      <c r="P851" s="3" t="str">
        <f>HYPERLINK("https://icf.clappia.com/app/SOM165486/submission/FHM75043766/ICF247370-SOM165486-69h4b3fecoco00000000/SIG-20250701_13439i9j6.jpeg", "SIG-20250701_13439i9j6.jpeg")</f>
        <v>SIG-20250701_13439i9j6.jpeg</v>
      </c>
      <c r="Q851" s="3" t="str">
        <f t="shared" ref="Q851:Q852" si="16">HYPERLINK("https://www.google.com/maps/place/8.8528632%2C-12.0270272", "8.8528632,-12.0270272")</f>
        <v>8.8528632,-12.0270272</v>
      </c>
    </row>
    <row r="852" ht="15.75" customHeight="1">
      <c r="A852" s="1" t="s">
        <v>2353</v>
      </c>
      <c r="B852" s="1" t="s">
        <v>18</v>
      </c>
      <c r="C852" s="1" t="s">
        <v>2351</v>
      </c>
      <c r="D852" s="1" t="s">
        <v>2351</v>
      </c>
      <c r="E852" s="2">
        <v>45839.0</v>
      </c>
      <c r="F852" s="1" t="s">
        <v>68</v>
      </c>
      <c r="G852" s="1" t="s">
        <v>83</v>
      </c>
      <c r="H852" s="1" t="s">
        <v>1097</v>
      </c>
      <c r="I852" s="1">
        <v>100.0</v>
      </c>
      <c r="J852" s="1" t="s">
        <v>24</v>
      </c>
      <c r="K852" s="1">
        <v>100.0</v>
      </c>
      <c r="L852" s="1">
        <v>93.0</v>
      </c>
      <c r="M852" s="1">
        <v>7.0</v>
      </c>
      <c r="N852" s="1">
        <v>7.0</v>
      </c>
      <c r="O852" s="1" t="s">
        <v>2354</v>
      </c>
      <c r="P852" s="3" t="str">
        <f>HYPERLINK("https://icf.clappia.com/app/SOM165486/submission/VUF19282442/ICF247370-SOM165486-3gg5lnk812fe00000000/SIG-20250701_1343m68m.jpeg", "SIG-20250701_1343m68m.jpeg")</f>
        <v>SIG-20250701_1343m68m.jpeg</v>
      </c>
      <c r="Q852" s="3" t="str">
        <f t="shared" si="16"/>
        <v>8.8528632,-12.0270272</v>
      </c>
    </row>
    <row r="853" ht="15.75" customHeight="1">
      <c r="A853" s="1" t="s">
        <v>2355</v>
      </c>
      <c r="B853" s="1" t="s">
        <v>18</v>
      </c>
      <c r="C853" s="1" t="s">
        <v>2356</v>
      </c>
      <c r="D853" s="1" t="s">
        <v>2356</v>
      </c>
      <c r="E853" s="2">
        <v>45839.0</v>
      </c>
      <c r="F853" s="1" t="s">
        <v>68</v>
      </c>
      <c r="G853" s="1" t="s">
        <v>325</v>
      </c>
      <c r="H853" s="1" t="s">
        <v>1523</v>
      </c>
      <c r="I853" s="1">
        <v>132.0</v>
      </c>
      <c r="J853" s="1">
        <v>50.0</v>
      </c>
      <c r="K853" s="1">
        <v>182.0</v>
      </c>
      <c r="L853" s="1">
        <v>140.0</v>
      </c>
      <c r="M853" s="1">
        <v>42.0</v>
      </c>
      <c r="N853" s="1">
        <v>42.0</v>
      </c>
      <c r="O853" s="1" t="s">
        <v>1524</v>
      </c>
      <c r="P853" s="3" t="str">
        <f>HYPERLINK("https://icf.clappia.com/app/SOM165486/submission/AGK11114288/ICF247370-SOM165486-49ak6dm4972800000000/SIG-20250701_1342ip1c3.jpeg", "SIG-20250701_1342ip1c3.jpeg")</f>
        <v>SIG-20250701_1342ip1c3.jpeg</v>
      </c>
      <c r="Q853" s="3" t="str">
        <f>HYPERLINK("https://www.google.com/maps/place/8.8076567%2C-11.9017883", "8.8076567,-11.9017883")</f>
        <v>8.8076567,-11.9017883</v>
      </c>
    </row>
    <row r="854" ht="15.75" customHeight="1">
      <c r="A854" s="1" t="s">
        <v>2357</v>
      </c>
      <c r="B854" s="1" t="s">
        <v>18</v>
      </c>
      <c r="C854" s="1" t="s">
        <v>2358</v>
      </c>
      <c r="D854" s="1" t="s">
        <v>2358</v>
      </c>
      <c r="E854" s="2">
        <v>45839.0</v>
      </c>
      <c r="F854" s="1" t="s">
        <v>21</v>
      </c>
      <c r="G854" s="1" t="s">
        <v>269</v>
      </c>
      <c r="H854" s="1" t="s">
        <v>1298</v>
      </c>
      <c r="I854" s="1">
        <v>127.0</v>
      </c>
      <c r="J854" s="1" t="s">
        <v>24</v>
      </c>
      <c r="K854" s="1">
        <v>127.0</v>
      </c>
      <c r="L854" s="1">
        <v>100.0</v>
      </c>
      <c r="M854" s="1">
        <v>27.0</v>
      </c>
      <c r="N854" s="1">
        <v>27.0</v>
      </c>
      <c r="O854" s="1" t="s">
        <v>1565</v>
      </c>
      <c r="P854" s="3" t="str">
        <f>HYPERLINK("https://icf.clappia.com/app/SOM165486/submission/GLV74359421/ICF247370-SOM165486-4i1ja8ppao8600000000/SIG-20250701_133912df7k.jpeg", "SIG-20250701_133912df7k.jpeg")</f>
        <v>SIG-20250701_133912df7k.jpeg</v>
      </c>
      <c r="Q854" s="3" t="str">
        <f>HYPERLINK("https://www.google.com/maps/place/7.7113693%2C-11.6942432", "7.7113693,-11.6942432")</f>
        <v>7.7113693,-11.6942432</v>
      </c>
    </row>
    <row r="855" ht="15.75" customHeight="1">
      <c r="A855" s="1" t="s">
        <v>2359</v>
      </c>
      <c r="B855" s="1" t="s">
        <v>18</v>
      </c>
      <c r="C855" s="1" t="s">
        <v>2360</v>
      </c>
      <c r="D855" s="1" t="s">
        <v>2360</v>
      </c>
      <c r="E855" s="2">
        <v>45839.0</v>
      </c>
      <c r="F855" s="1" t="s">
        <v>21</v>
      </c>
      <c r="G855" s="1" t="s">
        <v>275</v>
      </c>
      <c r="H855" s="1" t="s">
        <v>1677</v>
      </c>
      <c r="I855" s="1">
        <v>130.0</v>
      </c>
      <c r="J855" s="1" t="s">
        <v>24</v>
      </c>
      <c r="K855" s="1">
        <v>130.0</v>
      </c>
      <c r="L855" s="1">
        <v>130.0</v>
      </c>
      <c r="M855" s="1" t="s">
        <v>24</v>
      </c>
      <c r="N855" s="1" t="s">
        <v>24</v>
      </c>
      <c r="O855" s="1" t="s">
        <v>1678</v>
      </c>
      <c r="P855" s="3" t="str">
        <f>HYPERLINK("https://icf.clappia.com/app/SOM165486/submission/PPT64363687/ICF247370-SOM165486-3n1olf13e2b200000000/SIG-20250701_1219f7do8.jpeg", "SIG-20250701_1219f7do8.jpeg")</f>
        <v>SIG-20250701_1219f7do8.jpeg</v>
      </c>
      <c r="Q855" s="3" t="str">
        <f>HYPERLINK("https://www.google.com/maps/place/7.6532647%2C-11.8912345", "7.6532647,-11.8912345")</f>
        <v>7.6532647,-11.8912345</v>
      </c>
    </row>
    <row r="856" ht="15.75" customHeight="1">
      <c r="A856" s="1" t="s">
        <v>2361</v>
      </c>
      <c r="B856" s="1" t="s">
        <v>18</v>
      </c>
      <c r="C856" s="1" t="s">
        <v>2362</v>
      </c>
      <c r="D856" s="1" t="s">
        <v>2362</v>
      </c>
      <c r="E856" s="2">
        <v>45839.0</v>
      </c>
      <c r="F856" s="1" t="s">
        <v>68</v>
      </c>
      <c r="G856" s="1" t="s">
        <v>286</v>
      </c>
      <c r="H856" s="1" t="s">
        <v>320</v>
      </c>
      <c r="I856" s="1">
        <v>200.0</v>
      </c>
      <c r="J856" s="1">
        <v>74.0</v>
      </c>
      <c r="K856" s="1">
        <v>274.0</v>
      </c>
      <c r="L856" s="1">
        <v>260.0</v>
      </c>
      <c r="M856" s="1">
        <v>14.0</v>
      </c>
      <c r="N856" s="1">
        <v>14.0</v>
      </c>
      <c r="O856" s="1" t="s">
        <v>1953</v>
      </c>
      <c r="P856" s="3" t="str">
        <f>HYPERLINK("https://icf.clappia.com/app/SOM165486/submission/MDB22793149/ICF247370-SOM165486-471cok1g3a0e00000000/SIG-20250701_125114oafm.jpeg", "SIG-20250701_125114oafm.jpeg")</f>
        <v>SIG-20250701_125114oafm.jpeg</v>
      </c>
      <c r="Q856" s="3" t="str">
        <f>HYPERLINK("https://www.google.com/maps/place/9.0299352%2C-12.1575313", "9.0299352,-12.1575313")</f>
        <v>9.0299352,-12.1575313</v>
      </c>
    </row>
    <row r="857" ht="15.75" customHeight="1">
      <c r="A857" s="1" t="s">
        <v>2363</v>
      </c>
      <c r="B857" s="1" t="s">
        <v>18</v>
      </c>
      <c r="C857" s="1" t="s">
        <v>2362</v>
      </c>
      <c r="D857" s="1" t="s">
        <v>2362</v>
      </c>
      <c r="E857" s="2">
        <v>45839.0</v>
      </c>
      <c r="F857" s="1" t="s">
        <v>21</v>
      </c>
      <c r="G857" s="1" t="s">
        <v>22</v>
      </c>
      <c r="H857" s="1" t="s">
        <v>1376</v>
      </c>
      <c r="I857" s="1">
        <v>261.0</v>
      </c>
      <c r="J857" s="1" t="s">
        <v>24</v>
      </c>
      <c r="K857" s="1">
        <v>261.0</v>
      </c>
      <c r="L857" s="1">
        <v>174.0</v>
      </c>
      <c r="M857" s="1">
        <v>87.0</v>
      </c>
      <c r="N857" s="1">
        <v>87.0</v>
      </c>
      <c r="O857" s="1" t="s">
        <v>1377</v>
      </c>
      <c r="P857" s="3" t="str">
        <f>HYPERLINK("https://icf.clappia.com/app/SOM165486/submission/TDX40924994/ICF247370-SOM165486-4dakp8kg5ok400000000/SIG-20250701_1332ga8g2.jpeg", "SIG-20250701_1332ga8g2.jpeg")</f>
        <v>SIG-20250701_1332ga8g2.jpeg</v>
      </c>
      <c r="Q857" s="3" t="str">
        <f>HYPERLINK("https://www.google.com/maps/place/8.0326633%2C-11.4241833", "8.0326633,-11.4241833")</f>
        <v>8.0326633,-11.4241833</v>
      </c>
    </row>
    <row r="858" ht="15.75" customHeight="1">
      <c r="A858" s="1" t="s">
        <v>2364</v>
      </c>
      <c r="B858" s="1" t="s">
        <v>18</v>
      </c>
      <c r="C858" s="1" t="s">
        <v>2365</v>
      </c>
      <c r="D858" s="1" t="s">
        <v>2365</v>
      </c>
      <c r="E858" s="2">
        <v>45839.0</v>
      </c>
      <c r="F858" s="1" t="s">
        <v>68</v>
      </c>
      <c r="G858" s="1" t="s">
        <v>88</v>
      </c>
      <c r="H858" s="1" t="s">
        <v>881</v>
      </c>
      <c r="I858" s="1">
        <v>200.0</v>
      </c>
      <c r="J858" s="1">
        <v>87.0</v>
      </c>
      <c r="K858" s="1">
        <v>287.0</v>
      </c>
      <c r="L858" s="1">
        <v>287.0</v>
      </c>
      <c r="M858" s="1" t="s">
        <v>24</v>
      </c>
      <c r="N858" s="1" t="s">
        <v>24</v>
      </c>
      <c r="O858" s="1" t="s">
        <v>2366</v>
      </c>
      <c r="P858" s="3" t="str">
        <f>HYPERLINK("https://icf.clappia.com/app/SOM165486/submission/BRJ50168366/ICF247370-SOM165486-1bjp6h6akji960000000/SIG-20250701_1323pbc3m.jpeg", "SIG-20250701_1323pbc3m.jpeg")</f>
        <v>SIG-20250701_1323pbc3m.jpeg</v>
      </c>
      <c r="Q858" s="3" t="str">
        <f>HYPERLINK("https://www.google.com/maps/place/8.8818379%2C-12.0513054", "8.8818379,-12.0513054")</f>
        <v>8.8818379,-12.0513054</v>
      </c>
    </row>
    <row r="859" ht="15.75" customHeight="1">
      <c r="A859" s="1" t="s">
        <v>2367</v>
      </c>
      <c r="B859" s="1" t="s">
        <v>18</v>
      </c>
      <c r="C859" s="1" t="s">
        <v>2368</v>
      </c>
      <c r="D859" s="1" t="s">
        <v>2368</v>
      </c>
      <c r="E859" s="2">
        <v>45839.0</v>
      </c>
      <c r="F859" s="1" t="s">
        <v>68</v>
      </c>
      <c r="G859" s="1" t="s">
        <v>597</v>
      </c>
      <c r="H859" s="1" t="s">
        <v>598</v>
      </c>
      <c r="I859" s="1">
        <v>200.0</v>
      </c>
      <c r="J859" s="1" t="s">
        <v>24</v>
      </c>
      <c r="K859" s="1">
        <v>200.0</v>
      </c>
      <c r="L859" s="1">
        <v>158.0</v>
      </c>
      <c r="M859" s="1">
        <v>42.0</v>
      </c>
      <c r="N859" s="1">
        <v>42.0</v>
      </c>
      <c r="O859" s="1" t="s">
        <v>792</v>
      </c>
      <c r="P859" s="3" t="str">
        <f>HYPERLINK("https://icf.clappia.com/app/SOM165486/submission/WTJ89226384/ICF247370-SOM165486-1h1gipci5ng880000000/SIG-20250701_132011bpbe.jpeg", "SIG-20250701_132011bpbe.jpeg")</f>
        <v>SIG-20250701_132011bpbe.jpeg</v>
      </c>
      <c r="Q859" s="3" t="str">
        <f>HYPERLINK("https://www.google.com/maps/place/8.6530336%2C-12.2154869", "8.6530336,-12.2154869")</f>
        <v>8.6530336,-12.2154869</v>
      </c>
    </row>
    <row r="860" ht="15.75" customHeight="1">
      <c r="A860" s="1" t="s">
        <v>2369</v>
      </c>
      <c r="B860" s="1" t="s">
        <v>18</v>
      </c>
      <c r="C860" s="1" t="s">
        <v>2370</v>
      </c>
      <c r="D860" s="1" t="s">
        <v>2370</v>
      </c>
      <c r="E860" s="2">
        <v>45839.0</v>
      </c>
      <c r="F860" s="1" t="s">
        <v>68</v>
      </c>
      <c r="G860" s="1" t="s">
        <v>672</v>
      </c>
      <c r="H860" s="1" t="s">
        <v>1854</v>
      </c>
      <c r="I860" s="1">
        <v>82.0</v>
      </c>
      <c r="J860" s="1" t="s">
        <v>24</v>
      </c>
      <c r="K860" s="1">
        <v>82.0</v>
      </c>
      <c r="L860" s="1">
        <v>74.0</v>
      </c>
      <c r="M860" s="1">
        <v>8.0</v>
      </c>
      <c r="N860" s="1">
        <v>8.0</v>
      </c>
      <c r="O860" s="1" t="s">
        <v>2371</v>
      </c>
      <c r="P860" s="3" t="str">
        <f>HYPERLINK("https://icf.clappia.com/app/SOM165486/submission/HBV27931379/ICF247370-SOM165486-4bi3g1eijcb400000000/SIG-20250701_1308kp6n7.jpeg", "SIG-20250701_1308kp6n7.jpeg")</f>
        <v>SIG-20250701_1308kp6n7.jpeg</v>
      </c>
      <c r="Q860" s="3" t="str">
        <f>HYPERLINK("https://www.google.com/maps/place/8.9473333%2C-11.9845639", "8.9473333,-11.9845639")</f>
        <v>8.9473333,-11.9845639</v>
      </c>
    </row>
    <row r="861" ht="15.75" customHeight="1">
      <c r="A861" s="1" t="s">
        <v>2372</v>
      </c>
      <c r="B861" s="1" t="s">
        <v>18</v>
      </c>
      <c r="C861" s="1" t="s">
        <v>2370</v>
      </c>
      <c r="D861" s="1" t="s">
        <v>2370</v>
      </c>
      <c r="E861" s="2">
        <v>45839.0</v>
      </c>
      <c r="F861" s="1" t="s">
        <v>68</v>
      </c>
      <c r="G861" s="1" t="s">
        <v>69</v>
      </c>
      <c r="H861" s="1" t="s">
        <v>70</v>
      </c>
      <c r="I861" s="1">
        <v>255.0</v>
      </c>
      <c r="J861" s="1" t="s">
        <v>24</v>
      </c>
      <c r="K861" s="1">
        <v>255.0</v>
      </c>
      <c r="L861" s="1">
        <v>255.0</v>
      </c>
      <c r="M861" s="1" t="s">
        <v>24</v>
      </c>
      <c r="N861" s="1" t="s">
        <v>24</v>
      </c>
      <c r="O861" s="1" t="s">
        <v>2373</v>
      </c>
      <c r="P861" s="3" t="str">
        <f>HYPERLINK("https://icf.clappia.com/app/SOM165486/submission/SFZ96349333/ICF247370-SOM165486-67efo0p0cc8o00000000/SIG-20250701_1312c6hm2.jpeg", "SIG-20250701_1312c6hm2.jpeg")</f>
        <v>SIG-20250701_1312c6hm2.jpeg</v>
      </c>
      <c r="Q861" s="3" t="str">
        <f>HYPERLINK("https://www.google.com/maps/place/8.89138%2C-12.073535", "8.89138,-12.073535")</f>
        <v>8.89138,-12.073535</v>
      </c>
    </row>
    <row r="862" ht="15.75" customHeight="1">
      <c r="A862" s="1" t="s">
        <v>2374</v>
      </c>
      <c r="B862" s="1" t="s">
        <v>18</v>
      </c>
      <c r="C862" s="1" t="s">
        <v>2375</v>
      </c>
      <c r="D862" s="1" t="s">
        <v>2375</v>
      </c>
      <c r="E862" s="2">
        <v>45839.0</v>
      </c>
      <c r="F862" s="1" t="s">
        <v>21</v>
      </c>
      <c r="G862" s="1" t="s">
        <v>421</v>
      </c>
      <c r="H862" s="1" t="s">
        <v>1072</v>
      </c>
      <c r="I862" s="1">
        <v>200.0</v>
      </c>
      <c r="J862" s="1" t="s">
        <v>24</v>
      </c>
      <c r="K862" s="1">
        <v>200.0</v>
      </c>
      <c r="L862" s="1">
        <v>164.0</v>
      </c>
      <c r="M862" s="1">
        <v>36.0</v>
      </c>
      <c r="N862" s="1">
        <v>30.0</v>
      </c>
      <c r="O862" s="1" t="s">
        <v>1073</v>
      </c>
      <c r="P862" s="3" t="str">
        <f>HYPERLINK("https://icf.clappia.com/app/SOM165486/submission/ZKZ95672845/ICF247370-SOM165486-5kn7le5k1pp600000000/SIG-20250701_1312n9i.jpeg", "SIG-20250701_1312n9i.jpeg")</f>
        <v>SIG-20250701_1312n9i.jpeg</v>
      </c>
      <c r="Q862" s="3" t="str">
        <f>HYPERLINK("https://www.google.com/maps/place/8.0196133%2C-11.5857133", "8.0196133,-11.5857133")</f>
        <v>8.0196133,-11.5857133</v>
      </c>
    </row>
    <row r="863" ht="15.75" customHeight="1">
      <c r="A863" s="1" t="s">
        <v>2376</v>
      </c>
      <c r="B863" s="1" t="s">
        <v>18</v>
      </c>
      <c r="C863" s="1" t="s">
        <v>2375</v>
      </c>
      <c r="D863" s="1" t="s">
        <v>2375</v>
      </c>
      <c r="E863" s="2">
        <v>45839.0</v>
      </c>
      <c r="F863" s="1" t="s">
        <v>68</v>
      </c>
      <c r="G863" s="1" t="s">
        <v>88</v>
      </c>
      <c r="H863" s="1" t="s">
        <v>1314</v>
      </c>
      <c r="I863" s="1">
        <v>300.0</v>
      </c>
      <c r="J863" s="1" t="s">
        <v>24</v>
      </c>
      <c r="K863" s="1">
        <v>300.0</v>
      </c>
      <c r="L863" s="1">
        <v>300.0</v>
      </c>
      <c r="M863" s="1" t="s">
        <v>24</v>
      </c>
      <c r="N863" s="1" t="s">
        <v>24</v>
      </c>
      <c r="O863" s="1" t="s">
        <v>1937</v>
      </c>
      <c r="P863" s="3" t="str">
        <f>HYPERLINK("https://icf.clappia.com/app/SOM165486/submission/KEA42821820/ICF247370-SOM165486-mm26hei8jn1i000000/SIG-20250701_1312801cn.jpeg", "SIG-20250701_1312801cn.jpeg")</f>
        <v>SIG-20250701_1312801cn.jpeg</v>
      </c>
      <c r="Q863" s="3" t="str">
        <f>HYPERLINK("https://www.google.com/maps/place/8.8786367%2C-12.0402", "8.8786367,-12.0402")</f>
        <v>8.8786367,-12.0402</v>
      </c>
    </row>
    <row r="864" ht="15.75" customHeight="1">
      <c r="A864" s="1" t="s">
        <v>2377</v>
      </c>
      <c r="B864" s="1" t="s">
        <v>18</v>
      </c>
      <c r="C864" s="1" t="s">
        <v>2378</v>
      </c>
      <c r="D864" s="1" t="s">
        <v>2379</v>
      </c>
      <c r="E864" s="2">
        <v>45839.0</v>
      </c>
      <c r="F864" s="1" t="s">
        <v>68</v>
      </c>
      <c r="G864" s="1" t="s">
        <v>69</v>
      </c>
      <c r="H864" s="1" t="s">
        <v>657</v>
      </c>
      <c r="I864" s="1">
        <v>100.0</v>
      </c>
      <c r="J864" s="1" t="s">
        <v>24</v>
      </c>
      <c r="K864" s="1">
        <v>100.0</v>
      </c>
      <c r="L864" s="1">
        <v>100.0</v>
      </c>
      <c r="M864" s="1" t="s">
        <v>24</v>
      </c>
      <c r="N864" s="1" t="s">
        <v>24</v>
      </c>
      <c r="O864" s="1" t="s">
        <v>2380</v>
      </c>
      <c r="P864" s="3" t="str">
        <f>HYPERLINK("https://icf.clappia.com/app/SOM165486/submission/PDW76422066/ICF247370-SOM165486-42pekmg3igp200000000/SIG-20250701_1303nlgjc.jpeg", "SIG-20250701_1303nlgjc.jpeg")</f>
        <v>SIG-20250701_1303nlgjc.jpeg</v>
      </c>
      <c r="Q864" s="3" t="str">
        <f>HYPERLINK("https://www.google.com/maps/place/8.904675%2C-12.1351333", "8.904675,-12.1351333")</f>
        <v>8.904675,-12.1351333</v>
      </c>
    </row>
    <row r="865" ht="15.75" customHeight="1">
      <c r="A865" s="1" t="s">
        <v>2381</v>
      </c>
      <c r="B865" s="1" t="s">
        <v>18</v>
      </c>
      <c r="C865" s="1" t="s">
        <v>2382</v>
      </c>
      <c r="D865" s="1" t="s">
        <v>2379</v>
      </c>
      <c r="E865" s="2">
        <v>45839.0</v>
      </c>
      <c r="F865" s="1" t="s">
        <v>68</v>
      </c>
      <c r="G865" s="1" t="s">
        <v>69</v>
      </c>
      <c r="H865" s="1" t="s">
        <v>657</v>
      </c>
      <c r="I865" s="1">
        <v>100.0</v>
      </c>
      <c r="J865" s="1" t="s">
        <v>24</v>
      </c>
      <c r="K865" s="1">
        <v>100.0</v>
      </c>
      <c r="L865" s="1">
        <v>100.0</v>
      </c>
      <c r="M865" s="1" t="s">
        <v>24</v>
      </c>
      <c r="N865" s="1" t="s">
        <v>24</v>
      </c>
      <c r="O865" s="1" t="s">
        <v>658</v>
      </c>
      <c r="P865" s="3" t="str">
        <f>HYPERLINK("https://icf.clappia.com/app/SOM165486/submission/WMZ23810842/ICF247370-SOM165486-629ogdp4dd6600000000/SIG-20250701_1303kpiog.jpeg", "SIG-20250701_1303kpiog.jpeg")</f>
        <v>SIG-20250701_1303kpiog.jpeg</v>
      </c>
      <c r="Q865" s="3" t="str">
        <f>HYPERLINK("https://www.google.com/maps/place/8.9046583%2C-12.1351433", "8.9046583,-12.1351433")</f>
        <v>8.9046583,-12.1351433</v>
      </c>
    </row>
    <row r="866" ht="15.75" customHeight="1">
      <c r="A866" s="1" t="s">
        <v>2383</v>
      </c>
      <c r="B866" s="1" t="s">
        <v>18</v>
      </c>
      <c r="C866" s="1" t="s">
        <v>2379</v>
      </c>
      <c r="D866" s="1" t="s">
        <v>2379</v>
      </c>
      <c r="E866" s="2">
        <v>45839.0</v>
      </c>
      <c r="F866" s="1" t="s">
        <v>68</v>
      </c>
      <c r="G866" s="1" t="s">
        <v>88</v>
      </c>
      <c r="H866" s="1" t="s">
        <v>515</v>
      </c>
      <c r="I866" s="1">
        <v>350.0</v>
      </c>
      <c r="J866" s="1">
        <v>250.0</v>
      </c>
      <c r="K866" s="1">
        <v>600.0</v>
      </c>
      <c r="L866" s="1">
        <v>491.0</v>
      </c>
      <c r="M866" s="1">
        <v>109.0</v>
      </c>
      <c r="N866" s="1">
        <v>46.0</v>
      </c>
      <c r="O866" s="1" t="s">
        <v>2384</v>
      </c>
      <c r="P866" s="3" t="str">
        <f>HYPERLINK("https://icf.clappia.com/app/SOM165486/submission/ZIA88530092/ICF247370-SOM165486-2hm290injd3000000000/SIG-20250701_09576b564.jpeg", "SIG-20250701_09576b564.jpeg")</f>
        <v>SIG-20250701_09576b564.jpeg</v>
      </c>
      <c r="Q866" s="3" t="str">
        <f>HYPERLINK("https://www.google.com/maps/place/8.9032133%2C-12.04553", "8.9032133,-12.04553")</f>
        <v>8.9032133,-12.04553</v>
      </c>
    </row>
    <row r="867" ht="15.75" customHeight="1">
      <c r="A867" s="1" t="s">
        <v>2385</v>
      </c>
      <c r="B867" s="1" t="s">
        <v>18</v>
      </c>
      <c r="C867" s="1" t="s">
        <v>2386</v>
      </c>
      <c r="D867" s="1" t="s">
        <v>2386</v>
      </c>
      <c r="E867" s="2">
        <v>45838.0</v>
      </c>
      <c r="F867" s="1" t="s">
        <v>21</v>
      </c>
      <c r="G867" s="1" t="s">
        <v>77</v>
      </c>
      <c r="H867" s="1" t="s">
        <v>78</v>
      </c>
      <c r="I867" s="1">
        <v>100.0</v>
      </c>
      <c r="J867" s="1">
        <v>100.0</v>
      </c>
      <c r="K867" s="1">
        <v>200.0</v>
      </c>
      <c r="L867" s="1">
        <v>194.0</v>
      </c>
      <c r="M867" s="1">
        <v>6.0</v>
      </c>
      <c r="N867" s="1">
        <v>6.0</v>
      </c>
      <c r="O867" s="1" t="s">
        <v>2387</v>
      </c>
      <c r="P867" s="3" t="str">
        <f>HYPERLINK("https://icf.clappia.com/app/SOM165486/submission/MIO48301650/ICF247370-SOM165486-41mo44nc9j8i00000000/SIG-20250701_130819bm2p.jpeg", "SIG-20250701_130819bm2p.jpeg")</f>
        <v>SIG-20250701_130819bm2p.jpeg</v>
      </c>
      <c r="Q867" s="3" t="str">
        <f>HYPERLINK("https://www.google.com/maps/place/7.9751275%2C-11.7393928", "7.9751275,-11.7393928")</f>
        <v>7.9751275,-11.7393928</v>
      </c>
    </row>
    <row r="868" ht="15.75" customHeight="1">
      <c r="A868" s="1" t="s">
        <v>2388</v>
      </c>
      <c r="B868" s="1" t="s">
        <v>283</v>
      </c>
      <c r="C868" s="1" t="s">
        <v>2386</v>
      </c>
      <c r="D868" s="1" t="s">
        <v>2386</v>
      </c>
      <c r="E868" s="2">
        <v>45839.0</v>
      </c>
      <c r="F868" s="1" t="s">
        <v>68</v>
      </c>
      <c r="G868" s="1" t="s">
        <v>325</v>
      </c>
      <c r="H868" s="1" t="s">
        <v>1523</v>
      </c>
      <c r="I868" s="1">
        <v>132.0</v>
      </c>
      <c r="J868" s="1">
        <v>50.0</v>
      </c>
      <c r="K868" s="1">
        <v>182.0</v>
      </c>
      <c r="L868" s="1">
        <v>140.0</v>
      </c>
      <c r="M868" s="1">
        <v>42.0</v>
      </c>
      <c r="N868" s="1">
        <v>42.0</v>
      </c>
      <c r="O868" s="1" t="s">
        <v>2389</v>
      </c>
      <c r="P868" s="3" t="str">
        <f>HYPERLINK("https://icf.clappia.com/app/SOM165486/submission/KHG51129062/ICF247370-SOM165486-2d8h8e655i5800000000/SIG-20250630_1153jn78g.jpeg", "SIG-20250630_1153jn78g.jpeg")</f>
        <v>SIG-20250630_1153jn78g.jpeg</v>
      </c>
      <c r="Q868" s="3" t="str">
        <f>HYPERLINK("https://www.google.com/maps/place/8.8077%2C-11.9017433", "8.8077,-11.9017433")</f>
        <v>8.8077,-11.9017433</v>
      </c>
    </row>
    <row r="869" ht="15.75" customHeight="1">
      <c r="A869" s="1" t="s">
        <v>2390</v>
      </c>
      <c r="B869" s="1" t="s">
        <v>18</v>
      </c>
      <c r="C869" s="1" t="s">
        <v>2012</v>
      </c>
      <c r="D869" s="1" t="s">
        <v>2012</v>
      </c>
      <c r="E869" s="2">
        <v>45838.0</v>
      </c>
      <c r="F869" s="1" t="s">
        <v>21</v>
      </c>
      <c r="G869" s="1" t="s">
        <v>77</v>
      </c>
      <c r="H869" s="1" t="s">
        <v>78</v>
      </c>
      <c r="I869" s="1">
        <v>200.0</v>
      </c>
      <c r="J869" s="1" t="s">
        <v>24</v>
      </c>
      <c r="K869" s="1">
        <v>200.0</v>
      </c>
      <c r="L869" s="1">
        <v>194.0</v>
      </c>
      <c r="M869" s="1">
        <v>6.0</v>
      </c>
      <c r="N869" s="1">
        <v>6.0</v>
      </c>
      <c r="O869" s="1" t="s">
        <v>2387</v>
      </c>
      <c r="P869" s="3" t="str">
        <f>HYPERLINK("https://icf.clappia.com/app/SOM165486/submission/MKE45909626/ICF247370-SOM165486-13ck2fkc369980000000/SIG-20250701_1152oo1dp.jpeg", "SIG-20250701_1152oo1dp.jpeg")</f>
        <v>SIG-20250701_1152oo1dp.jpeg</v>
      </c>
      <c r="Q869" s="3" t="str">
        <f>HYPERLINK("https://www.google.com/maps/place/7.9751275%2C-11.7393928", "7.9751275,-11.7393928")</f>
        <v>7.9751275,-11.7393928</v>
      </c>
    </row>
    <row r="870" ht="15.75" customHeight="1">
      <c r="A870" s="1" t="s">
        <v>2391</v>
      </c>
      <c r="B870" s="1" t="s">
        <v>18</v>
      </c>
      <c r="C870" s="1" t="s">
        <v>2392</v>
      </c>
      <c r="D870" s="1" t="s">
        <v>2392</v>
      </c>
      <c r="E870" s="2">
        <v>45838.0</v>
      </c>
      <c r="F870" s="1" t="s">
        <v>68</v>
      </c>
      <c r="G870" s="1" t="s">
        <v>672</v>
      </c>
      <c r="H870" s="1" t="s">
        <v>1854</v>
      </c>
      <c r="I870" s="1">
        <v>200.0</v>
      </c>
      <c r="J870" s="1" t="s">
        <v>24</v>
      </c>
      <c r="K870" s="1">
        <v>200.0</v>
      </c>
      <c r="L870" s="1">
        <v>118.0</v>
      </c>
      <c r="M870" s="1">
        <v>82.0</v>
      </c>
      <c r="N870" s="1">
        <v>82.0</v>
      </c>
      <c r="O870" s="1" t="s">
        <v>2393</v>
      </c>
      <c r="P870" s="3" t="str">
        <f>HYPERLINK("https://icf.clappia.com/app/SOM165486/submission/YIH81411407/ICF247370-SOM165486-4mfc663ibh3000000000/SIG-20250701_13036ioo9.jpeg", "SIG-20250701_13036ioo9.jpeg")</f>
        <v>SIG-20250701_13036ioo9.jpeg</v>
      </c>
      <c r="Q870" s="3" t="str">
        <f>HYPERLINK("https://www.google.com/maps/place/8.9497627%2C-11.9827801", "8.9497627,-11.9827801")</f>
        <v>8.9497627,-11.9827801</v>
      </c>
    </row>
    <row r="871" ht="15.75" customHeight="1">
      <c r="A871" s="1" t="s">
        <v>2394</v>
      </c>
      <c r="B871" s="1" t="s">
        <v>18</v>
      </c>
      <c r="C871" s="1" t="s">
        <v>2392</v>
      </c>
      <c r="D871" s="1" t="s">
        <v>2392</v>
      </c>
      <c r="E871" s="2">
        <v>45839.0</v>
      </c>
      <c r="F871" s="1" t="s">
        <v>68</v>
      </c>
      <c r="G871" s="1" t="s">
        <v>592</v>
      </c>
      <c r="H871" s="1" t="s">
        <v>665</v>
      </c>
      <c r="I871" s="1">
        <v>234.0</v>
      </c>
      <c r="J871" s="1" t="s">
        <v>24</v>
      </c>
      <c r="K871" s="1">
        <v>234.0</v>
      </c>
      <c r="L871" s="1">
        <v>234.0</v>
      </c>
      <c r="M871" s="1" t="s">
        <v>24</v>
      </c>
      <c r="N871" s="1" t="s">
        <v>24</v>
      </c>
      <c r="O871" s="1" t="s">
        <v>679</v>
      </c>
      <c r="P871" s="3" t="str">
        <f>HYPERLINK("https://icf.clappia.com/app/SOM165486/submission/KLT33633781/ICF247370-SOM165486-1med4pccc7kec0000000/SIG-20250701_1302113290.jpeg", "SIG-20250701_1302113290.jpeg")</f>
        <v>SIG-20250701_1302113290.jpeg</v>
      </c>
      <c r="Q871" s="3" t="str">
        <f>HYPERLINK("https://www.google.com/maps/place/8.8922062%2C-12.0609994", "8.8922062,-12.0609994")</f>
        <v>8.8922062,-12.0609994</v>
      </c>
    </row>
    <row r="872" ht="15.75" customHeight="1">
      <c r="A872" s="1" t="s">
        <v>2395</v>
      </c>
      <c r="B872" s="1" t="s">
        <v>18</v>
      </c>
      <c r="C872" s="1" t="s">
        <v>185</v>
      </c>
      <c r="D872" s="1" t="s">
        <v>185</v>
      </c>
      <c r="E872" s="2">
        <v>45839.0</v>
      </c>
      <c r="F872" s="1" t="s">
        <v>68</v>
      </c>
      <c r="G872" s="1" t="s">
        <v>69</v>
      </c>
      <c r="H872" s="1" t="s">
        <v>571</v>
      </c>
      <c r="I872" s="1">
        <v>100.0</v>
      </c>
      <c r="J872" s="1" t="s">
        <v>24</v>
      </c>
      <c r="K872" s="1">
        <v>100.0</v>
      </c>
      <c r="L872" s="1">
        <v>100.0</v>
      </c>
      <c r="M872" s="1" t="s">
        <v>24</v>
      </c>
      <c r="N872" s="1" t="s">
        <v>24</v>
      </c>
      <c r="O872" s="1" t="s">
        <v>2396</v>
      </c>
      <c r="P872" s="3" t="str">
        <f>HYPERLINK("https://icf.clappia.com/app/SOM165486/submission/TOY12753069/ICF247370-SOM165486-1da435keb0d4e0000000/SIG-20250701_1257151hop.jpeg", "SIG-20250701_1257151hop.jpeg")</f>
        <v>SIG-20250701_1257151hop.jpeg</v>
      </c>
      <c r="Q872" s="3" t="str">
        <f>HYPERLINK("https://www.google.com/maps/place/8.8393883%2C-12.1160583", "8.8393883,-12.1160583")</f>
        <v>8.8393883,-12.1160583</v>
      </c>
    </row>
    <row r="873" ht="15.75" customHeight="1">
      <c r="A873" s="1" t="s">
        <v>2397</v>
      </c>
      <c r="B873" s="1" t="s">
        <v>18</v>
      </c>
      <c r="C873" s="1" t="s">
        <v>2398</v>
      </c>
      <c r="D873" s="1" t="s">
        <v>2398</v>
      </c>
      <c r="E873" s="2">
        <v>45839.0</v>
      </c>
      <c r="F873" s="1" t="s">
        <v>21</v>
      </c>
      <c r="G873" s="1" t="s">
        <v>164</v>
      </c>
      <c r="H873" s="1" t="s">
        <v>887</v>
      </c>
      <c r="I873" s="1">
        <v>199.0</v>
      </c>
      <c r="J873" s="1" t="s">
        <v>24</v>
      </c>
      <c r="K873" s="1">
        <v>199.0</v>
      </c>
      <c r="L873" s="1">
        <v>161.0</v>
      </c>
      <c r="M873" s="1">
        <v>38.0</v>
      </c>
      <c r="N873" s="1">
        <v>38.0</v>
      </c>
      <c r="O873" s="1" t="s">
        <v>2399</v>
      </c>
      <c r="P873" s="3" t="str">
        <f>HYPERLINK("https://icf.clappia.com/app/SOM165486/submission/FQX11100125/ICF247370-SOM165486-51glmg2e40io0000000/SIG-20250701_12573fghn.jpeg", "SIG-20250701_12573fghn.jpeg")</f>
        <v>SIG-20250701_12573fghn.jpeg</v>
      </c>
      <c r="Q873" s="3" t="str">
        <f>HYPERLINK("https://www.google.com/maps/place/7.8911283%2C-11.9081233", "7.8911283,-11.9081233")</f>
        <v>7.8911283,-11.9081233</v>
      </c>
    </row>
    <row r="874" ht="15.75" customHeight="1">
      <c r="A874" s="1" t="s">
        <v>2400</v>
      </c>
      <c r="B874" s="1" t="s">
        <v>18</v>
      </c>
      <c r="C874" s="1" t="s">
        <v>2401</v>
      </c>
      <c r="D874" s="1" t="s">
        <v>2401</v>
      </c>
      <c r="E874" s="2">
        <v>45838.0</v>
      </c>
      <c r="F874" s="1" t="s">
        <v>21</v>
      </c>
      <c r="G874" s="1" t="s">
        <v>22</v>
      </c>
      <c r="H874" s="1" t="s">
        <v>1376</v>
      </c>
      <c r="I874" s="1">
        <v>100.0</v>
      </c>
      <c r="J874" s="1" t="s">
        <v>24</v>
      </c>
      <c r="K874" s="1">
        <v>100.0</v>
      </c>
      <c r="L874" s="1">
        <v>95.0</v>
      </c>
      <c r="M874" s="1">
        <v>5.0</v>
      </c>
      <c r="N874" s="1">
        <v>5.0</v>
      </c>
      <c r="O874" s="1" t="s">
        <v>1377</v>
      </c>
      <c r="P874" s="3" t="str">
        <f>HYPERLINK("https://icf.clappia.com/app/SOM165486/submission/UMU65551404/ICF247370-SOM165486-4c3i4nh1lnhi00000000/SIG-20250701_125610g1n7.jpeg", "SIG-20250701_125610g1n7.jpeg")</f>
        <v>SIG-20250701_125610g1n7.jpeg</v>
      </c>
      <c r="Q874" s="3" t="str">
        <f>HYPERLINK("https://www.google.com/maps/place/8.0324717%2C-11.4243017", "8.0324717,-11.4243017")</f>
        <v>8.0324717,-11.4243017</v>
      </c>
    </row>
    <row r="875" ht="15.75" customHeight="1">
      <c r="A875" s="1" t="s">
        <v>2402</v>
      </c>
      <c r="B875" s="1" t="s">
        <v>18</v>
      </c>
      <c r="C875" s="1" t="s">
        <v>2401</v>
      </c>
      <c r="D875" s="1" t="s">
        <v>2401</v>
      </c>
      <c r="E875" s="2">
        <v>45839.0</v>
      </c>
      <c r="F875" s="1" t="s">
        <v>21</v>
      </c>
      <c r="G875" s="1" t="s">
        <v>58</v>
      </c>
      <c r="H875" s="1" t="s">
        <v>1548</v>
      </c>
      <c r="I875" s="1">
        <v>255.0</v>
      </c>
      <c r="J875" s="1" t="s">
        <v>24</v>
      </c>
      <c r="K875" s="1">
        <v>255.0</v>
      </c>
      <c r="L875" s="1">
        <v>204.0</v>
      </c>
      <c r="M875" s="1">
        <v>51.0</v>
      </c>
      <c r="N875" s="1">
        <v>51.0</v>
      </c>
      <c r="O875" s="1" t="s">
        <v>1892</v>
      </c>
      <c r="P875" s="3" t="str">
        <f>HYPERLINK("https://icf.clappia.com/app/SOM165486/submission/QYF76539507/ICF247370-SOM165486-1ll6n0o73gghm0000000/SIG-20250701_1256e9p4.jpeg", "SIG-20250701_1256e9p4.jpeg")</f>
        <v>SIG-20250701_1256e9p4.jpeg</v>
      </c>
      <c r="Q875" s="3" t="str">
        <f>HYPERLINK("https://www.google.com/maps/place/7.9485983%2C-11.769965", "7.9485983,-11.769965")</f>
        <v>7.9485983,-11.769965</v>
      </c>
    </row>
    <row r="876" ht="15.75" customHeight="1">
      <c r="A876" s="1" t="s">
        <v>2403</v>
      </c>
      <c r="B876" s="1" t="s">
        <v>18</v>
      </c>
      <c r="C876" s="1" t="s">
        <v>2404</v>
      </c>
      <c r="D876" s="1" t="s">
        <v>2404</v>
      </c>
      <c r="E876" s="2">
        <v>45839.0</v>
      </c>
      <c r="F876" s="1" t="s">
        <v>68</v>
      </c>
      <c r="G876" s="1" t="s">
        <v>672</v>
      </c>
      <c r="H876" s="1" t="s">
        <v>2405</v>
      </c>
      <c r="I876" s="1">
        <v>192.0</v>
      </c>
      <c r="J876" s="1" t="s">
        <v>24</v>
      </c>
      <c r="K876" s="1">
        <v>192.0</v>
      </c>
      <c r="L876" s="1">
        <v>156.0</v>
      </c>
      <c r="M876" s="1">
        <v>36.0</v>
      </c>
      <c r="N876" s="1">
        <v>36.0</v>
      </c>
      <c r="O876" s="1" t="s">
        <v>2406</v>
      </c>
      <c r="P876" s="3" t="str">
        <f>HYPERLINK("https://icf.clappia.com/app/SOM165486/submission/SCJ20746392/ICF247370-SOM165486-5131ei419l6800000000/SIG-20250701_1253i431d.jpeg", "SIG-20250701_1253i431d.jpeg")</f>
        <v>SIG-20250701_1253i431d.jpeg</v>
      </c>
      <c r="Q876" s="3" t="str">
        <f>HYPERLINK("https://www.google.com/maps/place/8.946605%2C-11.8986583", "8.946605,-11.8986583")</f>
        <v>8.946605,-11.8986583</v>
      </c>
    </row>
    <row r="877" ht="15.75" customHeight="1">
      <c r="A877" s="1" t="s">
        <v>2407</v>
      </c>
      <c r="B877" s="1" t="s">
        <v>18</v>
      </c>
      <c r="C877" s="1" t="s">
        <v>2408</v>
      </c>
      <c r="D877" s="1" t="s">
        <v>2409</v>
      </c>
      <c r="E877" s="2">
        <v>45839.0</v>
      </c>
      <c r="F877" s="1" t="s">
        <v>21</v>
      </c>
      <c r="G877" s="1" t="s">
        <v>781</v>
      </c>
      <c r="H877" s="1" t="s">
        <v>2000</v>
      </c>
      <c r="I877" s="1">
        <v>150.0</v>
      </c>
      <c r="J877" s="1" t="s">
        <v>24</v>
      </c>
      <c r="K877" s="1">
        <v>150.0</v>
      </c>
      <c r="L877" s="1">
        <v>146.0</v>
      </c>
      <c r="M877" s="1">
        <v>4.0</v>
      </c>
      <c r="N877" s="1" t="s">
        <v>24</v>
      </c>
      <c r="O877" s="1" t="s">
        <v>2001</v>
      </c>
      <c r="P877" s="3" t="str">
        <f>HYPERLINK("https://icf.clappia.com/app/SOM165486/submission/RHU19735307/ICF247370-SOM165486-2of3e6g26f5g00000000/SIG-20250701_1202b67jf.jpeg", "SIG-20250701_1202b67jf.jpeg")</f>
        <v>SIG-20250701_1202b67jf.jpeg</v>
      </c>
      <c r="Q877" s="3" t="str">
        <f>HYPERLINK("https://www.google.com/maps/place/7.98284%2C-11.37578", "7.98284,-11.37578")</f>
        <v>7.98284,-11.37578</v>
      </c>
    </row>
    <row r="878" ht="15.75" customHeight="1">
      <c r="A878" s="1" t="s">
        <v>2410</v>
      </c>
      <c r="B878" s="1" t="s">
        <v>18</v>
      </c>
      <c r="C878" s="1" t="s">
        <v>2411</v>
      </c>
      <c r="D878" s="1" t="s">
        <v>2411</v>
      </c>
      <c r="E878" s="2">
        <v>45839.0</v>
      </c>
      <c r="F878" s="1" t="s">
        <v>68</v>
      </c>
      <c r="G878" s="1" t="s">
        <v>88</v>
      </c>
      <c r="H878" s="1" t="s">
        <v>1314</v>
      </c>
      <c r="I878" s="1">
        <v>383.0</v>
      </c>
      <c r="J878" s="1" t="s">
        <v>24</v>
      </c>
      <c r="K878" s="1">
        <v>383.0</v>
      </c>
      <c r="L878" s="1">
        <v>309.0</v>
      </c>
      <c r="M878" s="1">
        <v>74.0</v>
      </c>
      <c r="N878" s="1">
        <v>74.0</v>
      </c>
      <c r="O878" s="1" t="s">
        <v>1315</v>
      </c>
      <c r="P878" s="3" t="str">
        <f>HYPERLINK("https://icf.clappia.com/app/SOM165486/submission/UMY45370333/ICF247370-SOM165486-173j20j76ji640000000/SIG-20250701_124813m7i3.jpeg", "SIG-20250701_124813m7i3.jpeg")</f>
        <v>SIG-20250701_124813m7i3.jpeg</v>
      </c>
      <c r="Q878" s="3" t="str">
        <f>HYPERLINK("https://www.google.com/maps/place/8.8764333%2C-12.0149717", "8.8764333,-12.0149717")</f>
        <v>8.8764333,-12.0149717</v>
      </c>
    </row>
    <row r="879" ht="15.75" customHeight="1">
      <c r="A879" s="1" t="s">
        <v>2412</v>
      </c>
      <c r="B879" s="1" t="s">
        <v>18</v>
      </c>
      <c r="C879" s="1" t="s">
        <v>2413</v>
      </c>
      <c r="D879" s="1" t="s">
        <v>2411</v>
      </c>
      <c r="E879" s="2">
        <v>45839.0</v>
      </c>
      <c r="F879" s="1" t="s">
        <v>21</v>
      </c>
      <c r="G879" s="1" t="s">
        <v>35</v>
      </c>
      <c r="H879" s="1" t="s">
        <v>51</v>
      </c>
      <c r="I879" s="1">
        <v>151.0</v>
      </c>
      <c r="J879" s="1" t="s">
        <v>24</v>
      </c>
      <c r="K879" s="1">
        <v>151.0</v>
      </c>
      <c r="L879" s="1">
        <v>94.0</v>
      </c>
      <c r="M879" s="1">
        <v>57.0</v>
      </c>
      <c r="N879" s="1">
        <v>57.0</v>
      </c>
      <c r="O879" s="1" t="s">
        <v>1557</v>
      </c>
      <c r="P879" s="3" t="str">
        <f>HYPERLINK("https://icf.clappia.com/app/SOM165486/submission/HSE97148880/ICF247370-SOM165486-3o35k5phk2dc0000000/SIG-20250701_12291a7b13.jpeg", "SIG-20250701_12291a7b13.jpeg")</f>
        <v>SIG-20250701_12291a7b13.jpeg</v>
      </c>
      <c r="Q879" s="3" t="str">
        <f>HYPERLINK("https://www.google.com/maps/place/8.2939017%2C-11.7270867", "8.2939017,-11.7270867")</f>
        <v>8.2939017,-11.7270867</v>
      </c>
    </row>
    <row r="880" ht="15.75" customHeight="1">
      <c r="A880" s="1" t="s">
        <v>2414</v>
      </c>
      <c r="B880" s="1" t="s">
        <v>18</v>
      </c>
      <c r="C880" s="1" t="s">
        <v>1663</v>
      </c>
      <c r="D880" s="1" t="s">
        <v>2411</v>
      </c>
      <c r="E880" s="2">
        <v>45838.0</v>
      </c>
      <c r="F880" s="1" t="s">
        <v>21</v>
      </c>
      <c r="G880" s="1" t="s">
        <v>35</v>
      </c>
      <c r="H880" s="1" t="s">
        <v>51</v>
      </c>
      <c r="I880" s="1">
        <v>200.0</v>
      </c>
      <c r="J880" s="1" t="s">
        <v>24</v>
      </c>
      <c r="K880" s="1">
        <v>200.0</v>
      </c>
      <c r="L880" s="1">
        <v>189.0</v>
      </c>
      <c r="M880" s="1">
        <v>11.0</v>
      </c>
      <c r="N880" s="1">
        <v>11.0</v>
      </c>
      <c r="O880" s="1" t="s">
        <v>1557</v>
      </c>
      <c r="P880" s="3" t="str">
        <f>HYPERLINK("https://icf.clappia.com/app/SOM165486/submission/BSI51207798/ICF247370-SOM165486-2eccb07jm7o800000000/SIG-20250701_1227b680h.jpeg", "SIG-20250701_1227b680h.jpeg")</f>
        <v>SIG-20250701_1227b680h.jpeg</v>
      </c>
      <c r="Q880" s="3" t="str">
        <f>HYPERLINK("https://www.google.com/maps/place/8.2948883%2C-11.7255633", "8.2948883,-11.7255633")</f>
        <v>8.2948883,-11.7255633</v>
      </c>
    </row>
    <row r="881" ht="15.75" customHeight="1">
      <c r="A881" s="1" t="s">
        <v>2415</v>
      </c>
      <c r="B881" s="1" t="s">
        <v>18</v>
      </c>
      <c r="C881" s="1" t="s">
        <v>2416</v>
      </c>
      <c r="D881" s="1" t="s">
        <v>2411</v>
      </c>
      <c r="E881" s="2">
        <v>45838.0</v>
      </c>
      <c r="F881" s="1" t="s">
        <v>21</v>
      </c>
      <c r="G881" s="1" t="s">
        <v>35</v>
      </c>
      <c r="H881" s="1" t="s">
        <v>51</v>
      </c>
      <c r="I881" s="1">
        <v>200.0</v>
      </c>
      <c r="J881" s="1" t="s">
        <v>24</v>
      </c>
      <c r="K881" s="1">
        <v>200.0</v>
      </c>
      <c r="L881" s="1">
        <v>189.0</v>
      </c>
      <c r="M881" s="1">
        <v>11.0</v>
      </c>
      <c r="N881" s="1">
        <v>11.0</v>
      </c>
      <c r="O881" s="1" t="s">
        <v>1557</v>
      </c>
      <c r="P881" s="3" t="str">
        <f>HYPERLINK("https://icf.clappia.com/app/SOM165486/submission/VVA00675285/ICF247370-SOM165486-62p49jo9j8cc00000000/SIG-20250701_1218pai32.jpeg", "SIG-20250701_1218pai32.jpeg")</f>
        <v>SIG-20250701_1218pai32.jpeg</v>
      </c>
      <c r="Q881" s="3" t="str">
        <f>HYPERLINK("https://www.google.com/maps/place/8.2939517%2C-11.72638", "8.2939517,-11.72638")</f>
        <v>8.2939517,-11.72638</v>
      </c>
    </row>
    <row r="882" ht="15.75" customHeight="1">
      <c r="A882" s="1" t="s">
        <v>2417</v>
      </c>
      <c r="B882" s="1" t="s">
        <v>18</v>
      </c>
      <c r="C882" s="1" t="s">
        <v>2418</v>
      </c>
      <c r="D882" s="1" t="s">
        <v>2418</v>
      </c>
      <c r="E882" s="2">
        <v>45839.0</v>
      </c>
      <c r="F882" s="1" t="s">
        <v>68</v>
      </c>
      <c r="G882" s="1" t="s">
        <v>672</v>
      </c>
      <c r="H882" s="1" t="s">
        <v>673</v>
      </c>
      <c r="I882" s="1">
        <v>150.0</v>
      </c>
      <c r="J882" s="1" t="s">
        <v>24</v>
      </c>
      <c r="K882" s="1">
        <v>150.0</v>
      </c>
      <c r="L882" s="1">
        <v>116.0</v>
      </c>
      <c r="M882" s="1">
        <v>34.0</v>
      </c>
      <c r="N882" s="1">
        <v>34.0</v>
      </c>
      <c r="O882" s="1" t="s">
        <v>2419</v>
      </c>
      <c r="P882" s="3" t="str">
        <f>HYPERLINK("https://icf.clappia.com/app/SOM165486/submission/SVG63218313/ICF247370-SOM165486-5bicj0c5o88400000000/SIG-20250701_123636855.jpeg", "SIG-20250701_123636855.jpeg")</f>
        <v>SIG-20250701_123636855.jpeg</v>
      </c>
      <c r="Q882" s="3" t="str">
        <f>HYPERLINK("https://www.google.com/maps/place/8.9501723%2C-11.9822864", "8.9501723,-11.9822864")</f>
        <v>8.9501723,-11.9822864</v>
      </c>
    </row>
    <row r="883" ht="15.75" customHeight="1">
      <c r="A883" s="1" t="s">
        <v>2420</v>
      </c>
      <c r="B883" s="1" t="s">
        <v>18</v>
      </c>
      <c r="C883" s="1" t="s">
        <v>2421</v>
      </c>
      <c r="D883" s="1" t="s">
        <v>2421</v>
      </c>
      <c r="E883" s="2">
        <v>45839.0</v>
      </c>
      <c r="F883" s="1" t="s">
        <v>68</v>
      </c>
      <c r="G883" s="1" t="s">
        <v>88</v>
      </c>
      <c r="H883" s="1" t="s">
        <v>1314</v>
      </c>
      <c r="I883" s="1">
        <v>412.0</v>
      </c>
      <c r="J883" s="1" t="s">
        <v>24</v>
      </c>
      <c r="K883" s="1">
        <v>412.0</v>
      </c>
      <c r="L883" s="1">
        <v>396.0</v>
      </c>
      <c r="M883" s="1">
        <v>16.0</v>
      </c>
      <c r="N883" s="1">
        <v>8.0</v>
      </c>
      <c r="O883" s="1" t="s">
        <v>1950</v>
      </c>
      <c r="P883" s="3" t="str">
        <f>HYPERLINK("https://icf.clappia.com/app/SOM165486/submission/NXV46982537/ICF247370-SOM165486-3bcmi2df467200000000/SIG-20250701_1213odk6h.jpeg", "SIG-20250701_1213odk6h.jpeg")</f>
        <v>SIG-20250701_1213odk6h.jpeg</v>
      </c>
      <c r="Q883" s="3" t="str">
        <f>HYPERLINK("https://www.google.com/maps/place/8.8690349%2C-12.0395196", "8.8690349,-12.0395196")</f>
        <v>8.8690349,-12.0395196</v>
      </c>
    </row>
    <row r="884" ht="15.75" customHeight="1">
      <c r="A884" s="1" t="s">
        <v>2422</v>
      </c>
      <c r="B884" s="1" t="s">
        <v>18</v>
      </c>
      <c r="C884" s="1" t="s">
        <v>2421</v>
      </c>
      <c r="D884" s="1" t="s">
        <v>2421</v>
      </c>
      <c r="E884" s="2">
        <v>45839.0</v>
      </c>
      <c r="F884" s="1" t="s">
        <v>21</v>
      </c>
      <c r="G884" s="1" t="s">
        <v>781</v>
      </c>
      <c r="H884" s="1" t="s">
        <v>1355</v>
      </c>
      <c r="I884" s="1">
        <v>193.0</v>
      </c>
      <c r="J884" s="1" t="s">
        <v>24</v>
      </c>
      <c r="K884" s="1">
        <v>193.0</v>
      </c>
      <c r="L884" s="1">
        <v>182.0</v>
      </c>
      <c r="M884" s="1">
        <v>11.0</v>
      </c>
      <c r="N884" s="1">
        <v>11.0</v>
      </c>
      <c r="O884" s="1" t="s">
        <v>1356</v>
      </c>
      <c r="P884" s="3" t="str">
        <f>HYPERLINK("https://icf.clappia.com/app/SOM165486/submission/RGI99989564/ICF247370-SOM165486-5ajkcpakfm4000000000/SIG-20250701_1244lcge6.jpeg", "SIG-20250701_1244lcge6.jpeg")</f>
        <v>SIG-20250701_1244lcge6.jpeg</v>
      </c>
      <c r="Q884" s="3" t="str">
        <f>HYPERLINK("https://www.google.com/maps/place/7.8585889%2C-11.565396", "7.8585889,-11.565396")</f>
        <v>7.8585889,-11.565396</v>
      </c>
    </row>
    <row r="885" ht="15.75" customHeight="1">
      <c r="A885" s="1" t="s">
        <v>2423</v>
      </c>
      <c r="B885" s="1" t="s">
        <v>283</v>
      </c>
      <c r="C885" s="1" t="s">
        <v>2424</v>
      </c>
      <c r="D885" s="1" t="s">
        <v>2424</v>
      </c>
      <c r="E885" s="2">
        <v>45839.0</v>
      </c>
      <c r="F885" s="1" t="s">
        <v>68</v>
      </c>
      <c r="G885" s="1" t="s">
        <v>325</v>
      </c>
      <c r="H885" s="1" t="s">
        <v>1523</v>
      </c>
      <c r="I885" s="1">
        <v>106.0</v>
      </c>
      <c r="J885" s="1" t="s">
        <v>24</v>
      </c>
      <c r="K885" s="1">
        <v>106.0</v>
      </c>
      <c r="L885" s="1">
        <v>93.0</v>
      </c>
      <c r="M885" s="1">
        <v>13.0</v>
      </c>
      <c r="N885" s="1">
        <v>13.0</v>
      </c>
      <c r="O885" s="1" t="s">
        <v>2425</v>
      </c>
      <c r="P885" s="3" t="str">
        <f>HYPERLINK("https://icf.clappia.com/app/SOM165486/submission/HFR47367539/ICF247370-SOM165486-5dfhe4om868600000000/SIG-20250701_1241131jfo.jpeg", "SIG-20250701_1241131jfo.jpeg")</f>
        <v>SIG-20250701_1241131jfo.jpeg</v>
      </c>
      <c r="Q885" s="3" t="str">
        <f>HYPERLINK("https://www.google.com/maps/place/8.7883899%2C-11.907897", "8.7883899,-11.907897")</f>
        <v>8.7883899,-11.907897</v>
      </c>
    </row>
    <row r="886" ht="15.75" customHeight="1">
      <c r="A886" s="1" t="s">
        <v>2426</v>
      </c>
      <c r="B886" s="1" t="s">
        <v>18</v>
      </c>
      <c r="C886" s="1" t="s">
        <v>2427</v>
      </c>
      <c r="D886" s="1" t="s">
        <v>2427</v>
      </c>
      <c r="E886" s="2">
        <v>45839.0</v>
      </c>
      <c r="F886" s="1" t="s">
        <v>68</v>
      </c>
      <c r="G886" s="1" t="s">
        <v>672</v>
      </c>
      <c r="H886" s="1" t="s">
        <v>673</v>
      </c>
      <c r="I886" s="1">
        <v>150.0</v>
      </c>
      <c r="J886" s="1" t="s">
        <v>24</v>
      </c>
      <c r="K886" s="1">
        <v>150.0</v>
      </c>
      <c r="L886" s="1">
        <v>150.0</v>
      </c>
      <c r="M886" s="1" t="s">
        <v>24</v>
      </c>
      <c r="N886" s="1" t="s">
        <v>24</v>
      </c>
      <c r="O886" s="1" t="s">
        <v>2428</v>
      </c>
      <c r="P886" s="3" t="str">
        <f>HYPERLINK("https://icf.clappia.com/app/SOM165486/submission/WGY50258581/ICF247370-SOM165486-59d52gkf4h6000000000/SIG-20250701_1240e2k3o.jpeg", "SIG-20250701_1240e2k3o.jpeg")</f>
        <v>SIG-20250701_1240e2k3o.jpeg</v>
      </c>
      <c r="Q886" s="3" t="str">
        <f>HYPERLINK("https://www.google.com/maps/place/8.950002%2C-11.982177", "8.950002,-11.982177")</f>
        <v>8.950002,-11.982177</v>
      </c>
    </row>
    <row r="887" ht="15.75" customHeight="1">
      <c r="A887" s="1" t="s">
        <v>2429</v>
      </c>
      <c r="B887" s="1" t="s">
        <v>18</v>
      </c>
      <c r="C887" s="1" t="s">
        <v>2430</v>
      </c>
      <c r="D887" s="1" t="s">
        <v>2430</v>
      </c>
      <c r="E887" s="2">
        <v>45839.0</v>
      </c>
      <c r="F887" s="1" t="s">
        <v>68</v>
      </c>
      <c r="G887" s="1" t="s">
        <v>672</v>
      </c>
      <c r="H887" s="1" t="s">
        <v>673</v>
      </c>
      <c r="I887" s="1">
        <v>100.0</v>
      </c>
      <c r="J887" s="1" t="s">
        <v>24</v>
      </c>
      <c r="K887" s="1">
        <v>100.0</v>
      </c>
      <c r="L887" s="1">
        <v>82.0</v>
      </c>
      <c r="M887" s="1">
        <v>18.0</v>
      </c>
      <c r="N887" s="1">
        <v>12.0</v>
      </c>
      <c r="O887" s="1" t="s">
        <v>2431</v>
      </c>
      <c r="P887" s="3" t="str">
        <f>HYPERLINK("https://icf.clappia.com/app/SOM165486/submission/KSK81482518/ICF247370-SOM165486-225dae4cfa25m0000000/SIG-20250701_1239lkh0a.jpeg", "SIG-20250701_1239lkh0a.jpeg")</f>
        <v>SIG-20250701_1239lkh0a.jpeg</v>
      </c>
      <c r="Q887" s="3" t="str">
        <f>HYPERLINK("https://www.google.com/maps/place/8.9503283%2C-11.98214", "8.9503283,-11.98214")</f>
        <v>8.9503283,-11.98214</v>
      </c>
    </row>
    <row r="888" ht="15.75" customHeight="1">
      <c r="A888" s="1" t="s">
        <v>2432</v>
      </c>
      <c r="B888" s="1" t="s">
        <v>18</v>
      </c>
      <c r="C888" s="1" t="s">
        <v>2430</v>
      </c>
      <c r="D888" s="1" t="s">
        <v>2430</v>
      </c>
      <c r="E888" s="2">
        <v>45839.0</v>
      </c>
      <c r="F888" s="1" t="s">
        <v>68</v>
      </c>
      <c r="G888" s="1" t="s">
        <v>340</v>
      </c>
      <c r="H888" s="1" t="s">
        <v>742</v>
      </c>
      <c r="I888" s="1">
        <v>100.0</v>
      </c>
      <c r="J888" s="1" t="s">
        <v>24</v>
      </c>
      <c r="K888" s="1">
        <v>100.0</v>
      </c>
      <c r="L888" s="1">
        <v>53.0</v>
      </c>
      <c r="M888" s="1">
        <v>47.0</v>
      </c>
      <c r="N888" s="1">
        <v>47.0</v>
      </c>
      <c r="O888" s="1" t="s">
        <v>554</v>
      </c>
      <c r="P888" s="3" t="str">
        <f>HYPERLINK("https://icf.clappia.com/app/SOM165486/submission/VBJ32877550/ICF247370-SOM165486-57kkj5nh6fei00000000/SIG-20250701_110444633.jpeg", "SIG-20250701_110444633.jpeg")</f>
        <v>SIG-20250701_110444633.jpeg</v>
      </c>
      <c r="Q888" s="3" t="str">
        <f>HYPERLINK("https://www.google.com/maps/place/9.1572283%2C-11.96121", "9.1572283,-11.96121")</f>
        <v>9.1572283,-11.96121</v>
      </c>
    </row>
    <row r="889" ht="15.75" customHeight="1">
      <c r="A889" s="1" t="s">
        <v>2433</v>
      </c>
      <c r="B889" s="1" t="s">
        <v>18</v>
      </c>
      <c r="C889" s="1" t="s">
        <v>2434</v>
      </c>
      <c r="D889" s="1" t="s">
        <v>2434</v>
      </c>
      <c r="E889" s="2">
        <v>45839.0</v>
      </c>
      <c r="F889" s="1" t="s">
        <v>21</v>
      </c>
      <c r="G889" s="1" t="s">
        <v>58</v>
      </c>
      <c r="H889" s="1" t="s">
        <v>152</v>
      </c>
      <c r="I889" s="1">
        <v>174.0</v>
      </c>
      <c r="J889" s="1" t="s">
        <v>24</v>
      </c>
      <c r="K889" s="1">
        <v>174.0</v>
      </c>
      <c r="L889" s="1">
        <v>51.0</v>
      </c>
      <c r="M889" s="1">
        <v>123.0</v>
      </c>
      <c r="N889" s="1">
        <v>123.0</v>
      </c>
      <c r="O889" s="1" t="s">
        <v>2435</v>
      </c>
      <c r="P889" s="3" t="str">
        <f>HYPERLINK("https://icf.clappia.com/app/SOM165486/submission/CGO62432111/ICF247370-SOM165486-5blggk39h16g00000000/SIG-20250701_1239i0gap.jpeg", "SIG-20250701_1239i0gap.jpeg")</f>
        <v>SIG-20250701_1239i0gap.jpeg</v>
      </c>
      <c r="Q889" s="3" t="str">
        <f>HYPERLINK("https://www.google.com/maps/place/7.8654%2C-11.706915", "7.8654,-11.706915")</f>
        <v>7.8654,-11.706915</v>
      </c>
    </row>
    <row r="890" ht="15.75" customHeight="1">
      <c r="A890" s="1" t="s">
        <v>2436</v>
      </c>
      <c r="B890" s="1" t="s">
        <v>18</v>
      </c>
      <c r="C890" s="1" t="s">
        <v>2437</v>
      </c>
      <c r="D890" s="1" t="s">
        <v>2437</v>
      </c>
      <c r="E890" s="2">
        <v>45839.0</v>
      </c>
      <c r="F890" s="1" t="s">
        <v>68</v>
      </c>
      <c r="G890" s="1" t="s">
        <v>69</v>
      </c>
      <c r="H890" s="1" t="s">
        <v>571</v>
      </c>
      <c r="I890" s="1">
        <v>100.0</v>
      </c>
      <c r="J890" s="1" t="s">
        <v>24</v>
      </c>
      <c r="K890" s="1">
        <v>100.0</v>
      </c>
      <c r="L890" s="1">
        <v>99.0</v>
      </c>
      <c r="M890" s="1">
        <v>1.0</v>
      </c>
      <c r="N890" s="1" t="s">
        <v>24</v>
      </c>
      <c r="O890" s="1" t="s">
        <v>2438</v>
      </c>
      <c r="P890" s="3" t="str">
        <f>HYPERLINK("https://icf.clappia.com/app/SOM165486/submission/HEB00174072/ICF247370-SOM165486-lhohda3ngkde0000000/SIG-20250701_1228dgdkc.jpeg", "SIG-20250701_1228dgdkc.jpeg")</f>
        <v>SIG-20250701_1228dgdkc.jpeg</v>
      </c>
      <c r="Q890" s="3" t="str">
        <f>HYPERLINK("https://www.google.com/maps/place/8.8389833%2C-12.1157617", "8.8389833,-12.1157617")</f>
        <v>8.8389833,-12.1157617</v>
      </c>
    </row>
    <row r="891" ht="15.75" customHeight="1">
      <c r="A891" s="1" t="s">
        <v>2439</v>
      </c>
      <c r="B891" s="1" t="s">
        <v>18</v>
      </c>
      <c r="C891" s="1" t="s">
        <v>73</v>
      </c>
      <c r="D891" s="1" t="s">
        <v>73</v>
      </c>
      <c r="E891" s="2">
        <v>45839.0</v>
      </c>
      <c r="F891" s="1" t="s">
        <v>68</v>
      </c>
      <c r="G891" s="1" t="s">
        <v>88</v>
      </c>
      <c r="H891" s="1" t="s">
        <v>1314</v>
      </c>
      <c r="I891" s="1">
        <v>322.0</v>
      </c>
      <c r="J891" s="1" t="s">
        <v>90</v>
      </c>
      <c r="K891" s="1">
        <v>322.0</v>
      </c>
      <c r="L891" s="1">
        <v>322.0</v>
      </c>
      <c r="M891" s="1" t="s">
        <v>24</v>
      </c>
      <c r="N891" s="1" t="s">
        <v>90</v>
      </c>
      <c r="O891" s="1" t="s">
        <v>2440</v>
      </c>
      <c r="P891" s="3" t="str">
        <f>HYPERLINK("https://icf.clappia.com/app/SOM165486/submission/BCS56295520/ICF247370-SOM165486-51kh7j35ifh600000000/SIG-20250701_111719pime.jpeg", "SIG-20250701_111719pime.jpeg")</f>
        <v>SIG-20250701_111719pime.jpeg</v>
      </c>
      <c r="Q891" s="3" t="str">
        <f>HYPERLINK("https://www.google.com/maps/place/8.876%2C-12.0222583", "8.876,-12.0222583")</f>
        <v>8.876,-12.0222583</v>
      </c>
    </row>
    <row r="892" ht="15.75" customHeight="1">
      <c r="A892" s="1" t="s">
        <v>2441</v>
      </c>
      <c r="B892" s="1" t="s">
        <v>283</v>
      </c>
      <c r="C892" s="1" t="s">
        <v>2442</v>
      </c>
      <c r="D892" s="1" t="s">
        <v>2442</v>
      </c>
      <c r="E892" s="2">
        <v>45839.0</v>
      </c>
      <c r="F892" s="1" t="s">
        <v>68</v>
      </c>
      <c r="G892" s="1" t="s">
        <v>592</v>
      </c>
      <c r="H892" s="1" t="s">
        <v>665</v>
      </c>
      <c r="I892" s="1">
        <v>300.0</v>
      </c>
      <c r="J892" s="1" t="s">
        <v>24</v>
      </c>
      <c r="K892" s="1">
        <v>300.0</v>
      </c>
      <c r="L892" s="1">
        <v>263.0</v>
      </c>
      <c r="M892" s="1">
        <v>37.0</v>
      </c>
      <c r="N892" s="1">
        <v>37.0</v>
      </c>
      <c r="O892" s="1" t="s">
        <v>1751</v>
      </c>
      <c r="P892" s="3" t="str">
        <f>HYPERLINK("https://icf.clappia.com/app/SOM165486/submission/HKP27418234/ICF247370-SOM165486-5mcppfi12joc00000000/SIG-20250701_1233je7hi.jpeg", "SIG-20250701_1233je7hi.jpeg")</f>
        <v>SIG-20250701_1233je7hi.jpeg</v>
      </c>
      <c r="Q892" s="3" t="str">
        <f>HYPERLINK("https://www.google.com/maps/place/8.90322%2C-12.0597067", "8.90322,-12.0597067")</f>
        <v>8.90322,-12.0597067</v>
      </c>
    </row>
    <row r="893" ht="15.75" customHeight="1">
      <c r="A893" s="1" t="s">
        <v>2443</v>
      </c>
      <c r="B893" s="1" t="s">
        <v>18</v>
      </c>
      <c r="C893" s="1" t="s">
        <v>2442</v>
      </c>
      <c r="D893" s="1" t="s">
        <v>2442</v>
      </c>
      <c r="E893" s="2">
        <v>45839.0</v>
      </c>
      <c r="F893" s="1" t="s">
        <v>21</v>
      </c>
      <c r="G893" s="1" t="s">
        <v>781</v>
      </c>
      <c r="H893" s="1" t="s">
        <v>1031</v>
      </c>
      <c r="I893" s="1">
        <v>217.0</v>
      </c>
      <c r="J893" s="1" t="s">
        <v>24</v>
      </c>
      <c r="K893" s="1">
        <v>217.0</v>
      </c>
      <c r="L893" s="1">
        <v>148.0</v>
      </c>
      <c r="M893" s="1">
        <v>69.0</v>
      </c>
      <c r="N893" s="1">
        <v>69.0</v>
      </c>
      <c r="O893" s="1" t="s">
        <v>1032</v>
      </c>
      <c r="P893" s="3" t="str">
        <f>HYPERLINK("https://icf.clappia.com/app/SOM165486/submission/KYG04053394/ICF247370-SOM165486-2a25ph5cnjeko0000000/SIG-20250701_1233127lj2.jpeg", "SIG-20250701_1233127lj2.jpeg")</f>
        <v>SIG-20250701_1233127lj2.jpeg</v>
      </c>
      <c r="Q893" s="3" t="str">
        <f>HYPERLINK("https://www.google.com/maps/place/7.9365175%2C-11.4947955", "7.9365175,-11.4947955")</f>
        <v>7.9365175,-11.4947955</v>
      </c>
    </row>
    <row r="894" ht="15.75" customHeight="1">
      <c r="A894" s="1" t="s">
        <v>2444</v>
      </c>
      <c r="B894" s="1" t="s">
        <v>18</v>
      </c>
      <c r="C894" s="1" t="s">
        <v>2442</v>
      </c>
      <c r="D894" s="1" t="s">
        <v>2442</v>
      </c>
      <c r="E894" s="2">
        <v>45839.0</v>
      </c>
      <c r="F894" s="1" t="s">
        <v>68</v>
      </c>
      <c r="G894" s="1" t="s">
        <v>88</v>
      </c>
      <c r="H894" s="1" t="s">
        <v>634</v>
      </c>
      <c r="I894" s="1">
        <v>250.0</v>
      </c>
      <c r="J894" s="1">
        <v>200.0</v>
      </c>
      <c r="K894" s="1">
        <v>450.0</v>
      </c>
      <c r="L894" s="1">
        <v>430.0</v>
      </c>
      <c r="M894" s="1">
        <v>20.0</v>
      </c>
      <c r="N894" s="1">
        <v>11.0</v>
      </c>
      <c r="O894" s="1" t="s">
        <v>1840</v>
      </c>
      <c r="P894" s="3" t="str">
        <f>HYPERLINK("https://icf.clappia.com/app/SOM165486/submission/YBK70258019/ICF247370-SOM165486-45d6g9ooban200000000/SIG-20250701_1233bhge4.jpeg", "SIG-20250701_1233bhge4.jpeg")</f>
        <v>SIG-20250701_1233bhge4.jpeg</v>
      </c>
      <c r="Q894" s="3" t="str">
        <f>HYPERLINK("https://www.google.com/maps/place/8.8917215%2C-12.0365664", "8.8917215,-12.0365664")</f>
        <v>8.8917215,-12.0365664</v>
      </c>
    </row>
    <row r="895" ht="15.75" customHeight="1">
      <c r="A895" s="1" t="s">
        <v>2445</v>
      </c>
      <c r="B895" s="1" t="s">
        <v>283</v>
      </c>
      <c r="C895" s="1" t="s">
        <v>2413</v>
      </c>
      <c r="D895" s="1" t="s">
        <v>2413</v>
      </c>
      <c r="E895" s="2">
        <v>45838.0</v>
      </c>
      <c r="F895" s="1" t="s">
        <v>68</v>
      </c>
      <c r="G895" s="1" t="s">
        <v>340</v>
      </c>
      <c r="H895" s="1" t="s">
        <v>906</v>
      </c>
      <c r="I895" s="1">
        <v>150.0</v>
      </c>
      <c r="J895" s="1" t="s">
        <v>24</v>
      </c>
      <c r="K895" s="1">
        <v>150.0</v>
      </c>
      <c r="L895" s="1">
        <v>119.0</v>
      </c>
      <c r="M895" s="1">
        <v>31.0</v>
      </c>
      <c r="N895" s="1">
        <v>31.0</v>
      </c>
      <c r="O895" s="1" t="s">
        <v>2446</v>
      </c>
      <c r="P895" s="3" t="str">
        <f>HYPERLINK("https://icf.clappia.com/app/SOM165486/submission/FMT40732051/ICF247370-SOM165486-62bd014annpa00000000/SIG-20250630_1542d8a8n.jpeg", "SIG-20250630_1542d8a8n.jpeg")</f>
        <v>SIG-20250630_1542d8a8n.jpeg</v>
      </c>
      <c r="Q895" s="3" t="str">
        <f>HYPERLINK("https://www.google.com/maps/place/9.2691047%2C-11.9649437", "9.2691047,-11.9649437")</f>
        <v>9.2691047,-11.9649437</v>
      </c>
    </row>
    <row r="896" ht="15.75" customHeight="1">
      <c r="A896" s="1" t="s">
        <v>2447</v>
      </c>
      <c r="B896" s="1" t="s">
        <v>18</v>
      </c>
      <c r="C896" s="1" t="s">
        <v>2413</v>
      </c>
      <c r="D896" s="1" t="s">
        <v>2413</v>
      </c>
      <c r="E896" s="2">
        <v>45839.0</v>
      </c>
      <c r="F896" s="1" t="s">
        <v>68</v>
      </c>
      <c r="G896" s="1" t="s">
        <v>672</v>
      </c>
      <c r="H896" s="1" t="s">
        <v>2405</v>
      </c>
      <c r="I896" s="1">
        <v>250.0</v>
      </c>
      <c r="J896" s="1" t="s">
        <v>24</v>
      </c>
      <c r="K896" s="1">
        <v>250.0</v>
      </c>
      <c r="L896" s="1">
        <v>211.0</v>
      </c>
      <c r="M896" s="1">
        <v>39.0</v>
      </c>
      <c r="N896" s="1">
        <v>34.0</v>
      </c>
      <c r="O896" s="1" t="s">
        <v>2406</v>
      </c>
      <c r="P896" s="3" t="str">
        <f>HYPERLINK("https://icf.clappia.com/app/SOM165486/submission/OCP23148948/ICF247370-SOM165486-645a6ifoc62o00000000/SIG-20250701_1232mc54d.jpeg", "SIG-20250701_1232mc54d.jpeg")</f>
        <v>SIG-20250701_1232mc54d.jpeg</v>
      </c>
      <c r="Q896" s="3" t="str">
        <f>HYPERLINK("https://www.google.com/maps/place/8.9464767%2C-11.898455", "8.9464767,-11.898455")</f>
        <v>8.9464767,-11.898455</v>
      </c>
    </row>
    <row r="897" ht="15.75" customHeight="1">
      <c r="A897" s="1" t="s">
        <v>2448</v>
      </c>
      <c r="B897" s="1" t="s">
        <v>18</v>
      </c>
      <c r="C897" s="1" t="s">
        <v>2449</v>
      </c>
      <c r="D897" s="1" t="s">
        <v>2449</v>
      </c>
      <c r="E897" s="2">
        <v>45839.0</v>
      </c>
      <c r="F897" s="1" t="s">
        <v>21</v>
      </c>
      <c r="G897" s="1" t="s">
        <v>77</v>
      </c>
      <c r="H897" s="1" t="s">
        <v>568</v>
      </c>
      <c r="I897" s="1">
        <v>90.0</v>
      </c>
      <c r="J897" s="1" t="s">
        <v>24</v>
      </c>
      <c r="K897" s="1">
        <v>90.0</v>
      </c>
      <c r="L897" s="1">
        <v>90.0</v>
      </c>
      <c r="M897" s="1" t="s">
        <v>24</v>
      </c>
      <c r="N897" s="1" t="s">
        <v>24</v>
      </c>
      <c r="O897" s="1" t="s">
        <v>569</v>
      </c>
      <c r="P897" s="3" t="str">
        <f>HYPERLINK("https://icf.clappia.com/app/SOM165486/submission/QTP11318039/ICF247370-SOM165486-5n51jnl1ni4m00000000/SIG-20250701_123110e2fi.jpeg", "SIG-20250701_123110e2fi.jpeg")</f>
        <v>SIG-20250701_123110e2fi.jpeg</v>
      </c>
      <c r="Q897" s="3" t="str">
        <f>HYPERLINK("https://www.google.com/maps/place/7.9726117%2C-11.7155833", "7.9726117,-11.7155833")</f>
        <v>7.9726117,-11.7155833</v>
      </c>
    </row>
    <row r="898" ht="15.75" customHeight="1">
      <c r="A898" s="1" t="s">
        <v>2450</v>
      </c>
      <c r="B898" s="1" t="s">
        <v>18</v>
      </c>
      <c r="C898" s="1" t="s">
        <v>2451</v>
      </c>
      <c r="D898" s="1" t="s">
        <v>2451</v>
      </c>
      <c r="E898" s="2">
        <v>45839.0</v>
      </c>
      <c r="F898" s="1" t="s">
        <v>21</v>
      </c>
      <c r="G898" s="1" t="s">
        <v>781</v>
      </c>
      <c r="H898" s="1" t="s">
        <v>1910</v>
      </c>
      <c r="I898" s="1">
        <v>163.0</v>
      </c>
      <c r="J898" s="1" t="s">
        <v>24</v>
      </c>
      <c r="K898" s="1">
        <v>163.0</v>
      </c>
      <c r="L898" s="1">
        <v>159.0</v>
      </c>
      <c r="M898" s="1">
        <v>4.0</v>
      </c>
      <c r="N898" s="1" t="s">
        <v>24</v>
      </c>
      <c r="O898" s="1" t="s">
        <v>2452</v>
      </c>
      <c r="P898" s="3" t="str">
        <f>HYPERLINK("https://icf.clappia.com/app/SOM165486/submission/RUP88236969/ICF247370-SOM165486-28olcdo2oocme0000000/SIG-20250701_12305lhlb.jpeg", "SIG-20250701_12305lhlb.jpeg")</f>
        <v>SIG-20250701_12305lhlb.jpeg</v>
      </c>
      <c r="Q898" s="3" t="str">
        <f>HYPERLINK("https://www.google.com/maps/place/7.9301983%2C-11.4391767", "7.9301983,-11.4391767")</f>
        <v>7.9301983,-11.4391767</v>
      </c>
    </row>
    <row r="899" ht="15.75" customHeight="1">
      <c r="A899" s="1" t="s">
        <v>2453</v>
      </c>
      <c r="B899" s="1" t="s">
        <v>18</v>
      </c>
      <c r="C899" s="1" t="s">
        <v>2454</v>
      </c>
      <c r="D899" s="1" t="s">
        <v>2454</v>
      </c>
      <c r="E899" s="2">
        <v>45839.0</v>
      </c>
      <c r="F899" s="1" t="s">
        <v>68</v>
      </c>
      <c r="G899" s="1" t="s">
        <v>88</v>
      </c>
      <c r="H899" s="1" t="s">
        <v>634</v>
      </c>
      <c r="I899" s="1">
        <v>200.0</v>
      </c>
      <c r="J899" s="1">
        <v>400.0</v>
      </c>
      <c r="K899" s="1">
        <v>600.0</v>
      </c>
      <c r="L899" s="1">
        <v>600.0</v>
      </c>
      <c r="M899" s="1" t="s">
        <v>24</v>
      </c>
      <c r="N899" s="1" t="s">
        <v>24</v>
      </c>
      <c r="O899" s="1" t="s">
        <v>1553</v>
      </c>
      <c r="P899" s="3" t="str">
        <f>HYPERLINK("https://icf.clappia.com/app/SOM165486/submission/HJT51415575/ICF247370-SOM165486-57omm5ii8a4400000000/SIG-20250701_12294dihk.jpeg", "SIG-20250701_12294dihk.jpeg")</f>
        <v>SIG-20250701_12294dihk.jpeg</v>
      </c>
      <c r="Q899" s="3" t="str">
        <f>HYPERLINK("https://www.google.com/maps/place/8.8946315%2C-12.0404169", "8.8946315,-12.0404169")</f>
        <v>8.8946315,-12.0404169</v>
      </c>
    </row>
    <row r="900" ht="15.75" customHeight="1">
      <c r="A900" s="1" t="s">
        <v>2455</v>
      </c>
      <c r="B900" s="1" t="s">
        <v>18</v>
      </c>
      <c r="C900" s="1" t="s">
        <v>2456</v>
      </c>
      <c r="D900" s="1" t="s">
        <v>2456</v>
      </c>
      <c r="E900" s="2">
        <v>45839.0</v>
      </c>
      <c r="F900" s="1" t="s">
        <v>21</v>
      </c>
      <c r="G900" s="1" t="s">
        <v>58</v>
      </c>
      <c r="H900" s="1" t="s">
        <v>147</v>
      </c>
      <c r="I900" s="1">
        <v>283.0</v>
      </c>
      <c r="J900" s="1" t="s">
        <v>24</v>
      </c>
      <c r="K900" s="1">
        <v>283.0</v>
      </c>
      <c r="L900" s="1">
        <v>74.0</v>
      </c>
      <c r="M900" s="1">
        <v>209.0</v>
      </c>
      <c r="N900" s="1">
        <v>209.0</v>
      </c>
      <c r="O900" s="1" t="s">
        <v>2457</v>
      </c>
      <c r="P900" s="3" t="str">
        <f>HYPERLINK("https://icf.clappia.com/app/SOM165486/submission/OID77338676/ICF247370-SOM165486-1oa71kma4484o0000000/SIG-20250701_1225n3bao.jpeg", "SIG-20250701_1225n3bao.jpeg")</f>
        <v>SIG-20250701_1225n3bao.jpeg</v>
      </c>
      <c r="Q900" s="3" t="str">
        <f>HYPERLINK("https://www.google.com/maps/place/7.8744471%2C-11.7767731", "7.8744471,-11.7767731")</f>
        <v>7.8744471,-11.7767731</v>
      </c>
    </row>
    <row r="901" ht="15.75" customHeight="1">
      <c r="A901" s="1" t="s">
        <v>2458</v>
      </c>
      <c r="B901" s="1" t="s">
        <v>18</v>
      </c>
      <c r="C901" s="1" t="s">
        <v>2456</v>
      </c>
      <c r="D901" s="1" t="s">
        <v>2456</v>
      </c>
      <c r="E901" s="2">
        <v>45839.0</v>
      </c>
      <c r="F901" s="1" t="s">
        <v>21</v>
      </c>
      <c r="G901" s="1" t="s">
        <v>95</v>
      </c>
      <c r="H901" s="1" t="s">
        <v>216</v>
      </c>
      <c r="I901" s="1">
        <v>165.0</v>
      </c>
      <c r="J901" s="1" t="s">
        <v>24</v>
      </c>
      <c r="K901" s="1">
        <v>165.0</v>
      </c>
      <c r="L901" s="1">
        <v>135.0</v>
      </c>
      <c r="M901" s="1">
        <v>30.0</v>
      </c>
      <c r="N901" s="1">
        <v>30.0</v>
      </c>
      <c r="O901" s="1" t="s">
        <v>226</v>
      </c>
      <c r="P901" s="3" t="str">
        <f>HYPERLINK("https://icf.clappia.com/app/SOM165486/submission/YEK41896799/ICF247370-SOM165486-4o0dbbj8ci7600000000/SIG-20250701_1224nb6ep.jpeg", "SIG-20250701_1224nb6ep.jpeg")</f>
        <v>SIG-20250701_1224nb6ep.jpeg</v>
      </c>
      <c r="Q901" s="3" t="str">
        <f>HYPERLINK("https://www.google.com/maps/place/7.9563333%2C-11.7606733", "7.9563333,-11.7606733")</f>
        <v>7.9563333,-11.7606733</v>
      </c>
    </row>
    <row r="902" ht="15.75" customHeight="1">
      <c r="A902" s="1" t="s">
        <v>2459</v>
      </c>
      <c r="B902" s="1" t="s">
        <v>18</v>
      </c>
      <c r="C902" s="1" t="s">
        <v>2460</v>
      </c>
      <c r="D902" s="1" t="s">
        <v>2460</v>
      </c>
      <c r="E902" s="2">
        <v>45839.0</v>
      </c>
      <c r="F902" s="1" t="s">
        <v>68</v>
      </c>
      <c r="G902" s="1" t="s">
        <v>672</v>
      </c>
      <c r="H902" s="1" t="s">
        <v>673</v>
      </c>
      <c r="I902" s="1">
        <v>150.0</v>
      </c>
      <c r="J902" s="1" t="s">
        <v>24</v>
      </c>
      <c r="K902" s="1">
        <v>150.0</v>
      </c>
      <c r="L902" s="1">
        <v>119.0</v>
      </c>
      <c r="M902" s="1">
        <v>31.0</v>
      </c>
      <c r="N902" s="1">
        <v>31.0</v>
      </c>
      <c r="O902" s="1" t="s">
        <v>2461</v>
      </c>
      <c r="P902" s="3" t="str">
        <f>HYPERLINK("https://icf.clappia.com/app/SOM165486/submission/SRC51163144/ICF247370-SOM165486-136clia8h37kk0000000/SIG-20250701_122219a5an.jpeg", "SIG-20250701_122219a5an.jpeg")</f>
        <v>SIG-20250701_122219a5an.jpeg</v>
      </c>
      <c r="Q902" s="3" t="str">
        <f>HYPERLINK("https://www.google.com/maps/place/8.9626046%2C-12.0318117", "8.9626046,-12.0318117")</f>
        <v>8.9626046,-12.0318117</v>
      </c>
    </row>
    <row r="903" ht="15.75" customHeight="1">
      <c r="A903" s="1" t="s">
        <v>2462</v>
      </c>
      <c r="B903" s="1" t="s">
        <v>18</v>
      </c>
      <c r="C903" s="1" t="s">
        <v>2463</v>
      </c>
      <c r="D903" s="1" t="s">
        <v>2463</v>
      </c>
      <c r="E903" s="2">
        <v>45839.0</v>
      </c>
      <c r="F903" s="1" t="s">
        <v>68</v>
      </c>
      <c r="G903" s="1" t="s">
        <v>672</v>
      </c>
      <c r="H903" s="1" t="s">
        <v>673</v>
      </c>
      <c r="I903" s="1">
        <v>350.0</v>
      </c>
      <c r="J903" s="1" t="s">
        <v>24</v>
      </c>
      <c r="K903" s="1">
        <v>350.0</v>
      </c>
      <c r="L903" s="1">
        <v>266.0</v>
      </c>
      <c r="M903" s="1">
        <v>84.0</v>
      </c>
      <c r="N903" s="1">
        <v>84.0</v>
      </c>
      <c r="O903" s="1" t="s">
        <v>2419</v>
      </c>
      <c r="P903" s="3" t="str">
        <f>HYPERLINK("https://icf.clappia.com/app/SOM165486/submission/BXY17765956/ICF247370-SOM165486-103i316153jp20000000/SIG-20250701_1222n7m70.jpeg", "SIG-20250701_1222n7m70.jpeg")</f>
        <v>SIG-20250701_1222n7m70.jpeg</v>
      </c>
      <c r="Q903" s="3" t="str">
        <f>HYPERLINK("https://www.google.com/maps/place/8.9505117%2C-11.9797199", "8.9505117,-11.9797199")</f>
        <v>8.9505117,-11.9797199</v>
      </c>
    </row>
    <row r="904" ht="15.75" customHeight="1">
      <c r="A904" s="1" t="s">
        <v>2464</v>
      </c>
      <c r="B904" s="1" t="s">
        <v>18</v>
      </c>
      <c r="C904" s="1" t="s">
        <v>1810</v>
      </c>
      <c r="D904" s="1" t="s">
        <v>1810</v>
      </c>
      <c r="E904" s="2">
        <v>45839.0</v>
      </c>
      <c r="F904" s="1" t="s">
        <v>68</v>
      </c>
      <c r="G904" s="1" t="s">
        <v>88</v>
      </c>
      <c r="H904" s="1" t="s">
        <v>881</v>
      </c>
      <c r="I904" s="1">
        <v>500.0</v>
      </c>
      <c r="J904" s="1" t="s">
        <v>24</v>
      </c>
      <c r="K904" s="1">
        <v>500.0</v>
      </c>
      <c r="L904" s="1">
        <v>488.0</v>
      </c>
      <c r="M904" s="1">
        <v>12.0</v>
      </c>
      <c r="N904" s="1">
        <v>12.0</v>
      </c>
      <c r="O904" s="1" t="s">
        <v>2465</v>
      </c>
      <c r="P904" s="3" t="str">
        <f>HYPERLINK("https://icf.clappia.com/app/SOM165486/submission/ETQ80607749/ICF247370-SOM165486-1nkhbhp677d040000000/SIG-20250701_1220dfmal.jpeg", "SIG-20250701_1220dfmal.jpeg")</f>
        <v>SIG-20250701_1220dfmal.jpeg</v>
      </c>
      <c r="Q904" s="3" t="str">
        <f>HYPERLINK("https://www.google.com/maps/place/8.8784291%2C-12.0523704", "8.8784291,-12.0523704")</f>
        <v>8.8784291,-12.0523704</v>
      </c>
    </row>
    <row r="905" ht="15.75" customHeight="1">
      <c r="A905" s="1" t="s">
        <v>2466</v>
      </c>
      <c r="B905" s="1" t="s">
        <v>18</v>
      </c>
      <c r="C905" s="1" t="s">
        <v>2467</v>
      </c>
      <c r="D905" s="1" t="s">
        <v>2467</v>
      </c>
      <c r="E905" s="2">
        <v>45839.0</v>
      </c>
      <c r="F905" s="1" t="s">
        <v>68</v>
      </c>
      <c r="G905" s="1" t="s">
        <v>597</v>
      </c>
      <c r="H905" s="1" t="s">
        <v>598</v>
      </c>
      <c r="I905" s="1">
        <v>50.0</v>
      </c>
      <c r="J905" s="1" t="s">
        <v>24</v>
      </c>
      <c r="K905" s="1">
        <v>50.0</v>
      </c>
      <c r="L905" s="1">
        <v>25.0</v>
      </c>
      <c r="M905" s="1">
        <v>25.0</v>
      </c>
      <c r="N905" s="1">
        <v>25.0</v>
      </c>
      <c r="O905" s="1" t="s">
        <v>2468</v>
      </c>
      <c r="P905" s="3" t="str">
        <f>HYPERLINK("https://icf.clappia.com/app/SOM165486/submission/WAE97086701/ICF247370-SOM165486-1elca5okbebi00000000/SIG-20250701_1217lk3i8.jpeg", "SIG-20250701_1217lk3i8.jpeg")</f>
        <v>SIG-20250701_1217lk3i8.jpeg</v>
      </c>
      <c r="Q905" s="3" t="str">
        <f>HYPERLINK("https://www.google.com/maps/place/8.6634519%2C-12.2133786", "8.6634519,-12.2133786")</f>
        <v>8.6634519,-12.2133786</v>
      </c>
    </row>
    <row r="906" ht="15.75" customHeight="1">
      <c r="A906" s="1" t="s">
        <v>2469</v>
      </c>
      <c r="B906" s="1" t="s">
        <v>18</v>
      </c>
      <c r="C906" s="1" t="s">
        <v>2467</v>
      </c>
      <c r="D906" s="1" t="s">
        <v>2467</v>
      </c>
      <c r="E906" s="2">
        <v>45839.0</v>
      </c>
      <c r="F906" s="1" t="s">
        <v>21</v>
      </c>
      <c r="G906" s="1" t="s">
        <v>77</v>
      </c>
      <c r="H906" s="1" t="s">
        <v>2470</v>
      </c>
      <c r="I906" s="1">
        <v>170.0</v>
      </c>
      <c r="J906" s="1" t="s">
        <v>24</v>
      </c>
      <c r="K906" s="1">
        <v>170.0</v>
      </c>
      <c r="L906" s="1">
        <v>140.0</v>
      </c>
      <c r="M906" s="1">
        <v>30.0</v>
      </c>
      <c r="N906" s="1">
        <v>30.0</v>
      </c>
      <c r="O906" s="1" t="s">
        <v>2471</v>
      </c>
      <c r="P906" s="3" t="str">
        <f>HYPERLINK("https://icf.clappia.com/app/SOM165486/submission/LFB14127458/ICF247370-SOM165486-5o9dp00e8c0000000000/SIG-20250701_122091j3.jpeg", "SIG-20250701_122091j3.jpeg")</f>
        <v>SIG-20250701_122091j3.jpeg</v>
      </c>
      <c r="Q906" s="3" t="str">
        <f>HYPERLINK("https://www.google.com/maps/place/7.937635%2C-11.74439", "7.937635,-11.74439")</f>
        <v>7.937635,-11.74439</v>
      </c>
    </row>
    <row r="907" ht="15.75" customHeight="1">
      <c r="A907" s="1" t="s">
        <v>2472</v>
      </c>
      <c r="B907" s="1" t="s">
        <v>18</v>
      </c>
      <c r="C907" s="1" t="s">
        <v>2473</v>
      </c>
      <c r="D907" s="1" t="s">
        <v>2473</v>
      </c>
      <c r="E907" s="2">
        <v>45839.0</v>
      </c>
      <c r="F907" s="1" t="s">
        <v>68</v>
      </c>
      <c r="G907" s="1" t="s">
        <v>88</v>
      </c>
      <c r="H907" s="1" t="s">
        <v>1314</v>
      </c>
      <c r="I907" s="1">
        <v>500.0</v>
      </c>
      <c r="J907" s="1" t="s">
        <v>24</v>
      </c>
      <c r="K907" s="1">
        <v>500.0</v>
      </c>
      <c r="L907" s="1">
        <v>458.0</v>
      </c>
      <c r="M907" s="1">
        <v>42.0</v>
      </c>
      <c r="N907" s="1">
        <v>42.0</v>
      </c>
      <c r="O907" s="1" t="s">
        <v>1725</v>
      </c>
      <c r="P907" s="3" t="str">
        <f>HYPERLINK("https://icf.clappia.com/app/SOM165486/submission/CZP85547363/ICF247370-SOM165486-g384oj0nb6b20000000/SIG-20250701_121712k27.jpeg", "SIG-20250701_121712k27.jpeg")</f>
        <v>SIG-20250701_121712k27.jpeg</v>
      </c>
      <c r="Q907" s="3" t="str">
        <f>HYPERLINK("https://www.google.com/maps/place/8.8573917%2C-12.02484", "8.8573917,-12.02484")</f>
        <v>8.8573917,-12.02484</v>
      </c>
    </row>
    <row r="908" ht="15.75" customHeight="1">
      <c r="A908" s="1" t="s">
        <v>2474</v>
      </c>
      <c r="B908" s="1" t="s">
        <v>18</v>
      </c>
      <c r="C908" s="1" t="s">
        <v>2475</v>
      </c>
      <c r="D908" s="1" t="s">
        <v>2475</v>
      </c>
      <c r="E908" s="2">
        <v>45839.0</v>
      </c>
      <c r="F908" s="1" t="s">
        <v>21</v>
      </c>
      <c r="G908" s="1" t="s">
        <v>95</v>
      </c>
      <c r="H908" s="1" t="s">
        <v>697</v>
      </c>
      <c r="I908" s="1">
        <v>145.0</v>
      </c>
      <c r="J908" s="1" t="s">
        <v>24</v>
      </c>
      <c r="K908" s="1">
        <v>145.0</v>
      </c>
      <c r="L908" s="1">
        <v>101.0</v>
      </c>
      <c r="M908" s="1">
        <v>44.0</v>
      </c>
      <c r="N908" s="1">
        <v>44.0</v>
      </c>
      <c r="O908" s="1" t="s">
        <v>2476</v>
      </c>
      <c r="P908" s="3" t="str">
        <f>HYPERLINK("https://icf.clappia.com/app/SOM165486/submission/RFP98004840/ICF247370-SOM165486-7m9opcm02ph2000000/SIG-20250701_1213185mbn.jpeg", "SIG-20250701_1213185mbn.jpeg")</f>
        <v>SIG-20250701_1213185mbn.jpeg</v>
      </c>
      <c r="Q908" s="3" t="str">
        <f>HYPERLINK("https://www.google.com/maps/place/7.9441167%2C-11.7467067", "7.9441167,-11.7467067")</f>
        <v>7.9441167,-11.7467067</v>
      </c>
    </row>
    <row r="909" ht="15.75" customHeight="1">
      <c r="A909" s="1" t="s">
        <v>2477</v>
      </c>
      <c r="B909" s="1" t="s">
        <v>18</v>
      </c>
      <c r="C909" s="1" t="s">
        <v>2478</v>
      </c>
      <c r="D909" s="1" t="s">
        <v>2478</v>
      </c>
      <c r="E909" s="2">
        <v>45838.0</v>
      </c>
      <c r="F909" s="1" t="s">
        <v>21</v>
      </c>
      <c r="G909" s="1" t="s">
        <v>164</v>
      </c>
      <c r="H909" s="1" t="s">
        <v>887</v>
      </c>
      <c r="I909" s="1">
        <v>251.0</v>
      </c>
      <c r="J909" s="1" t="s">
        <v>24</v>
      </c>
      <c r="K909" s="1">
        <v>251.0</v>
      </c>
      <c r="L909" s="1">
        <v>175.0</v>
      </c>
      <c r="M909" s="1">
        <v>76.0</v>
      </c>
      <c r="N909" s="1">
        <v>76.0</v>
      </c>
      <c r="O909" s="1" t="s">
        <v>2479</v>
      </c>
      <c r="P909" s="3" t="str">
        <f>HYPERLINK("https://icf.clappia.com/app/SOM165486/submission/WRQ58884052/ICF247370-SOM165486-2kb8m5e741aa00000000/SIG-20250701_12121501h6.jpeg", "SIG-20250701_12121501h6.jpeg")</f>
        <v>SIG-20250701_12121501h6.jpeg</v>
      </c>
      <c r="Q909" s="3" t="str">
        <f>HYPERLINK("https://www.google.com/maps/place/7.8925244%2C-11.9043221", "7.8925244,-11.9043221")</f>
        <v>7.8925244,-11.9043221</v>
      </c>
    </row>
    <row r="910" ht="15.75" customHeight="1">
      <c r="A910" s="1" t="s">
        <v>2480</v>
      </c>
      <c r="B910" s="1" t="s">
        <v>18</v>
      </c>
      <c r="C910" s="1" t="s">
        <v>2478</v>
      </c>
      <c r="D910" s="1" t="s">
        <v>2478</v>
      </c>
      <c r="E910" s="2">
        <v>45839.0</v>
      </c>
      <c r="F910" s="1" t="s">
        <v>21</v>
      </c>
      <c r="G910" s="1" t="s">
        <v>95</v>
      </c>
      <c r="H910" s="1" t="s">
        <v>697</v>
      </c>
      <c r="I910" s="1">
        <v>147.0</v>
      </c>
      <c r="J910" s="1" t="s">
        <v>24</v>
      </c>
      <c r="K910" s="1">
        <v>147.0</v>
      </c>
      <c r="L910" s="1">
        <v>113.0</v>
      </c>
      <c r="M910" s="1">
        <v>34.0</v>
      </c>
      <c r="N910" s="1">
        <v>34.0</v>
      </c>
      <c r="O910" s="1" t="s">
        <v>1803</v>
      </c>
      <c r="P910" s="3" t="str">
        <f>HYPERLINK("https://icf.clappia.com/app/SOM165486/submission/VUD22373353/ICF247370-SOM165486-442khk7m933m00000000/SIG-20250701_1210113jei.jpeg", "SIG-20250701_1210113jei.jpeg")</f>
        <v>SIG-20250701_1210113jei.jpeg</v>
      </c>
      <c r="Q910" s="3" t="str">
        <f>HYPERLINK("https://www.google.com/maps/place/7.9447309%2C-11.7497155", "7.9447309,-11.7497155")</f>
        <v>7.9447309,-11.7497155</v>
      </c>
    </row>
    <row r="911" ht="15.75" customHeight="1">
      <c r="A911" s="1" t="s">
        <v>2481</v>
      </c>
      <c r="B911" s="1" t="s">
        <v>18</v>
      </c>
      <c r="C911" s="1" t="s">
        <v>2482</v>
      </c>
      <c r="D911" s="1" t="s">
        <v>2482</v>
      </c>
      <c r="E911" s="2">
        <v>45839.0</v>
      </c>
      <c r="F911" s="1" t="s">
        <v>68</v>
      </c>
      <c r="G911" s="1" t="s">
        <v>83</v>
      </c>
      <c r="H911" s="1" t="s">
        <v>653</v>
      </c>
      <c r="I911" s="1">
        <v>342.0</v>
      </c>
      <c r="J911" s="1" t="s">
        <v>24</v>
      </c>
      <c r="K911" s="1">
        <v>342.0</v>
      </c>
      <c r="L911" s="1">
        <v>242.0</v>
      </c>
      <c r="M911" s="1">
        <v>100.0</v>
      </c>
      <c r="N911" s="1">
        <v>100.0</v>
      </c>
      <c r="O911" s="1" t="s">
        <v>654</v>
      </c>
      <c r="P911" s="3" t="str">
        <f>HYPERLINK("https://icf.clappia.com/app/SOM165486/submission/QVR12275388/ICF247370-SOM165486-3caeeam30iag0000000/SIG-20250701_1110gh8be.jpeg", "SIG-20250701_1110gh8be.jpeg")</f>
        <v>SIG-20250701_1110gh8be.jpeg</v>
      </c>
      <c r="Q911" s="3" t="str">
        <f>HYPERLINK("https://www.google.com/maps/place/8.8609983%2C-12.05235", "8.8609983,-12.05235")</f>
        <v>8.8609983,-12.05235</v>
      </c>
    </row>
    <row r="912" ht="15.75" customHeight="1">
      <c r="A912" s="1" t="s">
        <v>2483</v>
      </c>
      <c r="B912" s="1" t="s">
        <v>18</v>
      </c>
      <c r="C912" s="1" t="s">
        <v>2484</v>
      </c>
      <c r="D912" s="1" t="s">
        <v>2484</v>
      </c>
      <c r="E912" s="2">
        <v>45839.0</v>
      </c>
      <c r="F912" s="1" t="s">
        <v>21</v>
      </c>
      <c r="G912" s="1" t="s">
        <v>77</v>
      </c>
      <c r="H912" s="1" t="s">
        <v>120</v>
      </c>
      <c r="I912" s="1">
        <v>95.0</v>
      </c>
      <c r="J912" s="1" t="s">
        <v>24</v>
      </c>
      <c r="K912" s="1">
        <v>95.0</v>
      </c>
      <c r="L912" s="1">
        <v>95.0</v>
      </c>
      <c r="M912" s="1" t="s">
        <v>24</v>
      </c>
      <c r="N912" s="1" t="s">
        <v>24</v>
      </c>
      <c r="O912" s="1" t="s">
        <v>2485</v>
      </c>
      <c r="P912" s="3" t="str">
        <f>HYPERLINK("https://icf.clappia.com/app/SOM165486/submission/NOK95902118/ICF247370-SOM165486-67eihgjihebm00000000/SIG-20250701_120817ao50.jpeg", "SIG-20250701_120817ao50.jpeg")</f>
        <v>SIG-20250701_120817ao50.jpeg</v>
      </c>
      <c r="Q912" s="3" t="str">
        <f>HYPERLINK("https://www.google.com/maps/place/7.94621%2C-11.7234", "7.94621,-11.7234")</f>
        <v>7.94621,-11.7234</v>
      </c>
    </row>
    <row r="913" ht="15.75" customHeight="1">
      <c r="A913" s="1" t="s">
        <v>2486</v>
      </c>
      <c r="B913" s="1" t="s">
        <v>18</v>
      </c>
      <c r="C913" s="1" t="s">
        <v>2487</v>
      </c>
      <c r="D913" s="1" t="s">
        <v>2487</v>
      </c>
      <c r="E913" s="2">
        <v>45839.0</v>
      </c>
      <c r="F913" s="1" t="s">
        <v>68</v>
      </c>
      <c r="G913" s="1" t="s">
        <v>69</v>
      </c>
      <c r="H913" s="1" t="s">
        <v>70</v>
      </c>
      <c r="I913" s="1">
        <v>150.0</v>
      </c>
      <c r="J913" s="1">
        <v>24.0</v>
      </c>
      <c r="K913" s="1">
        <v>174.0</v>
      </c>
      <c r="L913" s="1">
        <v>174.0</v>
      </c>
      <c r="M913" s="1" t="s">
        <v>24</v>
      </c>
      <c r="N913" s="1" t="s">
        <v>24</v>
      </c>
      <c r="O913" s="1" t="s">
        <v>2488</v>
      </c>
      <c r="P913" s="3" t="str">
        <f>HYPERLINK("https://icf.clappia.com/app/SOM165486/submission/VDQ20561534/ICF247370-SOM165486-54p94ln70gkg00000000/SIG-20250701_12052hchi.jpeg", "SIG-20250701_12052hchi.jpeg")</f>
        <v>SIG-20250701_12052hchi.jpeg</v>
      </c>
      <c r="Q913" s="3" t="str">
        <f>HYPERLINK("https://www.google.com/maps/place/8.8891%2C-12.0692467", "8.8891,-12.0692467")</f>
        <v>8.8891,-12.0692467</v>
      </c>
    </row>
    <row r="914" ht="15.75" customHeight="1">
      <c r="A914" s="1" t="s">
        <v>2489</v>
      </c>
      <c r="B914" s="1" t="s">
        <v>18</v>
      </c>
      <c r="C914" s="1" t="s">
        <v>2487</v>
      </c>
      <c r="D914" s="1" t="s">
        <v>2487</v>
      </c>
      <c r="E914" s="2">
        <v>45839.0</v>
      </c>
      <c r="F914" s="1" t="s">
        <v>68</v>
      </c>
      <c r="G914" s="1" t="s">
        <v>340</v>
      </c>
      <c r="H914" s="1" t="s">
        <v>742</v>
      </c>
      <c r="I914" s="1">
        <v>100.0</v>
      </c>
      <c r="J914" s="1" t="s">
        <v>24</v>
      </c>
      <c r="K914" s="1">
        <v>100.0</v>
      </c>
      <c r="L914" s="1">
        <v>55.0</v>
      </c>
      <c r="M914" s="1">
        <v>45.0</v>
      </c>
      <c r="N914" s="1">
        <v>45.0</v>
      </c>
      <c r="O914" s="1" t="s">
        <v>1217</v>
      </c>
      <c r="P914" s="3" t="str">
        <f>HYPERLINK("https://icf.clappia.com/app/SOM165486/submission/NQS17691717/ICF247370-SOM165486-4aakjj0fglmo00000000/SIG-20250701_12043h6d1.jpeg", "SIG-20250701_12043h6d1.jpeg")</f>
        <v>SIG-20250701_12043h6d1.jpeg</v>
      </c>
      <c r="Q914" s="3" t="str">
        <f>HYPERLINK("https://www.google.com/maps/place/9.20167%2C-11.9678333", "9.20167,-11.9678333")</f>
        <v>9.20167,-11.9678333</v>
      </c>
    </row>
    <row r="915" ht="15.75" customHeight="1">
      <c r="A915" s="1" t="s">
        <v>2490</v>
      </c>
      <c r="B915" s="1" t="s">
        <v>18</v>
      </c>
      <c r="C915" s="1" t="s">
        <v>2491</v>
      </c>
      <c r="D915" s="1" t="s">
        <v>2491</v>
      </c>
      <c r="E915" s="2">
        <v>45839.0</v>
      </c>
      <c r="F915" s="1" t="s">
        <v>21</v>
      </c>
      <c r="G915" s="1" t="s">
        <v>77</v>
      </c>
      <c r="H915" s="1" t="s">
        <v>120</v>
      </c>
      <c r="I915" s="1">
        <v>65.0</v>
      </c>
      <c r="J915" s="1" t="s">
        <v>24</v>
      </c>
      <c r="K915" s="1">
        <v>65.0</v>
      </c>
      <c r="L915" s="1">
        <v>65.0</v>
      </c>
      <c r="M915" s="1" t="s">
        <v>24</v>
      </c>
      <c r="N915" s="1" t="s">
        <v>24</v>
      </c>
      <c r="O915" s="1" t="s">
        <v>1318</v>
      </c>
      <c r="P915" s="3" t="str">
        <f>HYPERLINK("https://icf.clappia.com/app/SOM165486/submission/HXL96479026/ICF247370-SOM165486-3gmam38lkbb400000000/SIG-20250701_12042cfjb.jpeg", "SIG-20250701_12042cfjb.jpeg")</f>
        <v>SIG-20250701_12042cfjb.jpeg</v>
      </c>
      <c r="Q915" s="3" t="str">
        <f>HYPERLINK("https://www.google.com/maps/place/7.9438703%2C-11.7162533", "7.9438703,-11.7162533")</f>
        <v>7.9438703,-11.7162533</v>
      </c>
    </row>
    <row r="916" ht="15.75" customHeight="1">
      <c r="A916" s="1" t="s">
        <v>2492</v>
      </c>
      <c r="B916" s="1" t="s">
        <v>18</v>
      </c>
      <c r="C916" s="1" t="s">
        <v>2491</v>
      </c>
      <c r="D916" s="1" t="s">
        <v>2491</v>
      </c>
      <c r="E916" s="2">
        <v>45839.0</v>
      </c>
      <c r="F916" s="1" t="s">
        <v>21</v>
      </c>
      <c r="G916" s="1" t="s">
        <v>164</v>
      </c>
      <c r="H916" s="1" t="s">
        <v>1058</v>
      </c>
      <c r="I916" s="1">
        <v>22.0</v>
      </c>
      <c r="J916" s="1" t="s">
        <v>24</v>
      </c>
      <c r="K916" s="1">
        <v>22.0</v>
      </c>
      <c r="L916" s="1">
        <v>22.0</v>
      </c>
      <c r="M916" s="1" t="s">
        <v>24</v>
      </c>
      <c r="N916" s="1" t="s">
        <v>24</v>
      </c>
      <c r="O916" s="1" t="s">
        <v>1888</v>
      </c>
      <c r="P916" s="3" t="str">
        <f>HYPERLINK("https://icf.clappia.com/app/SOM165486/submission/RIA17759885/ICF247370-SOM165486-3cc3nk4lp0a000000000/SIG-20250701_1203hjcfk.jpeg", "SIG-20250701_1203hjcfk.jpeg")</f>
        <v>SIG-20250701_1203hjcfk.jpeg</v>
      </c>
      <c r="Q916" s="3" t="str">
        <f>HYPERLINK("https://www.google.com/maps/place/7.7737012%2C-12.0109677", "7.7737012,-12.0109677")</f>
        <v>7.7737012,-12.0109677</v>
      </c>
    </row>
    <row r="917" ht="15.75" customHeight="1">
      <c r="A917" s="1" t="s">
        <v>2493</v>
      </c>
      <c r="B917" s="1" t="s">
        <v>18</v>
      </c>
      <c r="C917" s="1" t="s">
        <v>2494</v>
      </c>
      <c r="D917" s="1" t="s">
        <v>2494</v>
      </c>
      <c r="E917" s="2">
        <v>45839.0</v>
      </c>
      <c r="F917" s="1" t="s">
        <v>21</v>
      </c>
      <c r="G917" s="1" t="s">
        <v>35</v>
      </c>
      <c r="H917" s="1" t="s">
        <v>2495</v>
      </c>
      <c r="I917" s="1">
        <v>215.0</v>
      </c>
      <c r="J917" s="1" t="s">
        <v>24</v>
      </c>
      <c r="K917" s="1">
        <v>215.0</v>
      </c>
      <c r="L917" s="1">
        <v>215.0</v>
      </c>
      <c r="M917" s="1" t="s">
        <v>24</v>
      </c>
      <c r="N917" s="1" t="s">
        <v>24</v>
      </c>
      <c r="O917" s="1" t="s">
        <v>2496</v>
      </c>
      <c r="P917" s="3" t="str">
        <f>HYPERLINK("https://icf.clappia.com/app/SOM165486/submission/DJI63175311/ICF247370-SOM165486-dekb9oc65jc40000000/SIG-20250701_115311m57a.jpeg", "SIG-20250701_115311m57a.jpeg")</f>
        <v>SIG-20250701_115311m57a.jpeg</v>
      </c>
      <c r="Q917" s="3" t="str">
        <f>HYPERLINK("https://www.google.com/maps/place/8.21266%2C-11.6610133", "8.21266,-11.6610133")</f>
        <v>8.21266,-11.6610133</v>
      </c>
    </row>
    <row r="918" ht="15.75" customHeight="1">
      <c r="A918" s="1" t="s">
        <v>2497</v>
      </c>
      <c r="B918" s="1" t="s">
        <v>18</v>
      </c>
      <c r="C918" s="1" t="s">
        <v>2498</v>
      </c>
      <c r="D918" s="1" t="s">
        <v>2498</v>
      </c>
      <c r="E918" s="2">
        <v>45839.0</v>
      </c>
      <c r="F918" s="1" t="s">
        <v>21</v>
      </c>
      <c r="G918" s="1" t="s">
        <v>35</v>
      </c>
      <c r="H918" s="1" t="s">
        <v>2495</v>
      </c>
      <c r="I918" s="1">
        <v>215.0</v>
      </c>
      <c r="J918" s="1" t="s">
        <v>24</v>
      </c>
      <c r="K918" s="1">
        <v>215.0</v>
      </c>
      <c r="L918" s="1">
        <v>215.0</v>
      </c>
      <c r="M918" s="1" t="s">
        <v>24</v>
      </c>
      <c r="N918" s="1" t="s">
        <v>24</v>
      </c>
      <c r="O918" s="1" t="s">
        <v>2499</v>
      </c>
      <c r="P918" s="3" t="str">
        <f>HYPERLINK("https://icf.clappia.com/app/SOM165486/submission/KKI31763712/ICF247370-SOM165486-48m4d7ca60ce00000000/SIG-20250701_11531mln6.jpeg", "SIG-20250701_11531mln6.jpeg")</f>
        <v>SIG-20250701_11531mln6.jpeg</v>
      </c>
      <c r="Q918" s="3" t="str">
        <f>HYPERLINK("https://www.google.com/maps/place/8.2125517%2C-11.6611017", "8.2125517,-11.6611017")</f>
        <v>8.2125517,-11.6611017</v>
      </c>
    </row>
    <row r="919" ht="15.75" customHeight="1">
      <c r="A919" s="1" t="s">
        <v>2500</v>
      </c>
      <c r="B919" s="1" t="s">
        <v>18</v>
      </c>
      <c r="C919" s="1" t="s">
        <v>2501</v>
      </c>
      <c r="D919" s="1" t="s">
        <v>2501</v>
      </c>
      <c r="E919" s="2">
        <v>45839.0</v>
      </c>
      <c r="F919" s="1" t="s">
        <v>68</v>
      </c>
      <c r="G919" s="1" t="s">
        <v>286</v>
      </c>
      <c r="H919" s="1" t="s">
        <v>1051</v>
      </c>
      <c r="I919" s="1">
        <v>100.0</v>
      </c>
      <c r="J919" s="1" t="s">
        <v>24</v>
      </c>
      <c r="K919" s="1">
        <v>100.0</v>
      </c>
      <c r="L919" s="1">
        <v>100.0</v>
      </c>
      <c r="M919" s="1" t="s">
        <v>24</v>
      </c>
      <c r="N919" s="1" t="s">
        <v>24</v>
      </c>
      <c r="O919" s="1" t="s">
        <v>1052</v>
      </c>
      <c r="P919" s="3" t="str">
        <f>HYPERLINK("https://icf.clappia.com/app/SOM165486/submission/WWT08750747/ICF247370-SOM165486-55jekcd0p9520000000/SIG-20250701_1151bl4m2.jpeg", "SIG-20250701_1151bl4m2.jpeg")</f>
        <v>SIG-20250701_1151bl4m2.jpeg</v>
      </c>
      <c r="Q919" s="3" t="str">
        <f>HYPERLINK("https://www.google.com/maps/place/8.9703239%2C-12.222209", "8.9703239,-12.222209")</f>
        <v>8.9703239,-12.222209</v>
      </c>
    </row>
    <row r="920" ht="15.75" customHeight="1">
      <c r="A920" s="1" t="s">
        <v>2502</v>
      </c>
      <c r="B920" s="1" t="s">
        <v>18</v>
      </c>
      <c r="C920" s="1" t="s">
        <v>2501</v>
      </c>
      <c r="D920" s="1" t="s">
        <v>2501</v>
      </c>
      <c r="E920" s="2">
        <v>45838.0</v>
      </c>
      <c r="F920" s="1" t="s">
        <v>21</v>
      </c>
      <c r="G920" s="1" t="s">
        <v>331</v>
      </c>
      <c r="H920" s="1" t="s">
        <v>2337</v>
      </c>
      <c r="I920" s="1">
        <v>171.0</v>
      </c>
      <c r="J920" s="1" t="s">
        <v>24</v>
      </c>
      <c r="K920" s="1">
        <v>171.0</v>
      </c>
      <c r="L920" s="1">
        <v>171.0</v>
      </c>
      <c r="M920" s="1" t="s">
        <v>24</v>
      </c>
      <c r="N920" s="1" t="s">
        <v>24</v>
      </c>
      <c r="O920" s="1" t="s">
        <v>2503</v>
      </c>
      <c r="P920" s="3" t="str">
        <f>HYPERLINK("https://icf.clappia.com/app/SOM165486/submission/GDV67535448/ICF247370-SOM165486-30obc1g1iinc0000000/SIG-20250701_11521dige.jpeg", "SIG-20250701_11521dige.jpeg")</f>
        <v>SIG-20250701_11521dige.jpeg</v>
      </c>
      <c r="Q920" s="3" t="str">
        <f>HYPERLINK("https://www.google.com/maps/place/7.7837017%2C-11.4272817", "7.7837017,-11.4272817")</f>
        <v>7.7837017,-11.4272817</v>
      </c>
    </row>
    <row r="921" ht="15.75" customHeight="1">
      <c r="A921" s="1" t="s">
        <v>2504</v>
      </c>
      <c r="B921" s="1" t="s">
        <v>18</v>
      </c>
      <c r="C921" s="1" t="s">
        <v>2505</v>
      </c>
      <c r="D921" s="1" t="s">
        <v>2505</v>
      </c>
      <c r="E921" s="2">
        <v>45838.0</v>
      </c>
      <c r="F921" s="1" t="s">
        <v>21</v>
      </c>
      <c r="G921" s="1" t="s">
        <v>35</v>
      </c>
      <c r="H921" s="1" t="s">
        <v>51</v>
      </c>
      <c r="I921" s="1">
        <v>200.0</v>
      </c>
      <c r="J921" s="1" t="s">
        <v>24</v>
      </c>
      <c r="K921" s="1">
        <v>200.0</v>
      </c>
      <c r="L921" s="1">
        <v>189.0</v>
      </c>
      <c r="M921" s="1">
        <v>11.0</v>
      </c>
      <c r="N921" s="1">
        <v>11.0</v>
      </c>
      <c r="O921" s="1" t="s">
        <v>1557</v>
      </c>
      <c r="P921" s="3" t="str">
        <f>HYPERLINK("https://icf.clappia.com/app/SOM165486/submission/WHE09666714/ICF247370-SOM165486-5kc0bfcb7g8600000000/SIG-20250701_1152g5jjc.jpeg", "SIG-20250701_1152g5jjc.jpeg")</f>
        <v>SIG-20250701_1152g5jjc.jpeg</v>
      </c>
      <c r="Q921" s="3" t="str">
        <f>HYPERLINK("https://www.google.com/maps/place/8.2945067%2C-11.7262667", "8.2945067,-11.7262667")</f>
        <v>8.2945067,-11.7262667</v>
      </c>
    </row>
    <row r="922" ht="15.75" customHeight="1">
      <c r="A922" s="1" t="s">
        <v>2506</v>
      </c>
      <c r="B922" s="1" t="s">
        <v>18</v>
      </c>
      <c r="C922" s="1" t="s">
        <v>2507</v>
      </c>
      <c r="D922" s="1" t="s">
        <v>2507</v>
      </c>
      <c r="E922" s="2">
        <v>45839.0</v>
      </c>
      <c r="F922" s="1" t="s">
        <v>21</v>
      </c>
      <c r="G922" s="1" t="s">
        <v>331</v>
      </c>
      <c r="H922" s="1" t="s">
        <v>2337</v>
      </c>
      <c r="I922" s="1">
        <v>356.0</v>
      </c>
      <c r="J922" s="1" t="s">
        <v>24</v>
      </c>
      <c r="K922" s="1">
        <v>356.0</v>
      </c>
      <c r="L922" s="1">
        <v>356.0</v>
      </c>
      <c r="M922" s="1" t="s">
        <v>24</v>
      </c>
      <c r="N922" s="1" t="s">
        <v>24</v>
      </c>
      <c r="O922" s="1" t="s">
        <v>2508</v>
      </c>
      <c r="P922" s="3" t="str">
        <f>HYPERLINK("https://icf.clappia.com/app/SOM165486/submission/BIZ67712227/ICF247370-SOM165486-2kdjg0odmpog00000000/SIG-20250701_11509o1o5.jpeg", "SIG-20250701_11509o1o5.jpeg")</f>
        <v>SIG-20250701_11509o1o5.jpeg</v>
      </c>
      <c r="Q922" s="3" t="str">
        <f>HYPERLINK("https://www.google.com/maps/place/7.7837133%2C-11.4273567", "7.7837133,-11.4273567")</f>
        <v>7.7837133,-11.4273567</v>
      </c>
    </row>
    <row r="923" ht="15.75" customHeight="1">
      <c r="A923" s="1" t="s">
        <v>2509</v>
      </c>
      <c r="B923" s="1" t="s">
        <v>18</v>
      </c>
      <c r="C923" s="1" t="s">
        <v>2510</v>
      </c>
      <c r="D923" s="1" t="s">
        <v>2510</v>
      </c>
      <c r="E923" s="2">
        <v>45839.0</v>
      </c>
      <c r="F923" s="1" t="s">
        <v>68</v>
      </c>
      <c r="G923" s="1" t="s">
        <v>88</v>
      </c>
      <c r="H923" s="1" t="s">
        <v>1314</v>
      </c>
      <c r="I923" s="1">
        <v>250.0</v>
      </c>
      <c r="J923" s="1" t="s">
        <v>24</v>
      </c>
      <c r="K923" s="1">
        <v>250.0</v>
      </c>
      <c r="L923" s="1">
        <v>210.0</v>
      </c>
      <c r="M923" s="1">
        <v>40.0</v>
      </c>
      <c r="N923" s="1">
        <v>40.0</v>
      </c>
      <c r="O923" s="1" t="s">
        <v>2511</v>
      </c>
      <c r="P923" s="3" t="str">
        <f>HYPERLINK("https://icf.clappia.com/app/SOM165486/submission/GWE51832597/ICF247370-SOM165486-59kpgi207i0400000000/SIG-20250701_11491216o7.jpeg", "SIG-20250701_11491216o7.jpeg")</f>
        <v>SIG-20250701_11491216o7.jpeg</v>
      </c>
      <c r="Q923" s="3" t="str">
        <f>HYPERLINK("https://www.google.com/maps/place/8.880438%2C-12.0353462", "8.880438,-12.0353462")</f>
        <v>8.880438,-12.0353462</v>
      </c>
    </row>
    <row r="924" ht="15.75" customHeight="1">
      <c r="A924" s="1" t="s">
        <v>2512</v>
      </c>
      <c r="B924" s="1" t="s">
        <v>18</v>
      </c>
      <c r="C924" s="1" t="s">
        <v>2510</v>
      </c>
      <c r="D924" s="1" t="s">
        <v>2510</v>
      </c>
      <c r="E924" s="2">
        <v>45839.0</v>
      </c>
      <c r="F924" s="1" t="s">
        <v>21</v>
      </c>
      <c r="G924" s="1" t="s">
        <v>35</v>
      </c>
      <c r="H924" s="1" t="s">
        <v>51</v>
      </c>
      <c r="I924" s="1">
        <v>151.0</v>
      </c>
      <c r="J924" s="1" t="s">
        <v>24</v>
      </c>
      <c r="K924" s="1">
        <v>151.0</v>
      </c>
      <c r="L924" s="1">
        <v>94.0</v>
      </c>
      <c r="M924" s="1">
        <v>57.0</v>
      </c>
      <c r="N924" s="1">
        <v>57.0</v>
      </c>
      <c r="O924" s="1" t="s">
        <v>1557</v>
      </c>
      <c r="P924" s="3" t="str">
        <f>HYPERLINK("https://icf.clappia.com/app/SOM165486/submission/FIC38642902/ICF247370-SOM165486-1602d1ng51gcg0000000/SIG-20250701_1145mj6b4.jpeg", "SIG-20250701_1145mj6b4.jpeg")</f>
        <v>SIG-20250701_1145mj6b4.jpeg</v>
      </c>
      <c r="Q924" s="3" t="str">
        <f>HYPERLINK("https://www.google.com/maps/place/8.2947%2C-11.7250883", "8.2947,-11.7250883")</f>
        <v>8.2947,-11.7250883</v>
      </c>
    </row>
    <row r="925" ht="15.75" customHeight="1">
      <c r="A925" s="1" t="s">
        <v>2513</v>
      </c>
      <c r="B925" s="1" t="s">
        <v>283</v>
      </c>
      <c r="C925" s="1" t="s">
        <v>2514</v>
      </c>
      <c r="D925" s="1" t="s">
        <v>2514</v>
      </c>
      <c r="E925" s="2">
        <v>45839.0</v>
      </c>
      <c r="F925" s="1" t="s">
        <v>68</v>
      </c>
      <c r="G925" s="1" t="s">
        <v>592</v>
      </c>
      <c r="H925" s="1" t="s">
        <v>665</v>
      </c>
      <c r="I925" s="1">
        <v>300.0</v>
      </c>
      <c r="J925" s="1" t="s">
        <v>24</v>
      </c>
      <c r="K925" s="1">
        <v>300.0</v>
      </c>
      <c r="L925" s="1">
        <v>263.0</v>
      </c>
      <c r="M925" s="1">
        <v>37.0</v>
      </c>
      <c r="N925" s="1">
        <v>37.0</v>
      </c>
      <c r="O925" s="1" t="s">
        <v>1751</v>
      </c>
      <c r="P925" s="3" t="str">
        <f>HYPERLINK("https://icf.clappia.com/app/SOM165486/submission/JIH28302905/ICF247370-SOM165486-13gj4p82pg4g00000000/SIG-20250701_1145mfnli.jpeg", "SIG-20250701_1145mfnli.jpeg")</f>
        <v>SIG-20250701_1145mfnli.jpeg</v>
      </c>
      <c r="Q925" s="3" t="str">
        <f>HYPERLINK("https://www.google.com/maps/place/8.9031583%2C-12.059885", "8.9031583,-12.059885")</f>
        <v>8.9031583,-12.059885</v>
      </c>
    </row>
    <row r="926" ht="15.75" customHeight="1">
      <c r="A926" s="1" t="s">
        <v>2515</v>
      </c>
      <c r="B926" s="1" t="s">
        <v>18</v>
      </c>
      <c r="C926" s="1" t="s">
        <v>2514</v>
      </c>
      <c r="D926" s="1" t="s">
        <v>2514</v>
      </c>
      <c r="E926" s="2">
        <v>45838.0</v>
      </c>
      <c r="F926" s="1" t="s">
        <v>68</v>
      </c>
      <c r="G926" s="1" t="s">
        <v>88</v>
      </c>
      <c r="H926" s="1" t="s">
        <v>634</v>
      </c>
      <c r="I926" s="1">
        <v>250.0</v>
      </c>
      <c r="J926" s="1">
        <v>300.0</v>
      </c>
      <c r="K926" s="1">
        <v>550.0</v>
      </c>
      <c r="L926" s="1">
        <v>550.0</v>
      </c>
      <c r="M926" s="1" t="s">
        <v>24</v>
      </c>
      <c r="N926" s="1" t="s">
        <v>24</v>
      </c>
      <c r="O926" s="1" t="s">
        <v>2516</v>
      </c>
      <c r="P926" s="3" t="str">
        <f>HYPERLINK("https://icf.clappia.com/app/SOM165486/submission/HYC38308897/ICF247370-SOM165486-kbmc16efhb980000000/SIG-20250701_0815j4com.jpeg", "SIG-20250701_0815j4com.jpeg")</f>
        <v>SIG-20250701_0815j4com.jpeg</v>
      </c>
      <c r="Q926" s="3" t="str">
        <f>HYPERLINK("https://www.google.com/maps/place/8.8920033%2C-12.0306467", "8.8920033,-12.0306467")</f>
        <v>8.8920033,-12.0306467</v>
      </c>
    </row>
    <row r="927" ht="15.75" customHeight="1">
      <c r="A927" s="1" t="s">
        <v>2517</v>
      </c>
      <c r="B927" s="1" t="s">
        <v>18</v>
      </c>
      <c r="C927" s="1" t="s">
        <v>2518</v>
      </c>
      <c r="D927" s="1" t="s">
        <v>2518</v>
      </c>
      <c r="E927" s="2">
        <v>45839.0</v>
      </c>
      <c r="F927" s="1" t="s">
        <v>21</v>
      </c>
      <c r="G927" s="1" t="s">
        <v>58</v>
      </c>
      <c r="H927" s="1" t="s">
        <v>1548</v>
      </c>
      <c r="I927" s="1">
        <v>230.0</v>
      </c>
      <c r="J927" s="1" t="s">
        <v>24</v>
      </c>
      <c r="K927" s="1">
        <v>230.0</v>
      </c>
      <c r="L927" s="1">
        <v>230.0</v>
      </c>
      <c r="M927" s="1" t="s">
        <v>24</v>
      </c>
      <c r="N927" s="1" t="s">
        <v>24</v>
      </c>
      <c r="O927" s="1" t="s">
        <v>1897</v>
      </c>
      <c r="P927" s="3" t="str">
        <f>HYPERLINK("https://icf.clappia.com/app/SOM165486/submission/NUL78032242/ICF247370-SOM165486-373ne80kc4fc00000000/SIG-20250701_114414efpo.jpeg", "SIG-20250701_114414efpo.jpeg")</f>
        <v>SIG-20250701_114414efpo.jpeg</v>
      </c>
      <c r="Q927" s="3" t="str">
        <f>HYPERLINK("https://www.google.com/maps/place/7.950638%2C-11.7653796", "7.950638,-11.7653796")</f>
        <v>7.950638,-11.7653796</v>
      </c>
    </row>
    <row r="928" ht="15.75" customHeight="1">
      <c r="A928" s="1" t="s">
        <v>2519</v>
      </c>
      <c r="B928" s="1" t="s">
        <v>18</v>
      </c>
      <c r="C928" s="1" t="s">
        <v>2520</v>
      </c>
      <c r="D928" s="1" t="s">
        <v>2520</v>
      </c>
      <c r="E928" s="2">
        <v>45839.0</v>
      </c>
      <c r="F928" s="1" t="s">
        <v>21</v>
      </c>
      <c r="G928" s="1" t="s">
        <v>58</v>
      </c>
      <c r="H928" s="1" t="s">
        <v>147</v>
      </c>
      <c r="I928" s="1">
        <v>250.0</v>
      </c>
      <c r="J928" s="1" t="s">
        <v>24</v>
      </c>
      <c r="K928" s="1">
        <v>250.0</v>
      </c>
      <c r="L928" s="1">
        <v>228.0</v>
      </c>
      <c r="M928" s="1">
        <v>22.0</v>
      </c>
      <c r="N928" s="1">
        <v>22.0</v>
      </c>
      <c r="O928" s="1" t="s">
        <v>1822</v>
      </c>
      <c r="P928" s="3" t="str">
        <f>HYPERLINK("https://icf.clappia.com/app/SOM165486/submission/ZRU09310389/ICF247370-SOM165486-2e6g1e8k2bfc00000000/SIG-20250701_1144586io.jpeg", "SIG-20250701_1144586io.jpeg")</f>
        <v>SIG-20250701_1144586io.jpeg</v>
      </c>
      <c r="Q928" s="3" t="str">
        <f>HYPERLINK("https://www.google.com/maps/place/7.8852287%2C-11.785319", "7.8852287,-11.785319")</f>
        <v>7.8852287,-11.785319</v>
      </c>
    </row>
    <row r="929" ht="15.75" customHeight="1">
      <c r="A929" s="1" t="s">
        <v>2521</v>
      </c>
      <c r="B929" s="1" t="s">
        <v>18</v>
      </c>
      <c r="C929" s="1" t="s">
        <v>2522</v>
      </c>
      <c r="D929" s="1" t="s">
        <v>2522</v>
      </c>
      <c r="E929" s="2">
        <v>45839.0</v>
      </c>
      <c r="F929" s="1" t="s">
        <v>68</v>
      </c>
      <c r="G929" s="1" t="s">
        <v>340</v>
      </c>
      <c r="H929" s="1" t="s">
        <v>476</v>
      </c>
      <c r="I929" s="1">
        <v>139.0</v>
      </c>
      <c r="J929" s="1" t="s">
        <v>24</v>
      </c>
      <c r="K929" s="1">
        <v>139.0</v>
      </c>
      <c r="L929" s="1">
        <v>130.0</v>
      </c>
      <c r="M929" s="1">
        <v>9.0</v>
      </c>
      <c r="N929" s="1">
        <v>9.0</v>
      </c>
      <c r="O929" s="1" t="s">
        <v>477</v>
      </c>
      <c r="P929" s="3" t="str">
        <f>HYPERLINK("https://icf.clappia.com/app/SOM165486/submission/ROR89755671/ICF247370-SOM165486-8o8l7jl7cg320000000/SIG-20250701_1139f25bc.jpeg", "SIG-20250701_1139f25bc.jpeg")</f>
        <v>SIG-20250701_1139f25bc.jpeg</v>
      </c>
      <c r="Q929" s="3" t="str">
        <f>HYPERLINK("https://www.google.com/maps/place/9.0676133%2C-11.9541817", "9.0676133,-11.9541817")</f>
        <v>9.0676133,-11.9541817</v>
      </c>
    </row>
    <row r="930" ht="15.75" customHeight="1">
      <c r="A930" s="1" t="s">
        <v>2523</v>
      </c>
      <c r="B930" s="1" t="s">
        <v>18</v>
      </c>
      <c r="C930" s="1" t="s">
        <v>2524</v>
      </c>
      <c r="D930" s="1" t="s">
        <v>2524</v>
      </c>
      <c r="E930" s="2">
        <v>45839.0</v>
      </c>
      <c r="F930" s="1" t="s">
        <v>21</v>
      </c>
      <c r="G930" s="1" t="s">
        <v>95</v>
      </c>
      <c r="H930" s="1" t="s">
        <v>369</v>
      </c>
      <c r="I930" s="1">
        <v>100.0</v>
      </c>
      <c r="J930" s="1" t="s">
        <v>24</v>
      </c>
      <c r="K930" s="1">
        <v>100.0</v>
      </c>
      <c r="L930" s="1">
        <v>86.0</v>
      </c>
      <c r="M930" s="1">
        <v>14.0</v>
      </c>
      <c r="N930" s="1">
        <v>14.0</v>
      </c>
      <c r="O930" s="1" t="s">
        <v>2525</v>
      </c>
      <c r="P930" s="3" t="str">
        <f>HYPERLINK("https://icf.clappia.com/app/SOM165486/submission/GRG43592105/ICF247370-SOM165486-1m4lnkh1olg3a000000/SIG-20250701_113940n7b.jpeg", "SIG-20250701_113940n7b.jpeg")</f>
        <v>SIG-20250701_113940n7b.jpeg</v>
      </c>
      <c r="Q930" s="3" t="str">
        <f>HYPERLINK("https://www.google.com/maps/place/7.93117%2C-11.7175867", "7.93117,-11.7175867")</f>
        <v>7.93117,-11.7175867</v>
      </c>
    </row>
    <row r="931" ht="15.75" customHeight="1">
      <c r="A931" s="1" t="s">
        <v>2526</v>
      </c>
      <c r="B931" s="1" t="s">
        <v>18</v>
      </c>
      <c r="C931" s="1" t="s">
        <v>2524</v>
      </c>
      <c r="D931" s="1" t="s">
        <v>2524</v>
      </c>
      <c r="E931" s="2">
        <v>45839.0</v>
      </c>
      <c r="F931" s="1" t="s">
        <v>21</v>
      </c>
      <c r="G931" s="1" t="s">
        <v>95</v>
      </c>
      <c r="H931" s="1" t="s">
        <v>369</v>
      </c>
      <c r="I931" s="1">
        <v>150.0</v>
      </c>
      <c r="J931" s="1" t="s">
        <v>24</v>
      </c>
      <c r="K931" s="1">
        <v>150.0</v>
      </c>
      <c r="L931" s="1">
        <v>105.0</v>
      </c>
      <c r="M931" s="1">
        <v>45.0</v>
      </c>
      <c r="N931" s="1">
        <v>45.0</v>
      </c>
      <c r="O931" s="1" t="s">
        <v>370</v>
      </c>
      <c r="P931" s="3" t="str">
        <f>HYPERLINK("https://icf.clappia.com/app/SOM165486/submission/MGC98854559/ICF247370-SOM165486-3kg4meibp2dg00000000/SIG-20250701_1138199jhm.jpeg", "SIG-20250701_1138199jhm.jpeg")</f>
        <v>SIG-20250701_1138199jhm.jpeg</v>
      </c>
      <c r="Q931" s="3" t="str">
        <f>HYPERLINK("https://www.google.com/maps/place/7.9238164%2C-11.7208856", "7.9238164,-11.7208856")</f>
        <v>7.9238164,-11.7208856</v>
      </c>
    </row>
    <row r="932" ht="15.75" customHeight="1">
      <c r="A932" s="1" t="s">
        <v>2527</v>
      </c>
      <c r="B932" s="1" t="s">
        <v>18</v>
      </c>
      <c r="C932" s="1" t="s">
        <v>2528</v>
      </c>
      <c r="D932" s="1" t="s">
        <v>2528</v>
      </c>
      <c r="E932" s="2">
        <v>45838.0</v>
      </c>
      <c r="F932" s="1" t="s">
        <v>68</v>
      </c>
      <c r="G932" s="1" t="s">
        <v>88</v>
      </c>
      <c r="H932" s="1" t="s">
        <v>515</v>
      </c>
      <c r="I932" s="1">
        <v>150.0</v>
      </c>
      <c r="J932" s="1" t="s">
        <v>24</v>
      </c>
      <c r="K932" s="1">
        <v>150.0</v>
      </c>
      <c r="L932" s="1">
        <v>150.0</v>
      </c>
      <c r="M932" s="1" t="s">
        <v>24</v>
      </c>
      <c r="N932" s="1" t="s">
        <v>24</v>
      </c>
      <c r="O932" s="1" t="s">
        <v>2529</v>
      </c>
      <c r="P932" s="3" t="str">
        <f>HYPERLINK("https://icf.clappia.com/app/SOM165486/submission/LBV33810452/ICF247370-SOM165486-2m500lgln1p40000000/SIG-20250701_11379eeea.jpeg", "SIG-20250701_11379eeea.jpeg")</f>
        <v>SIG-20250701_11379eeea.jpeg</v>
      </c>
      <c r="Q932" s="3" t="str">
        <f>HYPERLINK("https://www.google.com/maps/place/8.9041251%2C-12.0427322", "8.9041251,-12.0427322")</f>
        <v>8.9041251,-12.0427322</v>
      </c>
    </row>
    <row r="933" ht="15.75" customHeight="1">
      <c r="A933" s="1" t="s">
        <v>2530</v>
      </c>
      <c r="B933" s="1" t="s">
        <v>18</v>
      </c>
      <c r="C933" s="1" t="s">
        <v>2531</v>
      </c>
      <c r="D933" s="1" t="s">
        <v>2531</v>
      </c>
      <c r="E933" s="2">
        <v>45839.0</v>
      </c>
      <c r="F933" s="1" t="s">
        <v>21</v>
      </c>
      <c r="G933" s="1" t="s">
        <v>77</v>
      </c>
      <c r="H933" s="1" t="s">
        <v>561</v>
      </c>
      <c r="I933" s="1">
        <v>564.0</v>
      </c>
      <c r="J933" s="1" t="s">
        <v>24</v>
      </c>
      <c r="K933" s="1">
        <v>564.0</v>
      </c>
      <c r="L933" s="1">
        <v>564.0</v>
      </c>
      <c r="M933" s="1" t="s">
        <v>24</v>
      </c>
      <c r="N933" s="1" t="s">
        <v>24</v>
      </c>
      <c r="O933" s="1" t="s">
        <v>2532</v>
      </c>
      <c r="P933" s="3" t="str">
        <f>HYPERLINK("https://icf.clappia.com/app/SOM165486/submission/JOX26237058/ICF247370-SOM165486-31fj329i0i8000000000/SIG-20250701_11348mona.jpeg", "SIG-20250701_11348mona.jpeg")</f>
        <v>SIG-20250701_11348mona.jpeg</v>
      </c>
      <c r="Q933" s="3" t="str">
        <f>HYPERLINK("https://www.google.com/maps/place/7.9507233%2C-11.736715", "7.9507233,-11.736715")</f>
        <v>7.9507233,-11.736715</v>
      </c>
    </row>
    <row r="934" ht="15.75" customHeight="1">
      <c r="A934" s="1" t="s">
        <v>2533</v>
      </c>
      <c r="B934" s="1" t="s">
        <v>18</v>
      </c>
      <c r="C934" s="1" t="s">
        <v>2534</v>
      </c>
      <c r="D934" s="1" t="s">
        <v>2534</v>
      </c>
      <c r="E934" s="2">
        <v>45839.0</v>
      </c>
      <c r="F934" s="1" t="s">
        <v>68</v>
      </c>
      <c r="G934" s="1" t="s">
        <v>88</v>
      </c>
      <c r="H934" s="1" t="s">
        <v>89</v>
      </c>
      <c r="I934" s="1">
        <v>350.0</v>
      </c>
      <c r="J934" s="1" t="s">
        <v>90</v>
      </c>
      <c r="K934" s="1">
        <v>350.0</v>
      </c>
      <c r="L934" s="1">
        <v>109.0</v>
      </c>
      <c r="M934" s="1">
        <v>241.0</v>
      </c>
      <c r="N934" s="1">
        <v>241.0</v>
      </c>
      <c r="O934" s="1" t="s">
        <v>2535</v>
      </c>
      <c r="P934" s="3" t="str">
        <f>HYPERLINK("https://icf.clappia.com/app/SOM165486/submission/HFB75724723/ICF247370-SOM165486-1eoi9nfm8mgfa0000000/SIG-20250630_154613pb0.jpeg", "SIG-20250630_154613pb0.jpeg")</f>
        <v>SIG-20250630_154613pb0.jpeg</v>
      </c>
      <c r="Q934" s="3" t="str">
        <f>HYPERLINK("https://www.google.com/maps/place/8.8869579%2C-12.0436855", "8.8869579,-12.0436855")</f>
        <v>8.8869579,-12.0436855</v>
      </c>
    </row>
    <row r="935" ht="15.75" customHeight="1">
      <c r="A935" s="1" t="s">
        <v>2536</v>
      </c>
      <c r="B935" s="1" t="s">
        <v>18</v>
      </c>
      <c r="C935" s="1" t="s">
        <v>2534</v>
      </c>
      <c r="D935" s="1" t="s">
        <v>2534</v>
      </c>
      <c r="E935" s="2">
        <v>45839.0</v>
      </c>
      <c r="F935" s="1" t="s">
        <v>68</v>
      </c>
      <c r="G935" s="1" t="s">
        <v>69</v>
      </c>
      <c r="H935" s="1" t="s">
        <v>70</v>
      </c>
      <c r="I935" s="1">
        <v>100.0</v>
      </c>
      <c r="J935" s="1" t="s">
        <v>24</v>
      </c>
      <c r="K935" s="1">
        <v>100.0</v>
      </c>
      <c r="L935" s="1">
        <v>100.0</v>
      </c>
      <c r="M935" s="1" t="s">
        <v>24</v>
      </c>
      <c r="N935" s="1" t="s">
        <v>24</v>
      </c>
      <c r="O935" s="1" t="s">
        <v>2234</v>
      </c>
      <c r="P935" s="3" t="str">
        <f>HYPERLINK("https://icf.clappia.com/app/SOM165486/submission/LYL53795392/ICF247370-SOM165486-17l77ci43llgk0000000/SIG-20250701_113217m096.jpeg", "SIG-20250701_113217m096.jpeg")</f>
        <v>SIG-20250701_113217m096.jpeg</v>
      </c>
      <c r="Q935" s="3" t="str">
        <f>HYPERLINK("https://www.google.com/maps/place/8.8775267%2C-12.10892", "8.8775267,-12.10892")</f>
        <v>8.8775267,-12.10892</v>
      </c>
    </row>
    <row r="936" ht="15.75" customHeight="1">
      <c r="A936" s="1" t="s">
        <v>2537</v>
      </c>
      <c r="B936" s="1" t="s">
        <v>18</v>
      </c>
      <c r="C936" s="1" t="s">
        <v>2538</v>
      </c>
      <c r="D936" s="1" t="s">
        <v>2538</v>
      </c>
      <c r="E936" s="2">
        <v>45838.0</v>
      </c>
      <c r="F936" s="1" t="s">
        <v>21</v>
      </c>
      <c r="G936" s="1" t="s">
        <v>77</v>
      </c>
      <c r="H936" s="1" t="s">
        <v>561</v>
      </c>
      <c r="I936" s="1">
        <v>1897.0</v>
      </c>
      <c r="J936" s="1" t="s">
        <v>24</v>
      </c>
      <c r="K936" s="1">
        <v>1897.0</v>
      </c>
      <c r="L936" s="1">
        <v>372.0</v>
      </c>
      <c r="M936" s="1">
        <v>1525.0</v>
      </c>
      <c r="N936" s="1" t="s">
        <v>24</v>
      </c>
      <c r="O936" s="1" t="s">
        <v>2539</v>
      </c>
      <c r="P936" s="3" t="str">
        <f>HYPERLINK("https://icf.clappia.com/app/SOM165486/submission/BSB07093699/ICF247370-SOM165486-3ibkd9ma8lik00000000/SIG-20250701_11321852a6.jpeg", "SIG-20250701_11321852a6.jpeg")</f>
        <v>SIG-20250701_11321852a6.jpeg</v>
      </c>
      <c r="Q936" s="3" t="str">
        <f>HYPERLINK("https://www.google.com/maps/place/7.9506033%2C-11.7368083", "7.9506033,-11.7368083")</f>
        <v>7.9506033,-11.7368083</v>
      </c>
    </row>
    <row r="937" ht="15.75" customHeight="1">
      <c r="A937" s="1" t="s">
        <v>2540</v>
      </c>
      <c r="B937" s="1" t="s">
        <v>18</v>
      </c>
      <c r="C937" s="1" t="s">
        <v>2541</v>
      </c>
      <c r="D937" s="1" t="s">
        <v>2541</v>
      </c>
      <c r="E937" s="2">
        <v>45839.0</v>
      </c>
      <c r="F937" s="1" t="s">
        <v>68</v>
      </c>
      <c r="G937" s="1" t="s">
        <v>83</v>
      </c>
      <c r="H937" s="1" t="s">
        <v>653</v>
      </c>
      <c r="I937" s="1">
        <v>261.0</v>
      </c>
      <c r="J937" s="1" t="s">
        <v>24</v>
      </c>
      <c r="K937" s="1">
        <v>261.0</v>
      </c>
      <c r="L937" s="1">
        <v>255.0</v>
      </c>
      <c r="M937" s="1">
        <v>6.0</v>
      </c>
      <c r="N937" s="1" t="s">
        <v>24</v>
      </c>
      <c r="O937" s="1" t="s">
        <v>1860</v>
      </c>
      <c r="P937" s="3" t="str">
        <f>HYPERLINK("https://icf.clappia.com/app/SOM165486/submission/ZVB70636715/ICF247370-SOM165486-1i2cja059m1ao0000000/SIG-20250701_104917ep8g.jpeg", "SIG-20250701_104917ep8g.jpeg")</f>
        <v>SIG-20250701_104917ep8g.jpeg</v>
      </c>
      <c r="Q937" s="3" t="str">
        <f>HYPERLINK("https://www.google.com/maps/place/8.8539217%2C-12.0461249", "8.8539217,-12.0461249")</f>
        <v>8.8539217,-12.0461249</v>
      </c>
    </row>
    <row r="938" ht="15.75" customHeight="1">
      <c r="A938" s="1" t="s">
        <v>2542</v>
      </c>
      <c r="B938" s="1" t="s">
        <v>18</v>
      </c>
      <c r="C938" s="1" t="s">
        <v>2543</v>
      </c>
      <c r="D938" s="1" t="s">
        <v>2543</v>
      </c>
      <c r="E938" s="2">
        <v>45839.0</v>
      </c>
      <c r="F938" s="1" t="s">
        <v>21</v>
      </c>
      <c r="G938" s="1" t="s">
        <v>275</v>
      </c>
      <c r="H938" s="1" t="s">
        <v>1850</v>
      </c>
      <c r="I938" s="1">
        <v>239.0</v>
      </c>
      <c r="J938" s="1" t="s">
        <v>24</v>
      </c>
      <c r="K938" s="1">
        <v>239.0</v>
      </c>
      <c r="L938" s="1">
        <v>230.0</v>
      </c>
      <c r="M938" s="1">
        <v>9.0</v>
      </c>
      <c r="N938" s="1" t="s">
        <v>24</v>
      </c>
      <c r="O938" s="1" t="s">
        <v>1851</v>
      </c>
      <c r="P938" s="3" t="str">
        <f>HYPERLINK("https://icf.clappia.com/app/SOM165486/submission/CAC72609094/ICF247370-SOM165486-3o1dl64j3a0i00000000/SIG-20250701_112416n0gp.jpeg", "SIG-20250701_112416n0gp.jpeg")</f>
        <v>SIG-20250701_112416n0gp.jpeg</v>
      </c>
      <c r="Q938" s="3" t="str">
        <f t="shared" ref="Q938:Q939" si="17">HYPERLINK("https://www.google.com/maps/place/7.6794153%2C-11.8212909", "7.6794153,-11.8212909")</f>
        <v>7.6794153,-11.8212909</v>
      </c>
    </row>
    <row r="939" ht="15.75" customHeight="1">
      <c r="A939" s="1" t="s">
        <v>2544</v>
      </c>
      <c r="B939" s="1" t="s">
        <v>18</v>
      </c>
      <c r="C939" s="1" t="s">
        <v>87</v>
      </c>
      <c r="D939" s="1" t="s">
        <v>87</v>
      </c>
      <c r="E939" s="2">
        <v>45839.0</v>
      </c>
      <c r="F939" s="1" t="s">
        <v>21</v>
      </c>
      <c r="G939" s="1" t="s">
        <v>275</v>
      </c>
      <c r="H939" s="1" t="s">
        <v>1850</v>
      </c>
      <c r="I939" s="1">
        <v>239.0</v>
      </c>
      <c r="J939" s="1" t="s">
        <v>24</v>
      </c>
      <c r="K939" s="1">
        <v>239.0</v>
      </c>
      <c r="L939" s="1">
        <v>230.0</v>
      </c>
      <c r="M939" s="1">
        <v>9.0</v>
      </c>
      <c r="N939" s="1" t="s">
        <v>24</v>
      </c>
      <c r="O939" s="1" t="s">
        <v>2545</v>
      </c>
      <c r="P939" s="3" t="str">
        <f>HYPERLINK("https://icf.clappia.com/app/SOM165486/submission/FXI05876108/ICF247370-SOM165486-3m4ghf1bi2pa00000000/SIG-20250701_1121oe9jc.jpeg", "SIG-20250701_1121oe9jc.jpeg")</f>
        <v>SIG-20250701_1121oe9jc.jpeg</v>
      </c>
      <c r="Q939" s="3" t="str">
        <f t="shared" si="17"/>
        <v>7.6794153,-11.8212909</v>
      </c>
    </row>
    <row r="940" ht="15.75" customHeight="1">
      <c r="A940" s="1" t="s">
        <v>2546</v>
      </c>
      <c r="B940" s="1" t="s">
        <v>18</v>
      </c>
      <c r="C940" s="1" t="s">
        <v>2547</v>
      </c>
      <c r="D940" s="1" t="s">
        <v>2547</v>
      </c>
      <c r="E940" s="2">
        <v>45839.0</v>
      </c>
      <c r="F940" s="1" t="s">
        <v>68</v>
      </c>
      <c r="G940" s="1" t="s">
        <v>88</v>
      </c>
      <c r="H940" s="1" t="s">
        <v>634</v>
      </c>
      <c r="I940" s="1">
        <v>250.0</v>
      </c>
      <c r="J940" s="1" t="s">
        <v>24</v>
      </c>
      <c r="K940" s="1">
        <v>250.0</v>
      </c>
      <c r="L940" s="1">
        <v>233.0</v>
      </c>
      <c r="M940" s="1">
        <v>17.0</v>
      </c>
      <c r="N940" s="1">
        <v>17.0</v>
      </c>
      <c r="O940" s="1" t="s">
        <v>1103</v>
      </c>
      <c r="P940" s="3" t="str">
        <f>HYPERLINK("https://icf.clappia.com/app/SOM165486/submission/JPD26509622/ICF247370-SOM165486-27gj320506pio0000000/SIG-20250701_1106p0439.jpeg", "SIG-20250701_1106p0439.jpeg")</f>
        <v>SIG-20250701_1106p0439.jpeg</v>
      </c>
      <c r="Q940" s="3" t="str">
        <f>HYPERLINK("https://www.google.com/maps/place/8.8929196%2C-12.0397332", "8.8929196,-12.0397332")</f>
        <v>8.8929196,-12.0397332</v>
      </c>
    </row>
    <row r="941" ht="15.75" customHeight="1">
      <c r="A941" s="1" t="s">
        <v>2548</v>
      </c>
      <c r="B941" s="1" t="s">
        <v>18</v>
      </c>
      <c r="C941" s="1" t="s">
        <v>2547</v>
      </c>
      <c r="D941" s="1" t="s">
        <v>2547</v>
      </c>
      <c r="E941" s="2">
        <v>45838.0</v>
      </c>
      <c r="F941" s="1" t="s">
        <v>21</v>
      </c>
      <c r="G941" s="1" t="s">
        <v>95</v>
      </c>
      <c r="H941" s="1" t="s">
        <v>697</v>
      </c>
      <c r="I941" s="1">
        <v>100.0</v>
      </c>
      <c r="J941" s="1" t="s">
        <v>24</v>
      </c>
      <c r="K941" s="1">
        <v>100.0</v>
      </c>
      <c r="L941" s="1">
        <v>55.0</v>
      </c>
      <c r="M941" s="1">
        <v>45.0</v>
      </c>
      <c r="N941" s="1">
        <v>45.0</v>
      </c>
      <c r="O941" s="1" t="s">
        <v>1800</v>
      </c>
      <c r="P941" s="3" t="str">
        <f>HYPERLINK("https://icf.clappia.com/app/SOM165486/submission/VCG48388037/ICF247370-SOM165486-d2aj7ljk81p20000000/SIG-20250701_1113gd7lj.jpeg", "SIG-20250701_1113gd7lj.jpeg")</f>
        <v>SIG-20250701_1113gd7lj.jpeg</v>
      </c>
      <c r="Q941" s="3" t="str">
        <f>HYPERLINK("https://www.google.com/maps/place/7.9445283%2C-11.746755", "7.9445283,-11.746755")</f>
        <v>7.9445283,-11.746755</v>
      </c>
    </row>
    <row r="942" ht="15.75" customHeight="1">
      <c r="A942" s="1" t="s">
        <v>2549</v>
      </c>
      <c r="B942" s="1" t="s">
        <v>18</v>
      </c>
      <c r="C942" s="1" t="s">
        <v>2550</v>
      </c>
      <c r="D942" s="1" t="s">
        <v>2550</v>
      </c>
      <c r="E942" s="2">
        <v>45838.0</v>
      </c>
      <c r="F942" s="1" t="s">
        <v>68</v>
      </c>
      <c r="G942" s="1" t="s">
        <v>248</v>
      </c>
      <c r="H942" s="1" t="s">
        <v>264</v>
      </c>
      <c r="I942" s="1">
        <v>150.0</v>
      </c>
      <c r="J942" s="1" t="s">
        <v>24</v>
      </c>
      <c r="K942" s="1">
        <v>150.0</v>
      </c>
      <c r="L942" s="1">
        <v>150.0</v>
      </c>
      <c r="M942" s="1" t="s">
        <v>24</v>
      </c>
      <c r="N942" s="1" t="s">
        <v>24</v>
      </c>
      <c r="O942" s="1" t="s">
        <v>2551</v>
      </c>
      <c r="P942" s="3" t="str">
        <f>HYPERLINK("https://icf.clappia.com/app/SOM165486/submission/JMA09925085/ICF247370-SOM165486-22496ee9h044o0000000/SIG-20250630_094016m8p4.jpeg", "SIG-20250630_094016m8p4.jpeg")</f>
        <v>SIG-20250630_094016m8p4.jpeg</v>
      </c>
      <c r="Q942" s="3" t="str">
        <f>HYPERLINK("https://www.google.com/maps/place/9.3536901%2C-12.0033817", "9.3536901,-12.0033817")</f>
        <v>9.3536901,-12.0033817</v>
      </c>
    </row>
    <row r="943" ht="15.75" customHeight="1">
      <c r="A943" s="1" t="s">
        <v>2552</v>
      </c>
      <c r="B943" s="1" t="s">
        <v>18</v>
      </c>
      <c r="C943" s="1" t="s">
        <v>2553</v>
      </c>
      <c r="D943" s="1" t="s">
        <v>2553</v>
      </c>
      <c r="E943" s="2">
        <v>45839.0</v>
      </c>
      <c r="F943" s="1" t="s">
        <v>68</v>
      </c>
      <c r="G943" s="1" t="s">
        <v>88</v>
      </c>
      <c r="H943" s="1" t="s">
        <v>881</v>
      </c>
      <c r="I943" s="1">
        <v>177.0</v>
      </c>
      <c r="J943" s="1" t="s">
        <v>24</v>
      </c>
      <c r="K943" s="1">
        <v>177.0</v>
      </c>
      <c r="L943" s="1">
        <v>37.0</v>
      </c>
      <c r="M943" s="1">
        <v>140.0</v>
      </c>
      <c r="N943" s="1">
        <v>140.0</v>
      </c>
      <c r="O943" s="1" t="s">
        <v>2554</v>
      </c>
      <c r="P943" s="3" t="str">
        <f>HYPERLINK("https://icf.clappia.com/app/SOM165486/submission/QBT91502840/ICF247370-SOM165486-2cekj2ilho7o00000000/SIG-20250701_1109kha8f.jpeg", "SIG-20250701_1109kha8f.jpeg")</f>
        <v>SIG-20250701_1109kha8f.jpeg</v>
      </c>
      <c r="Q943" s="3" t="str">
        <f>HYPERLINK("https://www.google.com/maps/place/8.8778337%2C-12.0498715", "8.8778337,-12.0498715")</f>
        <v>8.8778337,-12.0498715</v>
      </c>
    </row>
    <row r="944" ht="15.75" customHeight="1">
      <c r="A944" s="1" t="s">
        <v>2555</v>
      </c>
      <c r="B944" s="1" t="s">
        <v>283</v>
      </c>
      <c r="C944" s="1" t="s">
        <v>2556</v>
      </c>
      <c r="D944" s="1" t="s">
        <v>2556</v>
      </c>
      <c r="E944" s="2">
        <v>45839.0</v>
      </c>
      <c r="F944" s="1" t="s">
        <v>68</v>
      </c>
      <c r="G944" s="1" t="s">
        <v>69</v>
      </c>
      <c r="H944" s="1" t="s">
        <v>584</v>
      </c>
      <c r="I944" s="1">
        <v>120.0</v>
      </c>
      <c r="J944" s="1" t="s">
        <v>24</v>
      </c>
      <c r="K944" s="1">
        <v>120.0</v>
      </c>
      <c r="L944" s="1">
        <v>100.0</v>
      </c>
      <c r="M944" s="1">
        <v>20.0</v>
      </c>
      <c r="N944" s="1">
        <v>20.0</v>
      </c>
      <c r="O944" s="1" t="s">
        <v>585</v>
      </c>
      <c r="P944" s="3" t="str">
        <f>HYPERLINK("https://icf.clappia.com/app/SOM165486/submission/KIQ11108828/ICF247370-SOM165486-3157jhmoj0jc00000000/SIG-20250701_1108m26f4.jpeg", "SIG-20250701_1108m26f4.jpeg")</f>
        <v>SIG-20250701_1108m26f4.jpeg</v>
      </c>
      <c r="Q944" s="3" t="str">
        <f>HYPERLINK("https://www.google.com/maps/place/8.765015%2C-12.1962233", "8.765015,-12.1962233")</f>
        <v>8.765015,-12.1962233</v>
      </c>
    </row>
    <row r="945" ht="15.75" customHeight="1">
      <c r="A945" s="1" t="s">
        <v>2557</v>
      </c>
      <c r="B945" s="1" t="s">
        <v>18</v>
      </c>
      <c r="C945" s="1" t="s">
        <v>2558</v>
      </c>
      <c r="D945" s="1" t="s">
        <v>2558</v>
      </c>
      <c r="E945" s="2">
        <v>45838.0</v>
      </c>
      <c r="F945" s="1" t="s">
        <v>21</v>
      </c>
      <c r="G945" s="1" t="s">
        <v>164</v>
      </c>
      <c r="H945" s="1" t="s">
        <v>1058</v>
      </c>
      <c r="I945" s="1">
        <v>100.0</v>
      </c>
      <c r="J945" s="1" t="s">
        <v>24</v>
      </c>
      <c r="K945" s="1">
        <v>100.0</v>
      </c>
      <c r="L945" s="1">
        <v>83.0</v>
      </c>
      <c r="M945" s="1">
        <v>17.0</v>
      </c>
      <c r="N945" s="1">
        <v>17.0</v>
      </c>
      <c r="O945" s="1" t="s">
        <v>1888</v>
      </c>
      <c r="P945" s="3" t="str">
        <f>HYPERLINK("https://icf.clappia.com/app/SOM165486/submission/JOU92476783/ICF247370-SOM165486-5fp4h59dppek00000000/SIG-20250701_11081788n9.jpeg", "SIG-20250701_11081788n9.jpeg")</f>
        <v>SIG-20250701_11081788n9.jpeg</v>
      </c>
      <c r="Q945" s="3" t="str">
        <f>HYPERLINK("https://www.google.com/maps/place/7.7737012%2C-12.0109677", "7.7737012,-12.0109677")</f>
        <v>7.7737012,-12.0109677</v>
      </c>
    </row>
    <row r="946" ht="15.75" customHeight="1">
      <c r="A946" s="1" t="s">
        <v>2559</v>
      </c>
      <c r="B946" s="1" t="s">
        <v>18</v>
      </c>
      <c r="C946" s="1" t="s">
        <v>2558</v>
      </c>
      <c r="D946" s="1" t="s">
        <v>2558</v>
      </c>
      <c r="E946" s="2">
        <v>45839.0</v>
      </c>
      <c r="F946" s="1" t="s">
        <v>68</v>
      </c>
      <c r="G946" s="1" t="s">
        <v>597</v>
      </c>
      <c r="H946" s="1" t="s">
        <v>598</v>
      </c>
      <c r="I946" s="1">
        <v>175.0</v>
      </c>
      <c r="J946" s="1" t="s">
        <v>24</v>
      </c>
      <c r="K946" s="1">
        <v>175.0</v>
      </c>
      <c r="L946" s="1">
        <v>39.0</v>
      </c>
      <c r="M946" s="1">
        <v>136.0</v>
      </c>
      <c r="N946" s="1">
        <v>136.0</v>
      </c>
      <c r="O946" s="1" t="s">
        <v>599</v>
      </c>
      <c r="P946" s="3" t="str">
        <f>HYPERLINK("https://icf.clappia.com/app/SOM165486/submission/FLQ61255410/ICF247370-SOM165486-4gommaf1205200000000/SIG-20250701_110817d5o4.jpeg", "SIG-20250701_110817d5o4.jpeg")</f>
        <v>SIG-20250701_110817d5o4.jpeg</v>
      </c>
      <c r="Q946" s="3" t="str">
        <f>HYPERLINK("https://www.google.com/maps/place/8.6834917%2C-12.2399504", "8.6834917,-12.2399504")</f>
        <v>8.6834917,-12.2399504</v>
      </c>
    </row>
    <row r="947" ht="15.75" customHeight="1">
      <c r="A947" s="1" t="s">
        <v>2560</v>
      </c>
      <c r="B947" s="1" t="s">
        <v>18</v>
      </c>
      <c r="C947" s="1" t="s">
        <v>2561</v>
      </c>
      <c r="D947" s="1" t="s">
        <v>2558</v>
      </c>
      <c r="E947" s="2">
        <v>45838.0</v>
      </c>
      <c r="F947" s="1" t="s">
        <v>21</v>
      </c>
      <c r="G947" s="1" t="s">
        <v>164</v>
      </c>
      <c r="H947" s="1" t="s">
        <v>1058</v>
      </c>
      <c r="I947" s="1">
        <v>100.0</v>
      </c>
      <c r="J947" s="1" t="s">
        <v>24</v>
      </c>
      <c r="K947" s="1">
        <v>100.0</v>
      </c>
      <c r="L947" s="1">
        <v>83.0</v>
      </c>
      <c r="M947" s="1">
        <v>17.0</v>
      </c>
      <c r="N947" s="1">
        <v>17.0</v>
      </c>
      <c r="O947" s="1" t="s">
        <v>1888</v>
      </c>
      <c r="P947" s="3" t="str">
        <f>HYPERLINK("https://icf.clappia.com/app/SOM165486/submission/SAH92110255/ICF247370-SOM165486-3ohbjifea0h40000000/SIG-20250630_12351a4on1.jpeg", "SIG-20250630_12351a4on1.jpeg")</f>
        <v>SIG-20250630_12351a4on1.jpeg</v>
      </c>
    </row>
    <row r="948" ht="15.75" customHeight="1">
      <c r="A948" s="1" t="s">
        <v>2562</v>
      </c>
      <c r="B948" s="1" t="s">
        <v>18</v>
      </c>
      <c r="C948" s="1" t="s">
        <v>2563</v>
      </c>
      <c r="D948" s="1" t="s">
        <v>2563</v>
      </c>
      <c r="E948" s="2">
        <v>45838.0</v>
      </c>
      <c r="F948" s="1" t="s">
        <v>21</v>
      </c>
      <c r="G948" s="1" t="s">
        <v>77</v>
      </c>
      <c r="H948" s="1" t="s">
        <v>697</v>
      </c>
      <c r="I948" s="1">
        <v>100.0</v>
      </c>
      <c r="J948" s="1" t="s">
        <v>24</v>
      </c>
      <c r="K948" s="1">
        <v>100.0</v>
      </c>
      <c r="L948" s="1">
        <v>53.0</v>
      </c>
      <c r="M948" s="1">
        <v>47.0</v>
      </c>
      <c r="N948" s="1">
        <v>47.0</v>
      </c>
      <c r="O948" s="1" t="s">
        <v>1803</v>
      </c>
      <c r="P948" s="3" t="str">
        <f>HYPERLINK("https://icf.clappia.com/app/SOM165486/submission/UXE32870960/ICF247370-SOM165486-312o7n5ofmok00000000/SIG-20250701_110417pi09.jpeg", "SIG-20250701_110417pi09.jpeg")</f>
        <v>SIG-20250701_110417pi09.jpeg</v>
      </c>
      <c r="Q948" s="3" t="str">
        <f>HYPERLINK("https://www.google.com/maps/place/7.9507705%2C-11.7490036", "7.9507705,-11.7490036")</f>
        <v>7.9507705,-11.7490036</v>
      </c>
    </row>
    <row r="949" ht="15.75" customHeight="1">
      <c r="A949" s="1" t="s">
        <v>2564</v>
      </c>
      <c r="B949" s="1" t="s">
        <v>18</v>
      </c>
      <c r="C949" s="1" t="s">
        <v>2565</v>
      </c>
      <c r="D949" s="1" t="s">
        <v>2565</v>
      </c>
      <c r="E949" s="2">
        <v>45839.0</v>
      </c>
      <c r="F949" s="1" t="s">
        <v>21</v>
      </c>
      <c r="G949" s="1" t="s">
        <v>58</v>
      </c>
      <c r="H949" s="1" t="s">
        <v>152</v>
      </c>
      <c r="I949" s="1">
        <v>160.0</v>
      </c>
      <c r="J949" s="1" t="s">
        <v>24</v>
      </c>
      <c r="K949" s="1">
        <v>160.0</v>
      </c>
      <c r="L949" s="1">
        <v>50.0</v>
      </c>
      <c r="M949" s="1">
        <v>110.0</v>
      </c>
      <c r="N949" s="1">
        <v>110.0</v>
      </c>
      <c r="O949" s="1" t="s">
        <v>1225</v>
      </c>
      <c r="P949" s="3" t="str">
        <f>HYPERLINK("https://icf.clappia.com/app/SOM165486/submission/MVV84258103/ICF247370-SOM165486-3iio8ed1hago00000000/SIG-20250701_11005id7h.jpeg", "SIG-20250701_11005id7h.jpeg")</f>
        <v>SIG-20250701_11005id7h.jpeg</v>
      </c>
      <c r="Q949" s="3" t="str">
        <f>HYPERLINK("https://www.google.com/maps/place/7.865515%2C-11.7051833", "7.865515,-11.7051833")</f>
        <v>7.865515,-11.7051833</v>
      </c>
    </row>
    <row r="950" ht="15.75" customHeight="1">
      <c r="A950" s="1" t="s">
        <v>2566</v>
      </c>
      <c r="B950" s="1" t="s">
        <v>18</v>
      </c>
      <c r="C950" s="1" t="s">
        <v>2567</v>
      </c>
      <c r="D950" s="1" t="s">
        <v>2567</v>
      </c>
      <c r="E950" s="2">
        <v>45838.0</v>
      </c>
      <c r="F950" s="1" t="s">
        <v>68</v>
      </c>
      <c r="G950" s="1" t="s">
        <v>88</v>
      </c>
      <c r="H950" s="1" t="s">
        <v>515</v>
      </c>
      <c r="I950" s="1">
        <v>150.0</v>
      </c>
      <c r="J950" s="1" t="s">
        <v>24</v>
      </c>
      <c r="K950" s="1">
        <v>150.0</v>
      </c>
      <c r="L950" s="1">
        <v>150.0</v>
      </c>
      <c r="M950" s="1" t="s">
        <v>24</v>
      </c>
      <c r="N950" s="1" t="s">
        <v>24</v>
      </c>
      <c r="O950" s="1" t="s">
        <v>2568</v>
      </c>
      <c r="P950" s="3" t="str">
        <f>HYPERLINK("https://icf.clappia.com/app/SOM165486/submission/HPJ74146266/ICF247370-SOM165486-2aekp0jji807a0000000/SIG-20250701_1057hi29f.jpeg", "SIG-20250701_1057hi29f.jpeg")</f>
        <v>SIG-20250701_1057hi29f.jpeg</v>
      </c>
      <c r="Q950" s="3" t="str">
        <f>HYPERLINK("https://www.google.com/maps/place/8.9034201%2C-12.0454289", "8.9034201,-12.0454289")</f>
        <v>8.9034201,-12.0454289</v>
      </c>
    </row>
    <row r="951" ht="15.75" customHeight="1">
      <c r="A951" s="1" t="s">
        <v>2569</v>
      </c>
      <c r="B951" s="1" t="s">
        <v>18</v>
      </c>
      <c r="C951" s="1" t="s">
        <v>2570</v>
      </c>
      <c r="D951" s="1" t="s">
        <v>2570</v>
      </c>
      <c r="E951" s="2">
        <v>45839.0</v>
      </c>
      <c r="F951" s="1" t="s">
        <v>68</v>
      </c>
      <c r="G951" s="1" t="s">
        <v>88</v>
      </c>
      <c r="H951" s="1" t="s">
        <v>1314</v>
      </c>
      <c r="I951" s="1">
        <v>350.0</v>
      </c>
      <c r="J951" s="1" t="s">
        <v>24</v>
      </c>
      <c r="K951" s="1">
        <v>350.0</v>
      </c>
      <c r="L951" s="1">
        <v>278.0</v>
      </c>
      <c r="M951" s="1">
        <v>72.0</v>
      </c>
      <c r="N951" s="1">
        <v>72.0</v>
      </c>
      <c r="O951" s="1" t="s">
        <v>2571</v>
      </c>
      <c r="P951" s="3" t="str">
        <f>HYPERLINK("https://icf.clappia.com/app/SOM165486/submission/CZO75652053/ICF247370-SOM165486-5hgo0jmgce8600000000/SIG-20250701_1014noaij.jpeg", "SIG-20250701_1014noaij.jpeg")</f>
        <v>SIG-20250701_1014noaij.jpeg</v>
      </c>
      <c r="Q951" s="3" t="str">
        <f>HYPERLINK("https://www.google.com/maps/place/8.87463%2C-12.0384467", "8.87463,-12.0384467")</f>
        <v>8.87463,-12.0384467</v>
      </c>
    </row>
    <row r="952" ht="15.75" customHeight="1">
      <c r="A952" s="1" t="s">
        <v>2572</v>
      </c>
      <c r="B952" s="1" t="s">
        <v>18</v>
      </c>
      <c r="C952" s="1" t="s">
        <v>2570</v>
      </c>
      <c r="D952" s="1" t="s">
        <v>2570</v>
      </c>
      <c r="E952" s="2">
        <v>45839.0</v>
      </c>
      <c r="F952" s="1" t="s">
        <v>68</v>
      </c>
      <c r="G952" s="1" t="s">
        <v>69</v>
      </c>
      <c r="H952" s="1" t="s">
        <v>806</v>
      </c>
      <c r="I952" s="1">
        <v>286.0</v>
      </c>
      <c r="J952" s="1" t="s">
        <v>24</v>
      </c>
      <c r="K952" s="1">
        <v>286.0</v>
      </c>
      <c r="L952" s="1">
        <v>204.0</v>
      </c>
      <c r="M952" s="1">
        <v>82.0</v>
      </c>
      <c r="N952" s="1" t="s">
        <v>24</v>
      </c>
      <c r="O952" s="1" t="s">
        <v>1627</v>
      </c>
      <c r="P952" s="3" t="str">
        <f>HYPERLINK("https://icf.clappia.com/app/SOM165486/submission/XYJ46314290/ICF247370-SOM165486-2feejbld6j8600000000/SIG-20250701_1046j1d70.jpeg", "SIG-20250701_1046j1d70.jpeg")</f>
        <v>SIG-20250701_1046j1d70.jpeg</v>
      </c>
      <c r="Q952" s="3" t="str">
        <f>HYPERLINK("https://www.google.com/maps/place/8.9057167%2C-12.2762217", "8.9057167,-12.2762217")</f>
        <v>8.9057167,-12.2762217</v>
      </c>
    </row>
    <row r="953" ht="15.75" customHeight="1">
      <c r="A953" s="1" t="s">
        <v>2573</v>
      </c>
      <c r="B953" s="1" t="s">
        <v>18</v>
      </c>
      <c r="C953" s="1" t="s">
        <v>2574</v>
      </c>
      <c r="D953" s="1" t="s">
        <v>2574</v>
      </c>
      <c r="E953" s="2">
        <v>45839.0</v>
      </c>
      <c r="F953" s="1" t="s">
        <v>21</v>
      </c>
      <c r="G953" s="1" t="s">
        <v>77</v>
      </c>
      <c r="H953" s="1" t="s">
        <v>568</v>
      </c>
      <c r="I953" s="1">
        <v>100.0</v>
      </c>
      <c r="J953" s="1" t="s">
        <v>24</v>
      </c>
      <c r="K953" s="1">
        <v>100.0</v>
      </c>
      <c r="L953" s="1">
        <v>100.0</v>
      </c>
      <c r="M953" s="1" t="s">
        <v>24</v>
      </c>
      <c r="N953" s="1" t="s">
        <v>24</v>
      </c>
      <c r="O953" s="1" t="s">
        <v>690</v>
      </c>
      <c r="P953" s="3" t="str">
        <f>HYPERLINK("https://icf.clappia.com/app/SOM165486/submission/IGI15220464/ICF247370-SOM165486-3gl17nh7935600000000/SIG-20250701_1047d6eap.jpeg", "SIG-20250701_1047d6eap.jpeg")</f>
        <v>SIG-20250701_1047d6eap.jpeg</v>
      </c>
      <c r="Q953" s="3" t="str">
        <f>HYPERLINK("https://www.google.com/maps/place/7.9768581%2C-11.715377", "7.9768581,-11.715377")</f>
        <v>7.9768581,-11.715377</v>
      </c>
    </row>
    <row r="954" ht="15.75" customHeight="1">
      <c r="A954" s="1" t="s">
        <v>2575</v>
      </c>
      <c r="B954" s="1" t="s">
        <v>18</v>
      </c>
      <c r="C954" s="1" t="s">
        <v>2574</v>
      </c>
      <c r="D954" s="1" t="s">
        <v>2574</v>
      </c>
      <c r="E954" s="2">
        <v>45839.0</v>
      </c>
      <c r="F954" s="1" t="s">
        <v>68</v>
      </c>
      <c r="G954" s="1" t="s">
        <v>88</v>
      </c>
      <c r="H954" s="1" t="s">
        <v>634</v>
      </c>
      <c r="I954" s="1">
        <v>200.0</v>
      </c>
      <c r="J954" s="1">
        <v>100.0</v>
      </c>
      <c r="K954" s="1">
        <v>300.0</v>
      </c>
      <c r="L954" s="1">
        <v>270.0</v>
      </c>
      <c r="M954" s="1">
        <v>30.0</v>
      </c>
      <c r="N954" s="1">
        <v>30.0</v>
      </c>
      <c r="O954" s="1" t="s">
        <v>2576</v>
      </c>
      <c r="P954" s="3" t="str">
        <f>HYPERLINK("https://icf.clappia.com/app/SOM165486/submission/LNA70364335/ICF247370-SOM165486-5aje556gn1kg00000000/SIG-20250701_1047gmod1.jpeg", "SIG-20250701_1047gmod1.jpeg")</f>
        <v>SIG-20250701_1047gmod1.jpeg</v>
      </c>
      <c r="Q954" s="3" t="str">
        <f>HYPERLINK("https://www.google.com/maps/place/8.8910434%2C-12.0365851", "8.8910434,-12.0365851")</f>
        <v>8.8910434,-12.0365851</v>
      </c>
    </row>
    <row r="955" ht="15.75" customHeight="1">
      <c r="A955" s="1" t="s">
        <v>2577</v>
      </c>
      <c r="B955" s="1" t="s">
        <v>18</v>
      </c>
      <c r="C955" s="1" t="s">
        <v>2578</v>
      </c>
      <c r="D955" s="1" t="s">
        <v>2578</v>
      </c>
      <c r="E955" s="2">
        <v>45839.0</v>
      </c>
      <c r="F955" s="1" t="s">
        <v>68</v>
      </c>
      <c r="G955" s="1" t="s">
        <v>88</v>
      </c>
      <c r="H955" s="1" t="s">
        <v>797</v>
      </c>
      <c r="I955" s="1">
        <v>710.0</v>
      </c>
      <c r="J955" s="1" t="s">
        <v>24</v>
      </c>
      <c r="K955" s="1">
        <v>710.0</v>
      </c>
      <c r="L955" s="1">
        <v>660.0</v>
      </c>
      <c r="M955" s="1">
        <v>50.0</v>
      </c>
      <c r="N955" s="1">
        <v>50.0</v>
      </c>
      <c r="O955" s="1" t="s">
        <v>2579</v>
      </c>
      <c r="P955" s="3" t="str">
        <f>HYPERLINK("https://icf.clappia.com/app/SOM165486/submission/GHN40773557/ICF247370-SOM165486-65f1480ilppe00000000/SIG-20250701_10456lebm.jpeg", "SIG-20250701_10456lebm.jpeg")</f>
        <v>SIG-20250701_10456lebm.jpeg</v>
      </c>
    </row>
    <row r="956" ht="15.75" customHeight="1">
      <c r="A956" s="1" t="s">
        <v>2580</v>
      </c>
      <c r="B956" s="1" t="s">
        <v>283</v>
      </c>
      <c r="C956" s="1" t="s">
        <v>2581</v>
      </c>
      <c r="D956" s="1" t="s">
        <v>2581</v>
      </c>
      <c r="E956" s="2">
        <v>45839.0</v>
      </c>
      <c r="F956" s="1" t="s">
        <v>68</v>
      </c>
      <c r="G956" s="1" t="s">
        <v>88</v>
      </c>
      <c r="H956" s="1" t="s">
        <v>797</v>
      </c>
      <c r="I956" s="1">
        <v>710.0</v>
      </c>
      <c r="J956" s="1" t="s">
        <v>24</v>
      </c>
      <c r="K956" s="1">
        <v>710.0</v>
      </c>
      <c r="L956" s="1">
        <v>660.0</v>
      </c>
      <c r="M956" s="1">
        <v>50.0</v>
      </c>
      <c r="N956" s="1">
        <v>50.0</v>
      </c>
      <c r="O956" s="1" t="s">
        <v>2582</v>
      </c>
      <c r="P956" s="3" t="str">
        <f>HYPERLINK("https://icf.clappia.com/app/SOM165486/submission/OID72995832/ICF247370-SOM165486-13ib619k6m4ac0000000/SIG-20250701_1045d8mh4.jpeg", "SIG-20250701_1045d8mh4.jpeg")</f>
        <v>SIG-20250701_1045d8mh4.jpeg</v>
      </c>
      <c r="Q956" s="3" t="str">
        <f>HYPERLINK("https://www.google.com/maps/place/8.8887552%2C-12.0470157", "8.8887552,-12.0470157")</f>
        <v>8.8887552,-12.0470157</v>
      </c>
    </row>
    <row r="957" ht="15.75" customHeight="1">
      <c r="A957" s="1" t="s">
        <v>2583</v>
      </c>
      <c r="B957" s="1" t="s">
        <v>18</v>
      </c>
      <c r="C957" s="1" t="s">
        <v>2581</v>
      </c>
      <c r="D957" s="1" t="s">
        <v>2581</v>
      </c>
      <c r="E957" s="2">
        <v>45839.0</v>
      </c>
      <c r="F957" s="1" t="s">
        <v>68</v>
      </c>
      <c r="G957" s="1" t="s">
        <v>88</v>
      </c>
      <c r="H957" s="1" t="s">
        <v>797</v>
      </c>
      <c r="I957" s="1">
        <v>710.0</v>
      </c>
      <c r="J957" s="1" t="s">
        <v>24</v>
      </c>
      <c r="K957" s="1">
        <v>710.0</v>
      </c>
      <c r="L957" s="1">
        <v>660.0</v>
      </c>
      <c r="M957" s="1">
        <v>50.0</v>
      </c>
      <c r="N957" s="1">
        <v>50.0</v>
      </c>
      <c r="O957" s="1" t="s">
        <v>1816</v>
      </c>
      <c r="P957" s="3" t="str">
        <f>HYPERLINK("https://icf.clappia.com/app/SOM165486/submission/DYY78856474/ICF247370-SOM165486-307bnngendo400000000/SIG-20250701_1044an0pf.jpeg", "SIG-20250701_1044an0pf.jpeg")</f>
        <v>SIG-20250701_1044an0pf.jpeg</v>
      </c>
      <c r="Q957" s="3" t="str">
        <f>HYPERLINK("https://www.google.com/maps/place/8.8880318%2C-12.0484436", "8.8880318,-12.0484436")</f>
        <v>8.8880318,-12.0484436</v>
      </c>
    </row>
    <row r="958" ht="15.75" customHeight="1">
      <c r="A958" s="1" t="s">
        <v>2584</v>
      </c>
      <c r="B958" s="1" t="s">
        <v>18</v>
      </c>
      <c r="C958" s="1" t="s">
        <v>2585</v>
      </c>
      <c r="D958" s="1" t="s">
        <v>2585</v>
      </c>
      <c r="E958" s="2">
        <v>45839.0</v>
      </c>
      <c r="F958" s="1" t="s">
        <v>68</v>
      </c>
      <c r="G958" s="1" t="s">
        <v>88</v>
      </c>
      <c r="H958" s="1" t="s">
        <v>797</v>
      </c>
      <c r="I958" s="1">
        <v>710.0</v>
      </c>
      <c r="J958" s="1" t="s">
        <v>24</v>
      </c>
      <c r="K958" s="1">
        <v>710.0</v>
      </c>
      <c r="L958" s="1">
        <v>660.0</v>
      </c>
      <c r="M958" s="1">
        <v>50.0</v>
      </c>
      <c r="N958" s="1">
        <v>50.0</v>
      </c>
      <c r="O958" s="1" t="s">
        <v>2586</v>
      </c>
      <c r="P958" s="3" t="str">
        <f>HYPERLINK("https://icf.clappia.com/app/SOM165486/submission/KQR37835644/ICF247370-SOM165486-4l75339m0ebo00000000/SIG-20250701_1041c14gg.jpeg", "SIG-20250701_1041c14gg.jpeg")</f>
        <v>SIG-20250701_1041c14gg.jpeg</v>
      </c>
      <c r="Q958" s="3" t="str">
        <f>HYPERLINK("https://www.google.com/maps/place/8.8901083%2C-12.0492583", "8.8901083,-12.0492583")</f>
        <v>8.8901083,-12.0492583</v>
      </c>
    </row>
    <row r="959" ht="15.75" customHeight="1">
      <c r="A959" s="1" t="s">
        <v>2587</v>
      </c>
      <c r="B959" s="1" t="s">
        <v>18</v>
      </c>
      <c r="C959" s="1" t="s">
        <v>2588</v>
      </c>
      <c r="D959" s="1" t="s">
        <v>2588</v>
      </c>
      <c r="E959" s="2">
        <v>45838.0</v>
      </c>
      <c r="F959" s="1" t="s">
        <v>68</v>
      </c>
      <c r="G959" s="1" t="s">
        <v>88</v>
      </c>
      <c r="H959" s="1" t="s">
        <v>515</v>
      </c>
      <c r="I959" s="1">
        <v>150.0</v>
      </c>
      <c r="J959" s="1" t="s">
        <v>24</v>
      </c>
      <c r="K959" s="1">
        <v>150.0</v>
      </c>
      <c r="L959" s="1">
        <v>150.0</v>
      </c>
      <c r="M959" s="1" t="s">
        <v>24</v>
      </c>
      <c r="N959" s="1" t="s">
        <v>24</v>
      </c>
      <c r="O959" s="1" t="s">
        <v>544</v>
      </c>
      <c r="P959" s="3" t="str">
        <f>HYPERLINK("https://icf.clappia.com/app/SOM165486/submission/JRX29226183/ICF247370-SOM165486-57j8f76oahai00000000/SIG-20250630_145030gep.jpeg", "SIG-20250630_145030gep.jpeg")</f>
        <v>SIG-20250630_145030gep.jpeg</v>
      </c>
      <c r="Q959" s="3" t="str">
        <f>HYPERLINK("https://www.google.com/maps/place/8.9033683%2C-12.0454283", "8.9033683,-12.0454283")</f>
        <v>8.9033683,-12.0454283</v>
      </c>
    </row>
    <row r="960" ht="15.75" customHeight="1">
      <c r="A960" s="1" t="s">
        <v>2589</v>
      </c>
      <c r="B960" s="1" t="s">
        <v>18</v>
      </c>
      <c r="C960" s="1" t="s">
        <v>2590</v>
      </c>
      <c r="D960" s="1" t="s">
        <v>2590</v>
      </c>
      <c r="E960" s="2">
        <v>45838.0</v>
      </c>
      <c r="F960" s="1" t="s">
        <v>68</v>
      </c>
      <c r="G960" s="1" t="s">
        <v>69</v>
      </c>
      <c r="H960" s="1" t="s">
        <v>806</v>
      </c>
      <c r="I960" s="1">
        <v>290.0</v>
      </c>
      <c r="J960" s="1" t="s">
        <v>24</v>
      </c>
      <c r="K960" s="1">
        <v>290.0</v>
      </c>
      <c r="L960" s="1">
        <v>154.0</v>
      </c>
      <c r="M960" s="1">
        <v>136.0</v>
      </c>
      <c r="N960" s="1">
        <v>136.0</v>
      </c>
      <c r="O960" s="1" t="s">
        <v>807</v>
      </c>
      <c r="P960" s="3" t="str">
        <f>HYPERLINK("https://icf.clappia.com/app/SOM165486/submission/ANS96944617/ICF247370-SOM165486-1a9dm752eom2k0000000/SIG-20250701_09181457bk.jpeg", "SIG-20250701_09181457bk.jpeg")</f>
        <v>SIG-20250701_09181457bk.jpeg</v>
      </c>
      <c r="Q960" s="3" t="str">
        <f>HYPERLINK("https://www.google.com/maps/place/8.8787267%2C-12.2949633", "8.8787267,-12.2949633")</f>
        <v>8.8787267,-12.2949633</v>
      </c>
    </row>
    <row r="961" ht="15.75" customHeight="1">
      <c r="A961" s="1" t="s">
        <v>2591</v>
      </c>
      <c r="B961" s="1" t="s">
        <v>18</v>
      </c>
      <c r="C961" s="1" t="s">
        <v>374</v>
      </c>
      <c r="D961" s="1" t="s">
        <v>374</v>
      </c>
      <c r="E961" s="2">
        <v>45839.0</v>
      </c>
      <c r="F961" s="1" t="s">
        <v>68</v>
      </c>
      <c r="G961" s="1" t="s">
        <v>597</v>
      </c>
      <c r="H961" s="1" t="s">
        <v>598</v>
      </c>
      <c r="I961" s="1">
        <v>141.0</v>
      </c>
      <c r="J961" s="1" t="s">
        <v>24</v>
      </c>
      <c r="K961" s="1">
        <v>141.0</v>
      </c>
      <c r="L961" s="1">
        <v>99.0</v>
      </c>
      <c r="M961" s="1">
        <v>42.0</v>
      </c>
      <c r="N961" s="1">
        <v>42.0</v>
      </c>
      <c r="O961" s="1" t="s">
        <v>1367</v>
      </c>
      <c r="P961" s="3" t="str">
        <f>HYPERLINK("https://icf.clappia.com/app/SOM165486/submission/KLU90055791/ICF247370-SOM165486-52j73935a7i600000000/SIG-20250701_1029h9i81.jpeg", "SIG-20250701_1029h9i81.jpeg")</f>
        <v>SIG-20250701_1029h9i81.jpeg</v>
      </c>
      <c r="Q961" s="3" t="str">
        <f>HYPERLINK("https://www.google.com/maps/place/8.7013233%2C-12.2338583", "8.7013233,-12.2338583")</f>
        <v>8.7013233,-12.2338583</v>
      </c>
    </row>
    <row r="962" ht="15.75" customHeight="1">
      <c r="A962" s="1" t="s">
        <v>2592</v>
      </c>
      <c r="B962" s="1" t="s">
        <v>18</v>
      </c>
      <c r="C962" s="1" t="s">
        <v>2593</v>
      </c>
      <c r="D962" s="1" t="s">
        <v>2594</v>
      </c>
      <c r="E962" s="2">
        <v>45839.0</v>
      </c>
      <c r="F962" s="1" t="s">
        <v>68</v>
      </c>
      <c r="G962" s="1" t="s">
        <v>83</v>
      </c>
      <c r="H962" s="1" t="s">
        <v>2595</v>
      </c>
      <c r="I962" s="1">
        <v>400.0</v>
      </c>
      <c r="J962" s="1">
        <v>33.0</v>
      </c>
      <c r="K962" s="1">
        <v>433.0</v>
      </c>
      <c r="L962" s="1">
        <v>401.0</v>
      </c>
      <c r="M962" s="1">
        <v>32.0</v>
      </c>
      <c r="N962" s="1">
        <v>32.0</v>
      </c>
      <c r="O962" s="1" t="s">
        <v>2596</v>
      </c>
      <c r="P962" s="3" t="str">
        <f>HYPERLINK("https://icf.clappia.com/app/SOM165486/submission/BMI14126490/ICF247370-SOM165486-1627oboco60c80000000/SIG-20250701_1021ipfec.jpeg", "SIG-20250701_1021ipfec.jpeg")</f>
        <v>SIG-20250701_1021ipfec.jpeg</v>
      </c>
      <c r="Q962" s="3" t="str">
        <f>HYPERLINK("https://www.google.com/maps/place/8.7650583%2C-12.0797683", "8.7650583,-12.0797683")</f>
        <v>8.7650583,-12.0797683</v>
      </c>
    </row>
    <row r="963" ht="15.75" customHeight="1">
      <c r="A963" s="1" t="s">
        <v>2597</v>
      </c>
      <c r="B963" s="1" t="s">
        <v>283</v>
      </c>
      <c r="C963" s="1" t="s">
        <v>2598</v>
      </c>
      <c r="D963" s="1" t="s">
        <v>2598</v>
      </c>
      <c r="E963" s="2">
        <v>45839.0</v>
      </c>
      <c r="F963" s="1" t="s">
        <v>68</v>
      </c>
      <c r="G963" s="1" t="s">
        <v>69</v>
      </c>
      <c r="H963" s="1" t="s">
        <v>584</v>
      </c>
      <c r="I963" s="1">
        <v>100.0</v>
      </c>
      <c r="J963" s="1" t="s">
        <v>24</v>
      </c>
      <c r="K963" s="1">
        <v>100.0</v>
      </c>
      <c r="L963" s="1">
        <v>84.0</v>
      </c>
      <c r="M963" s="1">
        <v>16.0</v>
      </c>
      <c r="N963" s="1">
        <v>6.0</v>
      </c>
      <c r="O963" s="1" t="s">
        <v>662</v>
      </c>
      <c r="P963" s="3" t="str">
        <f>HYPERLINK("https://icf.clappia.com/app/SOM165486/submission/GUC43200406/ICF247370-SOM165486-4j0e52c3gpcc00000000/SIG-20250701_1024kajfl.jpeg", "SIG-20250701_1024kajfl.jpeg")</f>
        <v>SIG-20250701_1024kajfl.jpeg</v>
      </c>
      <c r="Q963" s="3" t="str">
        <f>HYPERLINK("https://www.google.com/maps/place/8.7661872%2C-12.196796", "8.7661872,-12.196796")</f>
        <v>8.7661872,-12.196796</v>
      </c>
    </row>
    <row r="964" ht="15.75" customHeight="1">
      <c r="A964" s="1" t="s">
        <v>2599</v>
      </c>
      <c r="B964" s="1" t="s">
        <v>18</v>
      </c>
      <c r="C964" s="1" t="s">
        <v>2600</v>
      </c>
      <c r="D964" s="1" t="s">
        <v>2600</v>
      </c>
      <c r="E964" s="2">
        <v>45839.0</v>
      </c>
      <c r="F964" s="1" t="s">
        <v>68</v>
      </c>
      <c r="G964" s="1" t="s">
        <v>672</v>
      </c>
      <c r="H964" s="1" t="s">
        <v>1862</v>
      </c>
      <c r="I964" s="1">
        <v>188.0</v>
      </c>
      <c r="J964" s="1" t="s">
        <v>24</v>
      </c>
      <c r="K964" s="1">
        <v>188.0</v>
      </c>
      <c r="L964" s="1">
        <v>188.0</v>
      </c>
      <c r="M964" s="1" t="s">
        <v>24</v>
      </c>
      <c r="N964" s="1" t="s">
        <v>24</v>
      </c>
      <c r="O964" s="1" t="s">
        <v>2601</v>
      </c>
      <c r="P964" s="3" t="str">
        <f>HYPERLINK("https://icf.clappia.com/app/SOM165486/submission/TRM92505416/ICF247370-SOM165486-49e64i4a232400000000/SIG-20250701_100917e6c3.jpeg", "SIG-20250701_100917e6c3.jpeg")</f>
        <v>SIG-20250701_100917e6c3.jpeg</v>
      </c>
      <c r="Q964" s="3" t="str">
        <f>HYPERLINK("https://www.google.com/maps/place/8.9862967%2C-11.97986", "8.9862967,-11.97986")</f>
        <v>8.9862967,-11.97986</v>
      </c>
    </row>
    <row r="965" ht="15.75" customHeight="1">
      <c r="A965" s="1" t="s">
        <v>2602</v>
      </c>
      <c r="B965" s="1" t="s">
        <v>18</v>
      </c>
      <c r="C965" s="1" t="s">
        <v>2603</v>
      </c>
      <c r="D965" s="1" t="s">
        <v>2603</v>
      </c>
      <c r="E965" s="2">
        <v>45838.0</v>
      </c>
      <c r="F965" s="1" t="s">
        <v>68</v>
      </c>
      <c r="G965" s="1" t="s">
        <v>286</v>
      </c>
      <c r="H965" s="1" t="s">
        <v>320</v>
      </c>
      <c r="I965" s="1">
        <v>150.0</v>
      </c>
      <c r="J965" s="1" t="s">
        <v>24</v>
      </c>
      <c r="K965" s="1">
        <v>150.0</v>
      </c>
      <c r="L965" s="1">
        <v>150.0</v>
      </c>
      <c r="M965" s="1" t="s">
        <v>24</v>
      </c>
      <c r="N965" s="1" t="s">
        <v>24</v>
      </c>
      <c r="O965" s="1" t="s">
        <v>1953</v>
      </c>
      <c r="P965" s="3" t="str">
        <f>HYPERLINK("https://icf.clappia.com/app/SOM165486/submission/TKR16282230/ICF247370-SOM165486-j53j3pik0ac00000000/SIG-20250701_0959kilfe.jpeg", "SIG-20250701_0959kilfe.jpeg")</f>
        <v>SIG-20250701_0959kilfe.jpeg</v>
      </c>
      <c r="Q965" s="3" t="str">
        <f>HYPERLINK("https://www.google.com/maps/place/9.018725%2C-12.2841033", "9.018725,-12.2841033")</f>
        <v>9.018725,-12.2841033</v>
      </c>
    </row>
    <row r="966" ht="15.75" customHeight="1">
      <c r="A966" s="1" t="s">
        <v>2604</v>
      </c>
      <c r="B966" s="1" t="s">
        <v>18</v>
      </c>
      <c r="C966" s="1" t="s">
        <v>2603</v>
      </c>
      <c r="D966" s="1" t="s">
        <v>2603</v>
      </c>
      <c r="E966" s="2">
        <v>45838.0</v>
      </c>
      <c r="F966" s="1" t="s">
        <v>21</v>
      </c>
      <c r="G966" s="1" t="s">
        <v>95</v>
      </c>
      <c r="H966" s="1" t="s">
        <v>710</v>
      </c>
      <c r="I966" s="1">
        <v>66.0</v>
      </c>
      <c r="J966" s="1" t="s">
        <v>24</v>
      </c>
      <c r="K966" s="1">
        <v>66.0</v>
      </c>
      <c r="L966" s="1">
        <v>24.0</v>
      </c>
      <c r="M966" s="1">
        <v>42.0</v>
      </c>
      <c r="N966" s="1">
        <v>10.0</v>
      </c>
      <c r="O966" s="1" t="s">
        <v>2227</v>
      </c>
      <c r="P966" s="3" t="str">
        <f>HYPERLINK("https://icf.clappia.com/app/SOM165486/submission/ZQX51226805/ICF247370-SOM165486-28oe9j1hfh6o00000000/SIG-20250701_100192cap.jpeg", "SIG-20250701_100192cap.jpeg")</f>
        <v>SIG-20250701_100192cap.jpeg</v>
      </c>
      <c r="Q966" s="3" t="str">
        <f>HYPERLINK("https://www.google.com/maps/place/7.9483683%2C-11.7051583", "7.9483683,-11.7051583")</f>
        <v>7.9483683,-11.7051583</v>
      </c>
    </row>
    <row r="967" ht="15.75" customHeight="1">
      <c r="A967" s="1" t="s">
        <v>2605</v>
      </c>
      <c r="B967" s="1" t="s">
        <v>18</v>
      </c>
      <c r="C967" s="1" t="s">
        <v>2606</v>
      </c>
      <c r="D967" s="1" t="s">
        <v>2607</v>
      </c>
      <c r="E967" s="2">
        <v>45838.0</v>
      </c>
      <c r="F967" s="1" t="s">
        <v>68</v>
      </c>
      <c r="G967" s="1" t="s">
        <v>69</v>
      </c>
      <c r="H967" s="1" t="s">
        <v>70</v>
      </c>
      <c r="I967" s="1">
        <v>150.0</v>
      </c>
      <c r="J967" s="1" t="s">
        <v>24</v>
      </c>
      <c r="K967" s="1">
        <v>150.0</v>
      </c>
      <c r="L967" s="1">
        <v>150.0</v>
      </c>
      <c r="M967" s="1" t="s">
        <v>24</v>
      </c>
      <c r="N967" s="1" t="s">
        <v>24</v>
      </c>
      <c r="O967" s="1" t="s">
        <v>2270</v>
      </c>
      <c r="P967" s="3" t="str">
        <f>HYPERLINK("https://icf.clappia.com/app/SOM165486/submission/WVZ01285012/ICF247370-SOM165486-3p0mdkf9a3ck00000000/SIG-20250630_1310p00ea.jpeg", "SIG-20250630_1310p00ea.jpeg")</f>
        <v>SIG-20250630_1310p00ea.jpeg</v>
      </c>
      <c r="Q967" s="3" t="str">
        <f>HYPERLINK("https://www.google.com/maps/place/8.8772133%2C-12.1083133", "8.8772133,-12.1083133")</f>
        <v>8.8772133,-12.1083133</v>
      </c>
    </row>
    <row r="968" ht="15.75" customHeight="1">
      <c r="A968" s="1" t="s">
        <v>2608</v>
      </c>
      <c r="B968" s="1" t="s">
        <v>18</v>
      </c>
      <c r="C968" s="1" t="s">
        <v>2609</v>
      </c>
      <c r="D968" s="1" t="s">
        <v>2609</v>
      </c>
      <c r="E968" s="2">
        <v>45839.0</v>
      </c>
      <c r="F968" s="1" t="s">
        <v>68</v>
      </c>
      <c r="G968" s="1" t="s">
        <v>630</v>
      </c>
      <c r="H968" s="1" t="s">
        <v>1985</v>
      </c>
      <c r="I968" s="1">
        <v>120.0</v>
      </c>
      <c r="J968" s="1" t="s">
        <v>24</v>
      </c>
      <c r="K968" s="1">
        <v>120.0</v>
      </c>
      <c r="L968" s="1">
        <v>117.0</v>
      </c>
      <c r="M968" s="1">
        <v>3.0</v>
      </c>
      <c r="N968" s="1">
        <v>3.0</v>
      </c>
      <c r="O968" s="1" t="s">
        <v>1986</v>
      </c>
      <c r="P968" s="3" t="str">
        <f>HYPERLINK("https://icf.clappia.com/app/SOM165486/submission/CQH43054353/ICF247370-SOM165486-61c9j5j394i800000000/SIG-20250701_0945hdn7.jpeg", "SIG-20250701_0945hdn7.jpeg")</f>
        <v>SIG-20250701_0945hdn7.jpeg</v>
      </c>
      <c r="Q968" s="3" t="str">
        <f>HYPERLINK("https://www.google.com/maps/place/9.2604417%2C-12.2060433", "9.2604417,-12.2060433")</f>
        <v>9.2604417,-12.2060433</v>
      </c>
    </row>
    <row r="969" ht="15.75" customHeight="1">
      <c r="A969" s="1" t="s">
        <v>2610</v>
      </c>
      <c r="B969" s="1" t="s">
        <v>18</v>
      </c>
      <c r="C969" s="1" t="s">
        <v>2611</v>
      </c>
      <c r="D969" s="1" t="s">
        <v>2612</v>
      </c>
      <c r="E969" s="2">
        <v>45838.0</v>
      </c>
      <c r="F969" s="1" t="s">
        <v>68</v>
      </c>
      <c r="G969" s="1" t="s">
        <v>325</v>
      </c>
      <c r="H969" s="1" t="s">
        <v>1670</v>
      </c>
      <c r="I969" s="1">
        <v>400.0</v>
      </c>
      <c r="J969" s="1" t="s">
        <v>24</v>
      </c>
      <c r="K969" s="1">
        <v>400.0</v>
      </c>
      <c r="L969" s="1">
        <v>279.0</v>
      </c>
      <c r="M969" s="1">
        <v>121.0</v>
      </c>
      <c r="N969" s="1">
        <v>121.0</v>
      </c>
      <c r="O969" s="1" t="s">
        <v>2323</v>
      </c>
      <c r="P969" s="3" t="str">
        <f>HYPERLINK("https://icf.clappia.com/app/SOM165486/submission/MHU17731604/ICF247370-SOM165486-14a33mhin3n9i0000000/SIG-20250701_0945220eh.jpeg", "SIG-20250701_0945220eh.jpeg")</f>
        <v>SIG-20250701_0945220eh.jpeg</v>
      </c>
      <c r="Q969" s="3" t="str">
        <f>HYPERLINK("https://www.google.com/maps/place/8.8005949%2C-11.9646356", "8.8005949,-11.9646356")</f>
        <v>8.8005949,-11.9646356</v>
      </c>
    </row>
    <row r="970" ht="15.75" customHeight="1">
      <c r="A970" s="1" t="s">
        <v>2613</v>
      </c>
      <c r="B970" s="1" t="s">
        <v>18</v>
      </c>
      <c r="C970" s="1" t="s">
        <v>2612</v>
      </c>
      <c r="D970" s="1" t="s">
        <v>2612</v>
      </c>
      <c r="E970" s="2">
        <v>45839.0</v>
      </c>
      <c r="F970" s="1" t="s">
        <v>21</v>
      </c>
      <c r="G970" s="1" t="s">
        <v>58</v>
      </c>
      <c r="H970" s="1" t="s">
        <v>1054</v>
      </c>
      <c r="I970" s="1">
        <v>234.0</v>
      </c>
      <c r="J970" s="1" t="s">
        <v>24</v>
      </c>
      <c r="K970" s="1">
        <v>234.0</v>
      </c>
      <c r="L970" s="1">
        <v>234.0</v>
      </c>
      <c r="M970" s="1" t="s">
        <v>24</v>
      </c>
      <c r="N970" s="1" t="s">
        <v>24</v>
      </c>
      <c r="O970" s="1" t="s">
        <v>2614</v>
      </c>
      <c r="P970" s="3" t="str">
        <f>HYPERLINK("https://icf.clappia.com/app/SOM165486/submission/JPG96175873/ICF247370-SOM165486-21m8065llgni00000000/SIG-20250701_09455m55i.jpeg", "SIG-20250701_09455m55i.jpeg")</f>
        <v>SIG-20250701_09455m55i.jpeg</v>
      </c>
      <c r="Q970" s="3" t="str">
        <f>HYPERLINK("https://www.google.com/maps/place/7.9610083%2C-11.773425", "7.9610083,-11.773425")</f>
        <v>7.9610083,-11.773425</v>
      </c>
    </row>
    <row r="971" ht="15.75" customHeight="1">
      <c r="A971" s="1" t="s">
        <v>2615</v>
      </c>
      <c r="B971" s="1" t="s">
        <v>18</v>
      </c>
      <c r="C971" s="1" t="s">
        <v>2616</v>
      </c>
      <c r="D971" s="1" t="s">
        <v>2616</v>
      </c>
      <c r="E971" s="2">
        <v>45838.0</v>
      </c>
      <c r="F971" s="1" t="s">
        <v>21</v>
      </c>
      <c r="G971" s="1" t="s">
        <v>29</v>
      </c>
      <c r="H971" s="1" t="s">
        <v>2082</v>
      </c>
      <c r="I971" s="1">
        <v>200.0</v>
      </c>
      <c r="J971" s="1" t="s">
        <v>24</v>
      </c>
      <c r="K971" s="1">
        <v>200.0</v>
      </c>
      <c r="L971" s="1">
        <v>171.0</v>
      </c>
      <c r="M971" s="1">
        <v>29.0</v>
      </c>
      <c r="N971" s="1">
        <v>29.0</v>
      </c>
      <c r="O971" s="1" t="s">
        <v>2617</v>
      </c>
      <c r="P971" s="3" t="str">
        <f>HYPERLINK("https://icf.clappia.com/app/SOM165486/submission/PMM99916567/ICF247370-SOM165486-12lfla03eii780000000/SIG-20250701_0943knp4a.jpeg", "SIG-20250701_0943knp4a.jpeg")</f>
        <v>SIG-20250701_0943knp4a.jpeg</v>
      </c>
      <c r="Q971" s="3" t="str">
        <f>HYPERLINK("https://www.google.com/maps/place/8.200345%2C-11.4591733", "8.200345,-11.4591733")</f>
        <v>8.200345,-11.4591733</v>
      </c>
    </row>
    <row r="972" ht="15.75" customHeight="1">
      <c r="A972" s="1" t="s">
        <v>2618</v>
      </c>
      <c r="B972" s="1" t="s">
        <v>18</v>
      </c>
      <c r="C972" s="1" t="s">
        <v>2619</v>
      </c>
      <c r="D972" s="1" t="s">
        <v>2619</v>
      </c>
      <c r="E972" s="2">
        <v>45839.0</v>
      </c>
      <c r="F972" s="1" t="s">
        <v>68</v>
      </c>
      <c r="G972" s="1" t="s">
        <v>88</v>
      </c>
      <c r="H972" s="1" t="s">
        <v>634</v>
      </c>
      <c r="I972" s="1">
        <v>200.0</v>
      </c>
      <c r="J972" s="1" t="s">
        <v>24</v>
      </c>
      <c r="K972" s="1">
        <v>200.0</v>
      </c>
      <c r="L972" s="1">
        <v>169.0</v>
      </c>
      <c r="M972" s="1">
        <v>31.0</v>
      </c>
      <c r="N972" s="1">
        <v>31.0</v>
      </c>
      <c r="O972" s="1" t="s">
        <v>2620</v>
      </c>
      <c r="P972" s="3" t="str">
        <f>HYPERLINK("https://icf.clappia.com/app/SOM165486/submission/IJN77465791/ICF247370-SOM165486-2op0o3fknph800000000/SIG-20250701_093316610g.jpeg", "SIG-20250701_093316610g.jpeg")</f>
        <v>SIG-20250701_093316610g.jpeg</v>
      </c>
      <c r="Q972" s="3" t="str">
        <f>HYPERLINK("https://www.google.com/maps/place/8.8917198%2C-12.036574", "8.8917198,-12.036574")</f>
        <v>8.8917198,-12.036574</v>
      </c>
    </row>
    <row r="973" ht="15.75" customHeight="1">
      <c r="A973" s="1" t="s">
        <v>2621</v>
      </c>
      <c r="B973" s="1" t="s">
        <v>18</v>
      </c>
      <c r="C973" s="1" t="s">
        <v>2622</v>
      </c>
      <c r="D973" s="1" t="s">
        <v>2623</v>
      </c>
      <c r="E973" s="2">
        <v>45838.0</v>
      </c>
      <c r="F973" s="1" t="s">
        <v>68</v>
      </c>
      <c r="G973" s="1" t="s">
        <v>325</v>
      </c>
      <c r="H973" s="1" t="s">
        <v>2624</v>
      </c>
      <c r="I973" s="1">
        <v>250.0</v>
      </c>
      <c r="J973" s="1" t="s">
        <v>24</v>
      </c>
      <c r="K973" s="1">
        <v>250.0</v>
      </c>
      <c r="L973" s="1">
        <v>173.0</v>
      </c>
      <c r="M973" s="1">
        <v>77.0</v>
      </c>
      <c r="N973" s="1">
        <v>77.0</v>
      </c>
      <c r="O973" s="1" t="s">
        <v>2625</v>
      </c>
      <c r="P973" s="3" t="str">
        <f>HYPERLINK("https://icf.clappia.com/app/SOM165486/submission/CSQ04933289/ICF247370-SOM165486-69db9do65aoo00000000/SIG-20250630_195015ifb6.jpeg", "SIG-20250630_195015ifb6.jpeg")</f>
        <v>SIG-20250630_195015ifb6.jpeg</v>
      </c>
      <c r="Q973" s="3" t="str">
        <f>HYPERLINK("https://www.google.com/maps/place/8.75981%2C-11.9557117", "8.75981,-11.9557117")</f>
        <v>8.75981,-11.9557117</v>
      </c>
    </row>
    <row r="974" ht="15.75" customHeight="1">
      <c r="A974" s="1" t="s">
        <v>2626</v>
      </c>
      <c r="B974" s="1" t="s">
        <v>18</v>
      </c>
      <c r="C974" s="1" t="s">
        <v>2627</v>
      </c>
      <c r="D974" s="1" t="s">
        <v>2627</v>
      </c>
      <c r="E974" s="2">
        <v>45838.0</v>
      </c>
      <c r="F974" s="1" t="s">
        <v>68</v>
      </c>
      <c r="G974" s="1" t="s">
        <v>592</v>
      </c>
      <c r="H974" s="1" t="s">
        <v>693</v>
      </c>
      <c r="I974" s="1">
        <v>250.0</v>
      </c>
      <c r="J974" s="1" t="s">
        <v>24</v>
      </c>
      <c r="K974" s="1">
        <v>250.0</v>
      </c>
      <c r="L974" s="1">
        <v>241.0</v>
      </c>
      <c r="M974" s="1">
        <v>9.0</v>
      </c>
      <c r="N974" s="1" t="s">
        <v>24</v>
      </c>
      <c r="O974" s="1" t="s">
        <v>2628</v>
      </c>
      <c r="P974" s="3" t="str">
        <f>HYPERLINK("https://icf.clappia.com/app/SOM165486/submission/VVO39825536/ICF247370-SOM165486-18ald999873pi0000000/SIG-20250630_1407j1j4k.jpeg", "SIG-20250630_1407j1j4k.jpeg")</f>
        <v>SIG-20250630_1407j1j4k.jpeg</v>
      </c>
      <c r="Q974" s="3" t="str">
        <f>HYPERLINK("https://www.google.com/maps/place/8.9172982%2C-12.0313734", "8.9172982,-12.0313734")</f>
        <v>8.9172982,-12.0313734</v>
      </c>
    </row>
    <row r="975" ht="15.75" customHeight="1">
      <c r="A975" s="1" t="s">
        <v>2629</v>
      </c>
      <c r="B975" s="1" t="s">
        <v>18</v>
      </c>
      <c r="C975" s="1" t="s">
        <v>2630</v>
      </c>
      <c r="D975" s="1" t="s">
        <v>2631</v>
      </c>
      <c r="E975" s="2">
        <v>45838.0</v>
      </c>
      <c r="F975" s="1" t="s">
        <v>68</v>
      </c>
      <c r="G975" s="1" t="s">
        <v>325</v>
      </c>
      <c r="H975" s="1" t="s">
        <v>2624</v>
      </c>
      <c r="I975" s="1">
        <v>250.0</v>
      </c>
      <c r="J975" s="1" t="s">
        <v>24</v>
      </c>
      <c r="K975" s="1">
        <v>250.0</v>
      </c>
      <c r="L975" s="1">
        <v>173.0</v>
      </c>
      <c r="M975" s="1">
        <v>77.0</v>
      </c>
      <c r="N975" s="1">
        <v>77.0</v>
      </c>
      <c r="O975" s="1" t="s">
        <v>2625</v>
      </c>
      <c r="P975" s="3" t="str">
        <f>HYPERLINK("https://icf.clappia.com/app/SOM165486/submission/EIC49907546/ICF247370-SOM165486-39c3klga5fgk00000000/SIG-20250630_19489l8pm.jpeg", "SIG-20250630_19489l8pm.jpeg")</f>
        <v>SIG-20250630_19489l8pm.jpeg</v>
      </c>
      <c r="Q975" s="3" t="str">
        <f>HYPERLINK("https://www.google.com/maps/place/8.7599117%2C-11.9556733", "8.7599117,-11.9556733")</f>
        <v>8.7599117,-11.9556733</v>
      </c>
    </row>
    <row r="976" ht="15.75" customHeight="1">
      <c r="A976" s="1" t="s">
        <v>2632</v>
      </c>
      <c r="B976" s="1" t="s">
        <v>18</v>
      </c>
      <c r="C976" s="1" t="s">
        <v>2633</v>
      </c>
      <c r="D976" s="1" t="s">
        <v>2631</v>
      </c>
      <c r="E976" s="2">
        <v>45838.0</v>
      </c>
      <c r="F976" s="1" t="s">
        <v>21</v>
      </c>
      <c r="G976" s="1" t="s">
        <v>77</v>
      </c>
      <c r="H976" s="1" t="s">
        <v>120</v>
      </c>
      <c r="I976" s="1">
        <v>100.0</v>
      </c>
      <c r="J976" s="1" t="s">
        <v>24</v>
      </c>
      <c r="K976" s="1">
        <v>100.0</v>
      </c>
      <c r="L976" s="1">
        <v>100.0</v>
      </c>
      <c r="M976" s="1" t="s">
        <v>24</v>
      </c>
      <c r="N976" s="1" t="s">
        <v>24</v>
      </c>
      <c r="O976" s="1" t="s">
        <v>2634</v>
      </c>
      <c r="P976" s="3" t="str">
        <f>HYPERLINK("https://icf.clappia.com/app/SOM165486/submission/XND12377539/ICF247370-SOM165486-30me0d0gm9mo00000000/SIG-20250630_121818mcgd.jpeg", "SIG-20250630_121818mcgd.jpeg")</f>
        <v>SIG-20250630_121818mcgd.jpeg</v>
      </c>
    </row>
    <row r="977" ht="15.75" customHeight="1">
      <c r="A977" s="1" t="s">
        <v>2635</v>
      </c>
      <c r="B977" s="1" t="s">
        <v>283</v>
      </c>
      <c r="C977" s="1" t="s">
        <v>2636</v>
      </c>
      <c r="D977" s="1" t="s">
        <v>2636</v>
      </c>
      <c r="E977" s="2">
        <v>45838.0</v>
      </c>
      <c r="F977" s="1" t="s">
        <v>21</v>
      </c>
      <c r="G977" s="1" t="s">
        <v>1646</v>
      </c>
      <c r="H977" s="1" t="s">
        <v>1647</v>
      </c>
      <c r="I977" s="1">
        <v>250.0</v>
      </c>
      <c r="J977" s="1" t="s">
        <v>24</v>
      </c>
      <c r="K977" s="1">
        <v>250.0</v>
      </c>
      <c r="L977" s="1">
        <v>209.0</v>
      </c>
      <c r="M977" s="1">
        <v>41.0</v>
      </c>
      <c r="N977" s="1">
        <v>41.0</v>
      </c>
      <c r="O977" s="1" t="s">
        <v>2637</v>
      </c>
      <c r="P977" s="3" t="str">
        <f>HYPERLINK("https://icf.clappia.com/app/SOM165486/submission/MVZ62662113/ICF247370-SOM165486-9f58bmh0b2o00000000/SIG-20250701_091217ehef.jpeg", "SIG-20250701_091217ehef.jpeg")</f>
        <v>SIG-20250701_091217ehef.jpeg</v>
      </c>
      <c r="Q977" s="3" t="str">
        <f>HYPERLINK("https://www.google.com/maps/place/8.1094467%2C-11.8493517", "8.1094467,-11.8493517")</f>
        <v>8.1094467,-11.8493517</v>
      </c>
    </row>
    <row r="978" ht="15.75" customHeight="1">
      <c r="A978" s="1" t="s">
        <v>2638</v>
      </c>
      <c r="B978" s="1" t="s">
        <v>18</v>
      </c>
      <c r="C978" s="1" t="s">
        <v>1769</v>
      </c>
      <c r="D978" s="1" t="s">
        <v>1769</v>
      </c>
      <c r="E978" s="2">
        <v>45838.0</v>
      </c>
      <c r="F978" s="1" t="s">
        <v>68</v>
      </c>
      <c r="G978" s="1" t="s">
        <v>88</v>
      </c>
      <c r="H978" s="1" t="s">
        <v>515</v>
      </c>
      <c r="I978" s="1">
        <v>150.0</v>
      </c>
      <c r="J978" s="1">
        <v>50.0</v>
      </c>
      <c r="K978" s="1">
        <v>200.0</v>
      </c>
      <c r="L978" s="1">
        <v>157.0</v>
      </c>
      <c r="M978" s="1">
        <v>43.0</v>
      </c>
      <c r="N978" s="1">
        <v>43.0</v>
      </c>
      <c r="O978" s="1" t="s">
        <v>554</v>
      </c>
      <c r="P978" s="3" t="str">
        <f>HYPERLINK("https://icf.clappia.com/app/SOM165486/submission/QIH37881619/ICF247370-SOM165486-52dgfbfjdl8g00000000/SIG-20250630_11466jbh6.jpeg", "SIG-20250630_11466jbh6.jpeg")</f>
        <v>SIG-20250630_11466jbh6.jpeg</v>
      </c>
      <c r="Q978" s="3" t="str">
        <f>HYPERLINK("https://www.google.com/maps/place/8.9034832%2C-12.0458768", "8.9034832,-12.0458768")</f>
        <v>8.9034832,-12.0458768</v>
      </c>
    </row>
    <row r="979" ht="15.75" customHeight="1">
      <c r="A979" s="1" t="s">
        <v>2639</v>
      </c>
      <c r="B979" s="1" t="s">
        <v>283</v>
      </c>
      <c r="C979" s="1" t="s">
        <v>2640</v>
      </c>
      <c r="D979" s="1" t="s">
        <v>2640</v>
      </c>
      <c r="E979" s="2">
        <v>45838.0</v>
      </c>
      <c r="F979" s="1" t="s">
        <v>21</v>
      </c>
      <c r="G979" s="1" t="s">
        <v>1646</v>
      </c>
      <c r="H979" s="1" t="s">
        <v>1647</v>
      </c>
      <c r="I979" s="1">
        <v>150.0</v>
      </c>
      <c r="J979" s="1" t="s">
        <v>24</v>
      </c>
      <c r="K979" s="1">
        <v>150.0</v>
      </c>
      <c r="L979" s="1">
        <v>47.0</v>
      </c>
      <c r="M979" s="1">
        <v>103.0</v>
      </c>
      <c r="N979" s="1">
        <v>103.0</v>
      </c>
      <c r="O979" s="1" t="s">
        <v>2036</v>
      </c>
      <c r="P979" s="3" t="str">
        <f>HYPERLINK("https://icf.clappia.com/app/SOM165486/submission/YNF69980935/ICF247370-SOM165486-2ejk43503img00000000/SIG-20250701_090314l6hl.jpeg", "SIG-20250701_090314l6hl.jpeg")</f>
        <v>SIG-20250701_090314l6hl.jpeg</v>
      </c>
      <c r="Q979" s="3" t="str">
        <f>HYPERLINK("https://www.google.com/maps/place/8.1092081%2C-11.8495135", "8.1092081,-11.8495135")</f>
        <v>8.1092081,-11.8495135</v>
      </c>
    </row>
    <row r="980" ht="15.75" customHeight="1">
      <c r="A980" s="1" t="s">
        <v>2641</v>
      </c>
      <c r="B980" s="1" t="s">
        <v>283</v>
      </c>
      <c r="C980" s="1" t="s">
        <v>2642</v>
      </c>
      <c r="D980" s="1" t="s">
        <v>2642</v>
      </c>
      <c r="E980" s="2">
        <v>45838.0</v>
      </c>
      <c r="F980" s="1" t="s">
        <v>21</v>
      </c>
      <c r="G980" s="1" t="s">
        <v>1646</v>
      </c>
      <c r="H980" s="1" t="s">
        <v>1647</v>
      </c>
      <c r="I980" s="1">
        <v>300.0</v>
      </c>
      <c r="J980" s="1" t="s">
        <v>24</v>
      </c>
      <c r="K980" s="1">
        <v>300.0</v>
      </c>
      <c r="L980" s="1">
        <v>217.0</v>
      </c>
      <c r="M980" s="1">
        <v>83.0</v>
      </c>
      <c r="N980" s="1">
        <v>83.0</v>
      </c>
      <c r="O980" s="1" t="s">
        <v>2033</v>
      </c>
      <c r="P980" s="3" t="str">
        <f>HYPERLINK("https://icf.clappia.com/app/SOM165486/submission/DPD04599338/ICF247370-SOM165486-11l6e7nhpoelm0000000/SIG-20250701_090123fga.jpeg", "SIG-20250701_090123fga.jpeg")</f>
        <v>SIG-20250701_090123fga.jpeg</v>
      </c>
      <c r="Q980" s="3" t="str">
        <f>HYPERLINK("https://www.google.com/maps/place/8.1091621%2C-11.8495487", "8.1091621,-11.8495487")</f>
        <v>8.1091621,-11.8495487</v>
      </c>
    </row>
    <row r="981" ht="15.75" customHeight="1">
      <c r="A981" s="1" t="s">
        <v>2643</v>
      </c>
      <c r="B981" s="1" t="s">
        <v>18</v>
      </c>
      <c r="C981" s="1" t="s">
        <v>2644</v>
      </c>
      <c r="D981" s="1" t="s">
        <v>2644</v>
      </c>
      <c r="E981" s="2">
        <v>45838.0</v>
      </c>
      <c r="F981" s="1" t="s">
        <v>68</v>
      </c>
      <c r="G981" s="1" t="s">
        <v>69</v>
      </c>
      <c r="H981" s="1" t="s">
        <v>70</v>
      </c>
      <c r="I981" s="1">
        <v>150.0</v>
      </c>
      <c r="J981" s="1" t="s">
        <v>24</v>
      </c>
      <c r="K981" s="1">
        <v>150.0</v>
      </c>
      <c r="L981" s="1">
        <v>83.0</v>
      </c>
      <c r="M981" s="1">
        <v>67.0</v>
      </c>
      <c r="N981" s="1">
        <v>58.0</v>
      </c>
      <c r="O981" s="1" t="s">
        <v>2645</v>
      </c>
      <c r="P981" s="3" t="str">
        <f>HYPERLINK("https://icf.clappia.com/app/SOM165486/submission/GCO22254932/ICF247370-SOM165486-g86kocf94gg80000000/SIG-20250701_0838fbe8g.jpeg", "SIG-20250701_0838fbe8g.jpeg")</f>
        <v>SIG-20250701_0838fbe8g.jpeg</v>
      </c>
      <c r="Q981" s="3" t="str">
        <f>HYPERLINK("https://www.google.com/maps/place/8.877323%2C-12.1070034", "8.877323,-12.1070034")</f>
        <v>8.877323,-12.1070034</v>
      </c>
    </row>
    <row r="982" ht="15.75" customHeight="1">
      <c r="A982" s="1" t="s">
        <v>2646</v>
      </c>
      <c r="B982" s="1" t="s">
        <v>18</v>
      </c>
      <c r="C982" s="1" t="s">
        <v>2647</v>
      </c>
      <c r="D982" s="1" t="s">
        <v>2647</v>
      </c>
      <c r="E982" s="2">
        <v>45839.0</v>
      </c>
      <c r="F982" s="1" t="s">
        <v>68</v>
      </c>
      <c r="G982" s="1" t="s">
        <v>630</v>
      </c>
      <c r="H982" s="1" t="s">
        <v>1985</v>
      </c>
      <c r="I982" s="1">
        <v>400.0</v>
      </c>
      <c r="J982" s="1" t="s">
        <v>24</v>
      </c>
      <c r="K982" s="1">
        <v>400.0</v>
      </c>
      <c r="L982" s="1">
        <v>228.0</v>
      </c>
      <c r="M982" s="1">
        <v>172.0</v>
      </c>
      <c r="N982" s="1">
        <v>172.0</v>
      </c>
      <c r="O982" s="1" t="s">
        <v>2648</v>
      </c>
      <c r="P982" s="3" t="str">
        <f>HYPERLINK("https://icf.clappia.com/app/SOM165486/submission/XCB89825611/ICF247370-SOM165486-4d89apg4jj3a00000000/SIG-20250701_072715odmf.jpeg", "SIG-20250701_072715odmf.jpeg")</f>
        <v>SIG-20250701_072715odmf.jpeg</v>
      </c>
      <c r="Q982" s="3" t="str">
        <f>HYPERLINK("https://www.google.com/maps/place/9.2599083%2C-12.2091867", "9.2599083,-12.2091867")</f>
        <v>9.2599083,-12.2091867</v>
      </c>
    </row>
    <row r="983" ht="15.75" customHeight="1">
      <c r="A983" s="1" t="s">
        <v>2649</v>
      </c>
      <c r="B983" s="1" t="s">
        <v>18</v>
      </c>
      <c r="C983" s="1" t="s">
        <v>2650</v>
      </c>
      <c r="D983" s="1" t="s">
        <v>2650</v>
      </c>
      <c r="E983" s="2">
        <v>45838.0</v>
      </c>
      <c r="F983" s="1" t="s">
        <v>21</v>
      </c>
      <c r="G983" s="1" t="s">
        <v>275</v>
      </c>
      <c r="H983" s="1" t="s">
        <v>1220</v>
      </c>
      <c r="I983" s="1">
        <v>22.0</v>
      </c>
      <c r="J983" s="1" t="s">
        <v>24</v>
      </c>
      <c r="K983" s="1">
        <v>22.0</v>
      </c>
      <c r="L983" s="1">
        <v>20.0</v>
      </c>
      <c r="M983" s="1">
        <v>2.0</v>
      </c>
      <c r="N983" s="1">
        <v>2.0</v>
      </c>
      <c r="O983" s="1" t="s">
        <v>2070</v>
      </c>
      <c r="P983" s="3" t="str">
        <f>HYPERLINK("https://icf.clappia.com/app/SOM165486/submission/ILK57165875/ICF247370-SOM165486-jh0ppdj69gpe0000000/SIG-20250630_21367fklp.jpeg", "SIG-20250630_21367fklp.jpeg")</f>
        <v>SIG-20250630_21367fklp.jpeg</v>
      </c>
      <c r="Q983" s="3" t="str">
        <f>HYPERLINK("https://www.google.com/maps/place/7.65262%2C-11.9640917", "7.65262,-11.9640917")</f>
        <v>7.65262,-11.9640917</v>
      </c>
    </row>
    <row r="984" ht="15.75" customHeight="1">
      <c r="A984" s="1" t="s">
        <v>2651</v>
      </c>
      <c r="B984" s="1" t="s">
        <v>18</v>
      </c>
      <c r="C984" s="1" t="s">
        <v>2652</v>
      </c>
      <c r="D984" s="1" t="s">
        <v>2652</v>
      </c>
      <c r="E984" s="2">
        <v>45838.0</v>
      </c>
      <c r="F984" s="1" t="s">
        <v>21</v>
      </c>
      <c r="G984" s="1" t="s">
        <v>275</v>
      </c>
      <c r="H984" s="1" t="s">
        <v>1220</v>
      </c>
      <c r="I984" s="1">
        <v>22.0</v>
      </c>
      <c r="J984" s="1" t="s">
        <v>24</v>
      </c>
      <c r="K984" s="1">
        <v>22.0</v>
      </c>
      <c r="L984" s="1">
        <v>20.0</v>
      </c>
      <c r="M984" s="1">
        <v>2.0</v>
      </c>
      <c r="N984" s="1">
        <v>2.0</v>
      </c>
      <c r="O984" s="1" t="s">
        <v>2070</v>
      </c>
      <c r="P984" s="3" t="str">
        <f>HYPERLINK("https://icf.clappia.com/app/SOM165486/submission/URW83640977/ICF247370-SOM165486-3973l4heic2400000000/SIG-20250630_2129oaeh9.jpeg", "SIG-20250630_2129oaeh9.jpeg")</f>
        <v>SIG-20250630_2129oaeh9.jpeg</v>
      </c>
      <c r="Q984" s="3" t="str">
        <f>HYPERLINK("https://www.google.com/maps/place/7.6522633%2C-11.96409", "7.6522633,-11.96409")</f>
        <v>7.6522633,-11.96409</v>
      </c>
    </row>
    <row r="985" ht="15.75" customHeight="1">
      <c r="A985" s="1" t="s">
        <v>2653</v>
      </c>
      <c r="B985" s="1" t="s">
        <v>283</v>
      </c>
      <c r="C985" s="1" t="s">
        <v>2654</v>
      </c>
      <c r="D985" s="1" t="s">
        <v>2654</v>
      </c>
      <c r="E985" s="2">
        <v>45838.0</v>
      </c>
      <c r="F985" s="1" t="s">
        <v>68</v>
      </c>
      <c r="G985" s="1" t="s">
        <v>340</v>
      </c>
      <c r="H985" s="1" t="s">
        <v>2655</v>
      </c>
      <c r="I985" s="1">
        <v>77.0</v>
      </c>
      <c r="J985" s="1" t="s">
        <v>24</v>
      </c>
      <c r="K985" s="1">
        <v>77.0</v>
      </c>
      <c r="L985" s="1">
        <v>77.0</v>
      </c>
      <c r="M985" s="1" t="s">
        <v>24</v>
      </c>
      <c r="N985" s="1" t="s">
        <v>24</v>
      </c>
      <c r="O985" s="1" t="s">
        <v>2656</v>
      </c>
      <c r="P985" s="3" t="str">
        <f>HYPERLINK("https://icf.clappia.com/app/SOM165486/submission/ZYV30447264/ICF247370-SOM165486-68fabi7c648o00000000/SIG-20250630_1839d6h49.jpeg", "SIG-20250630_1839d6h49.jpeg")</f>
        <v>SIG-20250630_1839d6h49.jpeg</v>
      </c>
      <c r="Q985" s="3" t="str">
        <f>HYPERLINK("https://www.google.com/maps/place/-28.3065288%2C-57.4557432", "-28.3065288,-57.4557432")</f>
        <v>-28.3065288,-57.4557432</v>
      </c>
    </row>
    <row r="986" ht="15.75" customHeight="1">
      <c r="A986" s="1" t="s">
        <v>2657</v>
      </c>
      <c r="B986" s="1" t="s">
        <v>18</v>
      </c>
      <c r="C986" s="1" t="s">
        <v>2658</v>
      </c>
      <c r="D986" s="1" t="s">
        <v>2055</v>
      </c>
      <c r="E986" s="2">
        <v>45838.0</v>
      </c>
      <c r="F986" s="1" t="s">
        <v>21</v>
      </c>
      <c r="G986" s="1" t="s">
        <v>129</v>
      </c>
      <c r="H986" s="1" t="s">
        <v>130</v>
      </c>
      <c r="I986" s="1">
        <v>150.0</v>
      </c>
      <c r="J986" s="1" t="s">
        <v>24</v>
      </c>
      <c r="K986" s="1">
        <v>150.0</v>
      </c>
      <c r="L986" s="1">
        <v>75.0</v>
      </c>
      <c r="M986" s="1">
        <v>75.0</v>
      </c>
      <c r="N986" s="1">
        <v>75.0</v>
      </c>
      <c r="O986" s="1" t="s">
        <v>131</v>
      </c>
      <c r="P986" s="3" t="str">
        <f>HYPERLINK("https://icf.clappia.com/app/SOM165486/submission/FXR06678099/ICF247370-SOM165486-4j23l8pa92b800000000/SIG-20250630_192519jbe4.jpeg", "SIG-20250630_192519jbe4.jpeg")</f>
        <v>SIG-20250630_192519jbe4.jpeg</v>
      </c>
      <c r="Q986" s="3" t="str">
        <f t="shared" ref="Q986:Q987" si="18">HYPERLINK("https://www.google.com/maps/place/7.5051117%2C-11.87749", "7.5051117,-11.87749")</f>
        <v>7.5051117,-11.87749</v>
      </c>
    </row>
    <row r="987" ht="15.75" customHeight="1">
      <c r="A987" s="1" t="s">
        <v>2659</v>
      </c>
      <c r="B987" s="1" t="s">
        <v>18</v>
      </c>
      <c r="C987" s="1" t="s">
        <v>2658</v>
      </c>
      <c r="D987" s="1" t="s">
        <v>2660</v>
      </c>
      <c r="E987" s="2">
        <v>45838.0</v>
      </c>
      <c r="F987" s="1" t="s">
        <v>21</v>
      </c>
      <c r="G987" s="1" t="s">
        <v>129</v>
      </c>
      <c r="H987" s="1" t="s">
        <v>130</v>
      </c>
      <c r="I987" s="1">
        <v>150.0</v>
      </c>
      <c r="J987" s="1" t="s">
        <v>24</v>
      </c>
      <c r="K987" s="1">
        <v>150.0</v>
      </c>
      <c r="L987" s="1">
        <v>75.0</v>
      </c>
      <c r="M987" s="1">
        <v>75.0</v>
      </c>
      <c r="N987" s="1">
        <v>75.0</v>
      </c>
      <c r="O987" s="1" t="s">
        <v>131</v>
      </c>
      <c r="P987" s="3" t="str">
        <f>HYPERLINK("https://icf.clappia.com/app/SOM165486/submission/DJG22500645/ICF247370-SOM165486-4j23l8pa92b800000000/SIG-20250630_192519jbe4.jpeg", "SIG-20250630_192519jbe4.jpeg")</f>
        <v>SIG-20250630_192519jbe4.jpeg</v>
      </c>
      <c r="Q987" s="3" t="str">
        <f t="shared" si="18"/>
        <v>7.5051117,-11.87749</v>
      </c>
    </row>
    <row r="988" ht="15.75" customHeight="1">
      <c r="A988" s="1" t="s">
        <v>2661</v>
      </c>
      <c r="B988" s="1" t="s">
        <v>18</v>
      </c>
      <c r="C988" s="1" t="s">
        <v>2662</v>
      </c>
      <c r="D988" s="1" t="s">
        <v>2662</v>
      </c>
      <c r="E988" s="2">
        <v>45838.0</v>
      </c>
      <c r="F988" s="1" t="s">
        <v>21</v>
      </c>
      <c r="G988" s="1" t="s">
        <v>77</v>
      </c>
      <c r="H988" s="1" t="s">
        <v>120</v>
      </c>
      <c r="I988" s="1">
        <v>124.0</v>
      </c>
      <c r="J988" s="1" t="s">
        <v>24</v>
      </c>
      <c r="K988" s="1">
        <v>124.0</v>
      </c>
      <c r="L988" s="1">
        <v>124.0</v>
      </c>
      <c r="M988" s="1" t="s">
        <v>24</v>
      </c>
      <c r="N988" s="1" t="s">
        <v>24</v>
      </c>
      <c r="O988" s="1" t="s">
        <v>125</v>
      </c>
      <c r="P988" s="3" t="str">
        <f>HYPERLINK("https://icf.clappia.com/app/SOM165486/submission/MJO67618021/ICF247370-SOM165486-2mpg935hep7g00000000/SIG-20250630_1917m7jh7.jpeg", "SIG-20250630_1917m7jh7.jpeg")</f>
        <v>SIG-20250630_1917m7jh7.jpeg</v>
      </c>
      <c r="Q988" s="3" t="str">
        <f>HYPERLINK("https://www.google.com/maps/place/7.9278783%2C-11.71828", "7.9278783,-11.71828")</f>
        <v>7.9278783,-11.71828</v>
      </c>
    </row>
    <row r="989" ht="15.75" customHeight="1">
      <c r="A989" s="1" t="s">
        <v>2663</v>
      </c>
      <c r="B989" s="1" t="s">
        <v>18</v>
      </c>
      <c r="C989" s="1" t="s">
        <v>2664</v>
      </c>
      <c r="D989" s="1" t="s">
        <v>2664</v>
      </c>
      <c r="E989" s="2">
        <v>45838.0</v>
      </c>
      <c r="F989" s="1" t="s">
        <v>21</v>
      </c>
      <c r="G989" s="1" t="s">
        <v>22</v>
      </c>
      <c r="H989" s="1" t="s">
        <v>378</v>
      </c>
      <c r="I989" s="1">
        <v>155.0</v>
      </c>
      <c r="J989" s="1" t="s">
        <v>24</v>
      </c>
      <c r="K989" s="1">
        <v>155.0</v>
      </c>
      <c r="L989" s="1">
        <v>109.0</v>
      </c>
      <c r="M989" s="1">
        <v>46.0</v>
      </c>
      <c r="N989" s="1">
        <v>46.0</v>
      </c>
      <c r="O989" s="1" t="s">
        <v>2665</v>
      </c>
      <c r="P989" s="3" t="str">
        <f>HYPERLINK("https://icf.clappia.com/app/SOM165486/submission/PUE18521015/ICF247370-SOM165486-3odk6m7m7p7o00000000/SIG-20250630_19101nh61.jpeg", "SIG-20250630_19101nh61.jpeg")</f>
        <v>SIG-20250630_19101nh61.jpeg</v>
      </c>
      <c r="Q989" s="3" t="str">
        <f t="shared" ref="Q989:Q990" si="19">HYPERLINK("https://www.google.com/maps/place/8.1008736%2C-11.4163496", "8.1008736,-11.4163496")</f>
        <v>8.1008736,-11.4163496</v>
      </c>
    </row>
    <row r="990" ht="15.75" customHeight="1">
      <c r="A990" s="1" t="s">
        <v>2666</v>
      </c>
      <c r="B990" s="1" t="s">
        <v>18</v>
      </c>
      <c r="C990" s="1" t="s">
        <v>2667</v>
      </c>
      <c r="D990" s="1" t="s">
        <v>2667</v>
      </c>
      <c r="E990" s="2">
        <v>45838.0</v>
      </c>
      <c r="F990" s="1" t="s">
        <v>21</v>
      </c>
      <c r="G990" s="1" t="s">
        <v>22</v>
      </c>
      <c r="H990" s="1" t="s">
        <v>378</v>
      </c>
      <c r="I990" s="1">
        <v>200.0</v>
      </c>
      <c r="J990" s="1" t="s">
        <v>24</v>
      </c>
      <c r="K990" s="1">
        <v>200.0</v>
      </c>
      <c r="L990" s="1">
        <v>102.0</v>
      </c>
      <c r="M990" s="1">
        <v>98.0</v>
      </c>
      <c r="N990" s="1">
        <v>98.0</v>
      </c>
      <c r="O990" s="1" t="s">
        <v>382</v>
      </c>
      <c r="P990" s="3" t="str">
        <f>HYPERLINK("https://icf.clappia.com/app/SOM165486/submission/THK51326185/ICF247370-SOM165486-4d5ef0jkfh7600000000/SIG-20250630_19001a667j.jpeg", "SIG-20250630_19001a667j.jpeg")</f>
        <v>SIG-20250630_19001a667j.jpeg</v>
      </c>
      <c r="Q990" s="3" t="str">
        <f t="shared" si="19"/>
        <v>8.1008736,-11.4163496</v>
      </c>
    </row>
    <row r="991" ht="15.75" customHeight="1">
      <c r="A991" s="1" t="s">
        <v>2668</v>
      </c>
      <c r="B991" s="1" t="s">
        <v>18</v>
      </c>
      <c r="C991" s="1" t="s">
        <v>2669</v>
      </c>
      <c r="D991" s="1" t="s">
        <v>2669</v>
      </c>
      <c r="E991" s="2">
        <v>45838.0</v>
      </c>
      <c r="F991" s="1" t="s">
        <v>21</v>
      </c>
      <c r="G991" s="1" t="s">
        <v>269</v>
      </c>
      <c r="H991" s="1" t="s">
        <v>1298</v>
      </c>
      <c r="I991" s="1">
        <v>278.0</v>
      </c>
      <c r="J991" s="1" t="s">
        <v>24</v>
      </c>
      <c r="K991" s="1">
        <v>278.0</v>
      </c>
      <c r="L991" s="1">
        <v>267.0</v>
      </c>
      <c r="M991" s="1">
        <v>11.0</v>
      </c>
      <c r="N991" s="1">
        <v>11.0</v>
      </c>
      <c r="O991" s="1" t="s">
        <v>1335</v>
      </c>
      <c r="P991" s="3" t="str">
        <f>HYPERLINK("https://icf.clappia.com/app/SOM165486/submission/CNQ08360098/ICF247370-SOM165486-3c48dph8a8jg00000000/SIG-20250630_184116cdf.jpeg", "SIG-20250630_184116cdf.jpeg")</f>
        <v>SIG-20250630_184116cdf.jpeg</v>
      </c>
      <c r="Q991" s="3" t="str">
        <f>HYPERLINK("https://www.google.com/maps/place/7.7113699%2C-11.6942425", "7.7113699,-11.6942425")</f>
        <v>7.7113699,-11.6942425</v>
      </c>
    </row>
    <row r="992" ht="15.75" customHeight="1">
      <c r="A992" s="1" t="s">
        <v>2670</v>
      </c>
      <c r="B992" s="1" t="s">
        <v>18</v>
      </c>
      <c r="C992" s="1" t="s">
        <v>2669</v>
      </c>
      <c r="D992" s="1" t="s">
        <v>2669</v>
      </c>
      <c r="E992" s="2">
        <v>45838.0</v>
      </c>
      <c r="F992" s="1" t="s">
        <v>21</v>
      </c>
      <c r="G992" s="1" t="s">
        <v>35</v>
      </c>
      <c r="H992" s="1" t="s">
        <v>51</v>
      </c>
      <c r="I992" s="1">
        <v>300.0</v>
      </c>
      <c r="J992" s="1" t="s">
        <v>24</v>
      </c>
      <c r="K992" s="1">
        <v>300.0</v>
      </c>
      <c r="L992" s="1">
        <v>236.0</v>
      </c>
      <c r="M992" s="1">
        <v>64.0</v>
      </c>
      <c r="N992" s="1">
        <v>64.0</v>
      </c>
      <c r="O992" s="1" t="s">
        <v>2671</v>
      </c>
      <c r="P992" s="3" t="str">
        <f>HYPERLINK("https://icf.clappia.com/app/SOM165486/submission/AWB95543136/ICF247370-SOM165486-4cjc466a2mk600000000/SIG-20250630_1840jj6o4.jpeg", "SIG-20250630_1840jj6o4.jpeg")</f>
        <v>SIG-20250630_1840jj6o4.jpeg</v>
      </c>
      <c r="Q992" s="3" t="str">
        <f>HYPERLINK("https://www.google.com/maps/place/8.3227033%2C-11.7362183", "8.3227033,-11.7362183")</f>
        <v>8.3227033,-11.7362183</v>
      </c>
    </row>
    <row r="993" ht="15.75" customHeight="1">
      <c r="A993" s="1" t="s">
        <v>2672</v>
      </c>
      <c r="B993" s="1" t="s">
        <v>18</v>
      </c>
      <c r="C993" s="1" t="s">
        <v>2673</v>
      </c>
      <c r="D993" s="1" t="s">
        <v>2673</v>
      </c>
      <c r="E993" s="2">
        <v>45838.0</v>
      </c>
      <c r="F993" s="1" t="s">
        <v>21</v>
      </c>
      <c r="G993" s="1" t="s">
        <v>95</v>
      </c>
      <c r="H993" s="1" t="s">
        <v>710</v>
      </c>
      <c r="I993" s="1">
        <v>146.0</v>
      </c>
      <c r="J993" s="1" t="s">
        <v>24</v>
      </c>
      <c r="K993" s="1">
        <v>146.0</v>
      </c>
      <c r="L993" s="1">
        <v>136.0</v>
      </c>
      <c r="M993" s="1">
        <v>10.0</v>
      </c>
      <c r="N993" s="1">
        <v>10.0</v>
      </c>
      <c r="O993" s="1" t="s">
        <v>2184</v>
      </c>
      <c r="P993" s="3" t="str">
        <f>HYPERLINK("https://icf.clappia.com/app/SOM165486/submission/GGK14381357/ICF247370-SOM165486-34ae58jfcdjm00000000/SIG-20250630_18181025ch.jpeg", "SIG-20250630_18181025ch.jpeg")</f>
        <v>SIG-20250630_18181025ch.jpeg</v>
      </c>
      <c r="Q993" s="3" t="str">
        <f>HYPERLINK("https://www.google.com/maps/place/7.9539321%2C-11.7201738", "7.9539321,-11.7201738")</f>
        <v>7.9539321,-11.7201738</v>
      </c>
    </row>
    <row r="994" ht="15.75" customHeight="1">
      <c r="A994" s="1" t="s">
        <v>2674</v>
      </c>
      <c r="B994" s="1" t="s">
        <v>18</v>
      </c>
      <c r="C994" s="1" t="s">
        <v>2675</v>
      </c>
      <c r="D994" s="1" t="s">
        <v>2675</v>
      </c>
      <c r="E994" s="2">
        <v>45838.0</v>
      </c>
      <c r="F994" s="1" t="s">
        <v>68</v>
      </c>
      <c r="G994" s="1" t="s">
        <v>592</v>
      </c>
      <c r="H994" s="1" t="s">
        <v>665</v>
      </c>
      <c r="I994" s="1">
        <v>431.0</v>
      </c>
      <c r="J994" s="1" t="s">
        <v>24</v>
      </c>
      <c r="K994" s="1">
        <v>431.0</v>
      </c>
      <c r="L994" s="1">
        <v>379.0</v>
      </c>
      <c r="M994" s="1">
        <v>52.0</v>
      </c>
      <c r="N994" s="1">
        <v>52.0</v>
      </c>
      <c r="O994" s="1" t="s">
        <v>679</v>
      </c>
      <c r="P994" s="3" t="str">
        <f>HYPERLINK("https://icf.clappia.com/app/SOM165486/submission/POF35478253/ICF247370-SOM165486-32alk3ofpcma00000000/SIG-20250630_1416121404.jpeg", "SIG-20250630_1416121404.jpeg")</f>
        <v>SIG-20250630_1416121404.jpeg</v>
      </c>
      <c r="Q994" s="3" t="str">
        <f>HYPERLINK("https://www.google.com/maps/place/8.8932517%2C-12.0655217", "8.8932517,-12.0655217")</f>
        <v>8.8932517,-12.0655217</v>
      </c>
    </row>
    <row r="995" ht="15.75" customHeight="1">
      <c r="A995" s="1" t="s">
        <v>2676</v>
      </c>
      <c r="B995" s="1" t="s">
        <v>18</v>
      </c>
      <c r="C995" s="1" t="s">
        <v>2677</v>
      </c>
      <c r="D995" s="1" t="s">
        <v>2677</v>
      </c>
      <c r="E995" s="2">
        <v>45838.0</v>
      </c>
      <c r="F995" s="1" t="s">
        <v>21</v>
      </c>
      <c r="G995" s="1" t="s">
        <v>95</v>
      </c>
      <c r="H995" s="1" t="s">
        <v>710</v>
      </c>
      <c r="I995" s="1">
        <v>250.0</v>
      </c>
      <c r="J995" s="1" t="s">
        <v>24</v>
      </c>
      <c r="K995" s="1">
        <v>250.0</v>
      </c>
      <c r="L995" s="1">
        <v>170.0</v>
      </c>
      <c r="M995" s="1">
        <v>80.0</v>
      </c>
      <c r="N995" s="1">
        <v>10.0</v>
      </c>
      <c r="O995" s="1" t="s">
        <v>2227</v>
      </c>
      <c r="P995" s="3" t="str">
        <f>HYPERLINK("https://icf.clappia.com/app/SOM165486/submission/ICM48036081/ICF247370-SOM165486-2hic0041deg400000000/SIG-20250630_1803159mcj.jpeg", "SIG-20250630_1803159mcj.jpeg")</f>
        <v>SIG-20250630_1803159mcj.jpeg</v>
      </c>
      <c r="Q995" s="3" t="str">
        <f>HYPERLINK("https://www.google.com/maps/place/7.9484991%2C-11.7112773", "7.9484991,-11.7112773")</f>
        <v>7.9484991,-11.7112773</v>
      </c>
    </row>
    <row r="996" ht="15.75" customHeight="1">
      <c r="A996" s="1" t="s">
        <v>2678</v>
      </c>
      <c r="B996" s="1" t="s">
        <v>18</v>
      </c>
      <c r="C996" s="1" t="s">
        <v>2679</v>
      </c>
      <c r="D996" s="1" t="s">
        <v>2679</v>
      </c>
      <c r="E996" s="2">
        <v>45838.0</v>
      </c>
      <c r="F996" s="1" t="s">
        <v>68</v>
      </c>
      <c r="G996" s="1" t="s">
        <v>672</v>
      </c>
      <c r="H996" s="1" t="s">
        <v>857</v>
      </c>
      <c r="I996" s="1">
        <v>250.0</v>
      </c>
      <c r="J996" s="1" t="s">
        <v>24</v>
      </c>
      <c r="K996" s="1">
        <v>250.0</v>
      </c>
      <c r="L996" s="1">
        <v>222.0</v>
      </c>
      <c r="M996" s="1">
        <v>28.0</v>
      </c>
      <c r="N996" s="1">
        <v>28.0</v>
      </c>
      <c r="O996" s="1" t="s">
        <v>858</v>
      </c>
      <c r="P996" s="3" t="str">
        <f>HYPERLINK("https://icf.clappia.com/app/SOM165486/submission/TSB00819894/ICF247370-SOM165486-ah8dgb1ld00g0000000/SIG-20250630_1752190dba.jpeg", "SIG-20250630_1752190dba.jpeg")</f>
        <v>SIG-20250630_1752190dba.jpeg</v>
      </c>
      <c r="Q996" s="3" t="str">
        <f>HYPERLINK("https://www.google.com/maps/place/8.8750282%2C-12.0216738", "8.8750282,-12.0216738")</f>
        <v>8.8750282,-12.0216738</v>
      </c>
    </row>
    <row r="997" ht="15.75" customHeight="1">
      <c r="A997" s="1" t="s">
        <v>2680</v>
      </c>
      <c r="B997" s="1" t="s">
        <v>18</v>
      </c>
      <c r="C997" s="1" t="s">
        <v>2681</v>
      </c>
      <c r="D997" s="1" t="s">
        <v>2681</v>
      </c>
      <c r="E997" s="2">
        <v>45838.0</v>
      </c>
      <c r="F997" s="1" t="s">
        <v>21</v>
      </c>
      <c r="G997" s="1" t="s">
        <v>1331</v>
      </c>
      <c r="H997" s="1" t="s">
        <v>1332</v>
      </c>
      <c r="I997" s="1">
        <v>105.0</v>
      </c>
      <c r="J997" s="1" t="s">
        <v>24</v>
      </c>
      <c r="K997" s="1">
        <v>105.0</v>
      </c>
      <c r="L997" s="1">
        <v>105.0</v>
      </c>
      <c r="M997" s="1" t="s">
        <v>24</v>
      </c>
      <c r="N997" s="1" t="s">
        <v>24</v>
      </c>
      <c r="O997" s="1" t="s">
        <v>1866</v>
      </c>
      <c r="P997" s="3" t="str">
        <f>HYPERLINK("https://icf.clappia.com/app/SOM165486/submission/UVM13035942/ICF247370-SOM165486-5jmp1e1p0mmk00000000/SIG-20250630_17541a1h27.jpeg", "SIG-20250630_17541a1h27.jpeg")</f>
        <v>SIG-20250630_17541a1h27.jpeg</v>
      </c>
      <c r="Q997" s="3" t="str">
        <f>HYPERLINK("https://www.google.com/maps/place/8.1269599%2C-11.6529367", "8.1269599,-11.6529367")</f>
        <v>8.1269599,-11.6529367</v>
      </c>
    </row>
    <row r="998" ht="15.75" customHeight="1">
      <c r="A998" s="1" t="s">
        <v>2682</v>
      </c>
      <c r="B998" s="1" t="s">
        <v>18</v>
      </c>
      <c r="C998" s="1" t="s">
        <v>2683</v>
      </c>
      <c r="D998" s="1" t="s">
        <v>2683</v>
      </c>
      <c r="E998" s="2">
        <v>45838.0</v>
      </c>
      <c r="F998" s="1" t="s">
        <v>68</v>
      </c>
      <c r="G998" s="1" t="s">
        <v>630</v>
      </c>
      <c r="H998" s="1" t="s">
        <v>631</v>
      </c>
      <c r="I998" s="1">
        <v>488.0</v>
      </c>
      <c r="J998" s="1">
        <v>18.0</v>
      </c>
      <c r="K998" s="1">
        <v>506.0</v>
      </c>
      <c r="L998" s="1">
        <v>506.0</v>
      </c>
      <c r="M998" s="1" t="s">
        <v>24</v>
      </c>
      <c r="N998" s="1" t="s">
        <v>24</v>
      </c>
      <c r="O998" s="1" t="s">
        <v>1285</v>
      </c>
      <c r="P998" s="3" t="str">
        <f>HYPERLINK("https://icf.clappia.com/app/SOM165486/submission/WCW49240873/ICF247370-SOM165486-53ie1ohhff0k00000000/SIG-20250630_17505l783.jpeg", "SIG-20250630_17505l783.jpeg")</f>
        <v>SIG-20250630_17505l783.jpeg</v>
      </c>
      <c r="Q998" s="3" t="str">
        <f>HYPERLINK("https://www.google.com/maps/place/9.2514757%2C-12.1641104", "9.2514757,-12.1641104")</f>
        <v>9.2514757,-12.1641104</v>
      </c>
    </row>
    <row r="999" ht="15.75" customHeight="1">
      <c r="A999" s="1" t="s">
        <v>2684</v>
      </c>
      <c r="B999" s="1" t="s">
        <v>18</v>
      </c>
      <c r="C999" s="1" t="s">
        <v>2685</v>
      </c>
      <c r="D999" s="1" t="s">
        <v>2685</v>
      </c>
      <c r="E999" s="2">
        <v>45838.0</v>
      </c>
      <c r="F999" s="1" t="s">
        <v>21</v>
      </c>
      <c r="G999" s="1" t="s">
        <v>95</v>
      </c>
      <c r="H999" s="1" t="s">
        <v>710</v>
      </c>
      <c r="I999" s="1">
        <v>124.0</v>
      </c>
      <c r="J999" s="1" t="s">
        <v>24</v>
      </c>
      <c r="K999" s="1">
        <v>124.0</v>
      </c>
      <c r="L999" s="1">
        <v>102.0</v>
      </c>
      <c r="M999" s="1">
        <v>22.0</v>
      </c>
      <c r="N999" s="1">
        <v>9.0</v>
      </c>
      <c r="O999" s="1" t="s">
        <v>2227</v>
      </c>
      <c r="P999" s="3" t="str">
        <f>HYPERLINK("https://icf.clappia.com/app/SOM165486/submission/XKE15885188/ICF247370-SOM165486-4630pnilocg800000000/SIG-20250630_1740kkg4f.jpeg", "SIG-20250630_1740kkg4f.jpeg")</f>
        <v>SIG-20250630_1740kkg4f.jpeg</v>
      </c>
      <c r="Q999" s="3" t="str">
        <f>HYPERLINK("https://www.google.com/maps/place/7.9492793%2C-11.7027919", "7.9492793,-11.7027919")</f>
        <v>7.9492793,-11.7027919</v>
      </c>
    </row>
    <row r="1000" ht="15.75" customHeight="1">
      <c r="A1000" s="1" t="s">
        <v>2686</v>
      </c>
      <c r="B1000" s="1" t="s">
        <v>18</v>
      </c>
      <c r="C1000" s="1" t="s">
        <v>2687</v>
      </c>
      <c r="D1000" s="1" t="s">
        <v>2685</v>
      </c>
      <c r="E1000" s="2">
        <v>45838.0</v>
      </c>
      <c r="F1000" s="1" t="s">
        <v>68</v>
      </c>
      <c r="G1000" s="1" t="s">
        <v>597</v>
      </c>
      <c r="H1000" s="1" t="s">
        <v>598</v>
      </c>
      <c r="I1000" s="1">
        <v>100.0</v>
      </c>
      <c r="J1000" s="1" t="s">
        <v>24</v>
      </c>
      <c r="K1000" s="1">
        <v>100.0</v>
      </c>
      <c r="L1000" s="1">
        <v>59.0</v>
      </c>
      <c r="M1000" s="1">
        <v>41.0</v>
      </c>
      <c r="N1000" s="1">
        <v>41.0</v>
      </c>
      <c r="O1000" s="1" t="s">
        <v>1367</v>
      </c>
      <c r="P1000" s="3" t="str">
        <f>HYPERLINK("https://icf.clappia.com/app/SOM165486/submission/RZR70719694/ICF247370-SOM165486-3d2gbj4h9bje00000000/SIG-20250630_0933f06ek.jpeg", "SIG-20250630_0933f06ek.jpeg")</f>
        <v>SIG-20250630_0933f06ek.jpeg</v>
      </c>
      <c r="Q1000" s="3" t="str">
        <f>HYPERLINK("https://www.google.com/maps/place/8.6865158%2C-12.240308", "8.6865158,-12.240308")</f>
        <v>8.6865158,-12.240308</v>
      </c>
    </row>
    <row r="1001" ht="15.75" customHeight="1">
      <c r="A1001" s="1" t="s">
        <v>2688</v>
      </c>
      <c r="B1001" s="1" t="s">
        <v>18</v>
      </c>
      <c r="C1001" s="1" t="s">
        <v>2689</v>
      </c>
      <c r="D1001" s="1" t="s">
        <v>2689</v>
      </c>
      <c r="E1001" s="2">
        <v>45838.0</v>
      </c>
      <c r="F1001" s="1" t="s">
        <v>68</v>
      </c>
      <c r="G1001" s="1" t="s">
        <v>597</v>
      </c>
      <c r="H1001" s="1" t="s">
        <v>598</v>
      </c>
      <c r="I1001" s="1">
        <v>50.0</v>
      </c>
      <c r="J1001" s="1" t="s">
        <v>24</v>
      </c>
      <c r="K1001" s="1">
        <v>50.0</v>
      </c>
      <c r="L1001" s="1">
        <v>50.0</v>
      </c>
      <c r="M1001" s="1" t="s">
        <v>24</v>
      </c>
      <c r="N1001" s="1" t="s">
        <v>24</v>
      </c>
      <c r="O1001" s="1" t="s">
        <v>2690</v>
      </c>
      <c r="P1001" s="3" t="str">
        <f>HYPERLINK("https://icf.clappia.com/app/SOM165486/submission/VNL63048861/ICF247370-SOM165486-5dc3350mnja800000000/SIG-20250630_1737o2f64.jpeg", "SIG-20250630_1737o2f64.jpeg")</f>
        <v>SIG-20250630_1737o2f64.jpeg</v>
      </c>
      <c r="Q1001" s="3" t="str">
        <f>HYPERLINK("https://www.google.com/maps/place/8.6626317%2C-12.2420271", "8.6626317,-12.2420271")</f>
        <v>8.6626317,-12.2420271</v>
      </c>
    </row>
    <row r="1002" ht="15.75" customHeight="1">
      <c r="A1002" s="1" t="s">
        <v>2691</v>
      </c>
      <c r="B1002" s="1" t="s">
        <v>18</v>
      </c>
      <c r="C1002" s="1" t="s">
        <v>2692</v>
      </c>
      <c r="D1002" s="1" t="s">
        <v>2692</v>
      </c>
      <c r="E1002" s="2">
        <v>45838.0</v>
      </c>
      <c r="F1002" s="1" t="s">
        <v>68</v>
      </c>
      <c r="G1002" s="1" t="s">
        <v>597</v>
      </c>
      <c r="H1002" s="1" t="s">
        <v>598</v>
      </c>
      <c r="I1002" s="1">
        <v>100.0</v>
      </c>
      <c r="J1002" s="1" t="s">
        <v>24</v>
      </c>
      <c r="K1002" s="1">
        <v>100.0</v>
      </c>
      <c r="L1002" s="1">
        <v>98.0</v>
      </c>
      <c r="M1002" s="1">
        <v>2.0</v>
      </c>
      <c r="N1002" s="1">
        <v>2.0</v>
      </c>
      <c r="O1002" s="1" t="s">
        <v>2693</v>
      </c>
      <c r="P1002" s="3" t="str">
        <f>HYPERLINK("https://icf.clappia.com/app/SOM165486/submission/FRL72113813/ICF247370-SOM165486-1ec2f1dgo5j7m0000000/SIG-20250630_1730178c65.jpeg", "SIG-20250630_1730178c65.jpeg")</f>
        <v>SIG-20250630_1730178c65.jpeg</v>
      </c>
      <c r="Q1002" s="3" t="str">
        <f>HYPERLINK("https://www.google.com/maps/place/8.6619007%2C-12.2436899", "8.6619007,-12.2436899")</f>
        <v>8.6619007,-12.2436899</v>
      </c>
    </row>
    <row r="1003" ht="15.75" customHeight="1">
      <c r="A1003" s="1" t="s">
        <v>2694</v>
      </c>
      <c r="B1003" s="1" t="s">
        <v>18</v>
      </c>
      <c r="C1003" s="1" t="s">
        <v>2695</v>
      </c>
      <c r="D1003" s="1" t="s">
        <v>2695</v>
      </c>
      <c r="E1003" s="2">
        <v>45838.0</v>
      </c>
      <c r="F1003" s="1" t="s">
        <v>21</v>
      </c>
      <c r="G1003" s="1" t="s">
        <v>95</v>
      </c>
      <c r="H1003" s="1" t="s">
        <v>1747</v>
      </c>
      <c r="I1003" s="1">
        <v>300.0</v>
      </c>
      <c r="J1003" s="1" t="s">
        <v>24</v>
      </c>
      <c r="K1003" s="1">
        <v>300.0</v>
      </c>
      <c r="L1003" s="1">
        <v>116.0</v>
      </c>
      <c r="M1003" s="1">
        <v>184.0</v>
      </c>
      <c r="N1003" s="1">
        <v>184.0</v>
      </c>
      <c r="O1003" s="1" t="s">
        <v>2696</v>
      </c>
      <c r="P1003" s="3" t="str">
        <f>HYPERLINK("https://icf.clappia.com/app/SOM165486/submission/TOC46452109/ICF247370-SOM165486-344297loioa200000000/SIG-20250630_1734plp8c.jpeg", "SIG-20250630_1734plp8c.jpeg")</f>
        <v>SIG-20250630_1734plp8c.jpeg</v>
      </c>
      <c r="Q1003" s="3" t="str">
        <f>HYPERLINK("https://www.google.com/maps/place/8.0146404%2C-11.7287034", "8.0146404,-11.7287034")</f>
        <v>8.0146404,-11.7287034</v>
      </c>
    </row>
    <row r="1004" ht="15.75" customHeight="1">
      <c r="A1004" s="1" t="s">
        <v>2697</v>
      </c>
      <c r="B1004" s="1" t="s">
        <v>18</v>
      </c>
      <c r="C1004" s="1" t="s">
        <v>2698</v>
      </c>
      <c r="D1004" s="1" t="s">
        <v>2698</v>
      </c>
      <c r="E1004" s="2">
        <v>45838.0</v>
      </c>
      <c r="F1004" s="1" t="s">
        <v>21</v>
      </c>
      <c r="G1004" s="1" t="s">
        <v>269</v>
      </c>
      <c r="H1004" s="1" t="s">
        <v>1298</v>
      </c>
      <c r="I1004" s="1">
        <v>470.0</v>
      </c>
      <c r="J1004" s="1" t="s">
        <v>24</v>
      </c>
      <c r="K1004" s="1">
        <v>470.0</v>
      </c>
      <c r="L1004" s="1">
        <v>429.0</v>
      </c>
      <c r="M1004" s="1">
        <v>41.0</v>
      </c>
      <c r="N1004" s="1">
        <v>41.0</v>
      </c>
      <c r="O1004" s="1" t="s">
        <v>1565</v>
      </c>
      <c r="P1004" s="3" t="str">
        <f>HYPERLINK("https://icf.clappia.com/app/SOM165486/submission/KIB72840155/ICF247370-SOM165486-14d645c2ljpgk0000000/SIG-20250630_1723bb5j6.jpeg", "SIG-20250630_1723bb5j6.jpeg")</f>
        <v>SIG-20250630_1723bb5j6.jpeg</v>
      </c>
      <c r="Q1004" s="3" t="str">
        <f>HYPERLINK("https://www.google.com/maps/place/7.7099523%2C-11.6927751", "7.7099523,-11.6927751")</f>
        <v>7.7099523,-11.6927751</v>
      </c>
    </row>
    <row r="1005" ht="15.75" customHeight="1">
      <c r="A1005" s="1" t="s">
        <v>2699</v>
      </c>
      <c r="B1005" s="1" t="s">
        <v>283</v>
      </c>
      <c r="C1005" s="1" t="s">
        <v>2698</v>
      </c>
      <c r="D1005" s="1" t="s">
        <v>2698</v>
      </c>
      <c r="E1005" s="2">
        <v>45838.0</v>
      </c>
      <c r="F1005" s="1" t="s">
        <v>21</v>
      </c>
      <c r="G1005" s="1" t="s">
        <v>95</v>
      </c>
      <c r="H1005" s="1" t="s">
        <v>216</v>
      </c>
      <c r="I1005" s="1">
        <v>154.0</v>
      </c>
      <c r="J1005" s="1" t="s">
        <v>24</v>
      </c>
      <c r="K1005" s="1">
        <v>154.0</v>
      </c>
      <c r="L1005" s="1">
        <v>154.0</v>
      </c>
      <c r="M1005" s="1" t="s">
        <v>24</v>
      </c>
      <c r="N1005" s="1" t="s">
        <v>24</v>
      </c>
      <c r="O1005" s="1" t="s">
        <v>226</v>
      </c>
      <c r="P1005" s="3" t="str">
        <f>HYPERLINK("https://icf.clappia.com/app/SOM165486/submission/GYC29271725/ICF247370-SOM165486-4bhc2kpn62a000000000/SIG-20250630_1723c714o.jpeg", "SIG-20250630_1723c714o.jpeg")</f>
        <v>SIG-20250630_1723c714o.jpeg</v>
      </c>
      <c r="Q1005" s="3" t="str">
        <f>HYPERLINK("https://www.google.com/maps/place/7.956255%2C-11.7607717", "7.956255,-11.7607717")</f>
        <v>7.956255,-11.7607717</v>
      </c>
    </row>
    <row r="1006" ht="15.75" customHeight="1">
      <c r="A1006" s="1" t="s">
        <v>2700</v>
      </c>
      <c r="B1006" s="1" t="s">
        <v>18</v>
      </c>
      <c r="C1006" s="1" t="s">
        <v>2701</v>
      </c>
      <c r="D1006" s="1" t="s">
        <v>2701</v>
      </c>
      <c r="E1006" s="2">
        <v>45838.0</v>
      </c>
      <c r="F1006" s="1" t="s">
        <v>68</v>
      </c>
      <c r="G1006" s="1" t="s">
        <v>325</v>
      </c>
      <c r="H1006" s="1" t="s">
        <v>1523</v>
      </c>
      <c r="I1006" s="1">
        <v>150.0</v>
      </c>
      <c r="J1006" s="1" t="s">
        <v>24</v>
      </c>
      <c r="K1006" s="1">
        <v>150.0</v>
      </c>
      <c r="L1006" s="1">
        <v>150.0</v>
      </c>
      <c r="M1006" s="1" t="s">
        <v>24</v>
      </c>
      <c r="N1006" s="1" t="s">
        <v>24</v>
      </c>
      <c r="O1006" s="1" t="s">
        <v>2702</v>
      </c>
      <c r="P1006" s="3" t="str">
        <f>HYPERLINK("https://icf.clappia.com/app/SOM165486/submission/OLF67562317/ICF247370-SOM165486-1a96kbgdh7k4g0000000/SIG-20250630_1718fl48c.jpeg", "SIG-20250630_1718fl48c.jpeg")</f>
        <v>SIG-20250630_1718fl48c.jpeg</v>
      </c>
      <c r="Q1006" s="3" t="str">
        <f>HYPERLINK("https://www.google.com/maps/place/8.78849%2C-11.90772", "8.78849,-11.90772")</f>
        <v>8.78849,-11.90772</v>
      </c>
    </row>
    <row r="1007" ht="15.75" customHeight="1">
      <c r="A1007" s="1" t="s">
        <v>2703</v>
      </c>
      <c r="B1007" s="1" t="s">
        <v>18</v>
      </c>
      <c r="C1007" s="1" t="s">
        <v>2704</v>
      </c>
      <c r="D1007" s="1" t="s">
        <v>2704</v>
      </c>
      <c r="E1007" s="2">
        <v>45838.0</v>
      </c>
      <c r="F1007" s="1" t="s">
        <v>21</v>
      </c>
      <c r="G1007" s="1" t="s">
        <v>781</v>
      </c>
      <c r="H1007" s="1" t="s">
        <v>1031</v>
      </c>
      <c r="I1007" s="1">
        <v>156.0</v>
      </c>
      <c r="J1007" s="1">
        <v>100.0</v>
      </c>
      <c r="K1007" s="1">
        <v>256.0</v>
      </c>
      <c r="L1007" s="1">
        <v>204.0</v>
      </c>
      <c r="M1007" s="1">
        <v>52.0</v>
      </c>
      <c r="N1007" s="1">
        <v>52.0</v>
      </c>
      <c r="O1007" s="1" t="s">
        <v>2705</v>
      </c>
      <c r="P1007" s="3" t="str">
        <f>HYPERLINK("https://icf.clappia.com/app/SOM165486/submission/PJS64650777/ICF247370-SOM165486-h9cjmij70kac0000000/SIG-20250630_1042e6bkj.jpeg", "SIG-20250630_1042e6bkj.jpeg")</f>
        <v>SIG-20250630_1042e6bkj.jpeg</v>
      </c>
      <c r="Q1007" s="3" t="str">
        <f>HYPERLINK("https://www.google.com/maps/place/7.9366162%2C-11.4912446", "7.9366162,-11.4912446")</f>
        <v>7.9366162,-11.4912446</v>
      </c>
    </row>
    <row r="1008" ht="15.75" customHeight="1">
      <c r="A1008" s="1" t="s">
        <v>2706</v>
      </c>
      <c r="B1008" s="1" t="s">
        <v>283</v>
      </c>
      <c r="C1008" s="1" t="s">
        <v>2707</v>
      </c>
      <c r="D1008" s="1" t="s">
        <v>2707</v>
      </c>
      <c r="E1008" s="2">
        <v>45838.0</v>
      </c>
      <c r="F1008" s="1" t="s">
        <v>68</v>
      </c>
      <c r="G1008" s="1" t="s">
        <v>325</v>
      </c>
      <c r="H1008" s="1" t="s">
        <v>1523</v>
      </c>
      <c r="I1008" s="1">
        <v>200.0</v>
      </c>
      <c r="J1008" s="1" t="s">
        <v>24</v>
      </c>
      <c r="K1008" s="1">
        <v>200.0</v>
      </c>
      <c r="L1008" s="1">
        <v>194.0</v>
      </c>
      <c r="M1008" s="1">
        <v>6.0</v>
      </c>
      <c r="N1008" s="1">
        <v>6.0</v>
      </c>
      <c r="O1008" s="1" t="s">
        <v>1529</v>
      </c>
      <c r="P1008" s="3" t="str">
        <f>HYPERLINK("https://icf.clappia.com/app/SOM165486/submission/ANR31448476/ICF247370-SOM165486-3c8i59bl1a3i00000000/SIG-20250630_1719el08e.jpeg", "SIG-20250630_1719el08e.jpeg")</f>
        <v>SIG-20250630_1719el08e.jpeg</v>
      </c>
      <c r="Q1008" s="3" t="str">
        <f>HYPERLINK("https://www.google.com/maps/place/8.7883067%2C-11.9081917", "8.7883067,-11.9081917")</f>
        <v>8.7883067,-11.9081917</v>
      </c>
    </row>
    <row r="1009" ht="15.75" customHeight="1">
      <c r="A1009" s="1" t="s">
        <v>2708</v>
      </c>
      <c r="B1009" s="1" t="s">
        <v>283</v>
      </c>
      <c r="C1009" s="1" t="s">
        <v>2709</v>
      </c>
      <c r="D1009" s="1" t="s">
        <v>2709</v>
      </c>
      <c r="E1009" s="2">
        <v>45838.0</v>
      </c>
      <c r="F1009" s="1" t="s">
        <v>68</v>
      </c>
      <c r="G1009" s="1" t="s">
        <v>88</v>
      </c>
      <c r="H1009" s="1" t="s">
        <v>881</v>
      </c>
      <c r="I1009" s="1">
        <v>450.0</v>
      </c>
      <c r="J1009" s="1" t="s">
        <v>24</v>
      </c>
      <c r="K1009" s="1">
        <v>450.0</v>
      </c>
      <c r="L1009" s="1">
        <v>389.0</v>
      </c>
      <c r="M1009" s="1">
        <v>61.0</v>
      </c>
      <c r="N1009" s="1">
        <v>61.0</v>
      </c>
      <c r="O1009" s="1" t="s">
        <v>2710</v>
      </c>
      <c r="P1009" s="3" t="str">
        <f>HYPERLINK("https://icf.clappia.com/app/SOM165486/submission/ZUS40232198/ICF247370-SOM165486-67ngdp728leg00000000/SIG-20250630_171114egn6.jpeg", "SIG-20250630_171114egn6.jpeg")</f>
        <v>SIG-20250630_171114egn6.jpeg</v>
      </c>
    </row>
    <row r="1010" ht="15.75" customHeight="1">
      <c r="A1010" s="1" t="s">
        <v>2711</v>
      </c>
      <c r="B1010" s="1" t="s">
        <v>283</v>
      </c>
      <c r="C1010" s="1" t="s">
        <v>2709</v>
      </c>
      <c r="D1010" s="1" t="s">
        <v>2709</v>
      </c>
      <c r="E1010" s="2">
        <v>45838.0</v>
      </c>
      <c r="F1010" s="1" t="s">
        <v>68</v>
      </c>
      <c r="G1010" s="1" t="s">
        <v>340</v>
      </c>
      <c r="H1010" s="1" t="s">
        <v>1922</v>
      </c>
      <c r="I1010" s="1">
        <v>110.0</v>
      </c>
      <c r="J1010" s="1" t="s">
        <v>24</v>
      </c>
      <c r="K1010" s="1">
        <v>110.0</v>
      </c>
      <c r="L1010" s="1">
        <v>80.0</v>
      </c>
      <c r="M1010" s="1">
        <v>30.0</v>
      </c>
      <c r="N1010" s="1">
        <v>20.0</v>
      </c>
      <c r="O1010" s="1" t="s">
        <v>2712</v>
      </c>
      <c r="P1010" s="3" t="str">
        <f>HYPERLINK("https://icf.clappia.com/app/SOM165486/submission/SXD12922857/ICF247370-SOM165486-46kde1hno7dk00000000/SIG-20250630_171113fn43.jpeg", "SIG-20250630_171113fn43.jpeg")</f>
        <v>SIG-20250630_171113fn43.jpeg</v>
      </c>
      <c r="Q1010" s="3" t="str">
        <f>HYPERLINK("https://www.google.com/maps/place/9.2132567%2C-11.9222033", "9.2132567,-11.9222033")</f>
        <v>9.2132567,-11.9222033</v>
      </c>
    </row>
    <row r="1011" ht="15.75" customHeight="1">
      <c r="A1011" s="1" t="s">
        <v>2713</v>
      </c>
      <c r="B1011" s="1" t="s">
        <v>18</v>
      </c>
      <c r="C1011" s="1" t="s">
        <v>2714</v>
      </c>
      <c r="D1011" s="1" t="s">
        <v>2714</v>
      </c>
      <c r="E1011" s="2">
        <v>45838.0</v>
      </c>
      <c r="F1011" s="1" t="s">
        <v>68</v>
      </c>
      <c r="G1011" s="1" t="s">
        <v>286</v>
      </c>
      <c r="H1011" s="1" t="s">
        <v>1051</v>
      </c>
      <c r="I1011" s="1">
        <v>300.0</v>
      </c>
      <c r="J1011" s="1" t="s">
        <v>24</v>
      </c>
      <c r="K1011" s="1">
        <v>300.0</v>
      </c>
      <c r="L1011" s="1">
        <v>270.0</v>
      </c>
      <c r="M1011" s="1">
        <v>30.0</v>
      </c>
      <c r="N1011" s="1">
        <v>30.0</v>
      </c>
      <c r="O1011" s="1" t="s">
        <v>1052</v>
      </c>
      <c r="P1011" s="3" t="str">
        <f>HYPERLINK("https://icf.clappia.com/app/SOM165486/submission/UVH53640483/ICF247370-SOM165486-p0h54421hpl20000000/SIG-20250630_1711603d9.jpeg", "SIG-20250630_1711603d9.jpeg")</f>
        <v>SIG-20250630_1711603d9.jpeg</v>
      </c>
      <c r="Q1011" s="3" t="str">
        <f>HYPERLINK("https://www.google.com/maps/place/8.9514133%2C-12.22327", "8.9514133,-12.22327")</f>
        <v>8.9514133,-12.22327</v>
      </c>
    </row>
    <row r="1012" ht="15.75" customHeight="1">
      <c r="A1012" s="1" t="s">
        <v>2715</v>
      </c>
      <c r="B1012" s="1" t="s">
        <v>283</v>
      </c>
      <c r="C1012" s="1" t="s">
        <v>2716</v>
      </c>
      <c r="D1012" s="1" t="s">
        <v>2716</v>
      </c>
      <c r="E1012" s="2">
        <v>45838.0</v>
      </c>
      <c r="F1012" s="1" t="s">
        <v>68</v>
      </c>
      <c r="G1012" s="1" t="s">
        <v>88</v>
      </c>
      <c r="H1012" s="1" t="s">
        <v>881</v>
      </c>
      <c r="I1012" s="1">
        <v>450.0</v>
      </c>
      <c r="J1012" s="1">
        <v>10.0</v>
      </c>
      <c r="K1012" s="1">
        <v>460.0</v>
      </c>
      <c r="L1012" s="1">
        <v>389.0</v>
      </c>
      <c r="M1012" s="1">
        <v>71.0</v>
      </c>
      <c r="N1012" s="1">
        <v>61.0</v>
      </c>
      <c r="O1012" s="1" t="s">
        <v>2710</v>
      </c>
      <c r="P1012" s="3" t="str">
        <f>HYPERLINK("https://icf.clappia.com/app/SOM165486/submission/YPM00841658/ICF247370-SOM165486-2gppeda65fcg00000000/SIG-20250630_170813o338.jpeg", "SIG-20250630_170813o338.jpeg")</f>
        <v>SIG-20250630_170813o338.jpeg</v>
      </c>
    </row>
    <row r="1013" ht="15.75" customHeight="1">
      <c r="A1013" s="1" t="s">
        <v>2717</v>
      </c>
      <c r="B1013" s="1" t="s">
        <v>283</v>
      </c>
      <c r="C1013" s="1" t="s">
        <v>2716</v>
      </c>
      <c r="D1013" s="1" t="s">
        <v>2716</v>
      </c>
      <c r="E1013" s="2">
        <v>45838.0</v>
      </c>
      <c r="F1013" s="1" t="s">
        <v>21</v>
      </c>
      <c r="G1013" s="1" t="s">
        <v>95</v>
      </c>
      <c r="H1013" s="1" t="s">
        <v>216</v>
      </c>
      <c r="I1013" s="1">
        <v>154.0</v>
      </c>
      <c r="J1013" s="1" t="s">
        <v>24</v>
      </c>
      <c r="K1013" s="1">
        <v>154.0</v>
      </c>
      <c r="L1013" s="1">
        <v>154.0</v>
      </c>
      <c r="M1013" s="1" t="s">
        <v>24</v>
      </c>
      <c r="N1013" s="1" t="s">
        <v>24</v>
      </c>
      <c r="O1013" s="1" t="s">
        <v>226</v>
      </c>
      <c r="P1013" s="3" t="str">
        <f>HYPERLINK("https://icf.clappia.com/app/SOM165486/submission/FOR49427679/ICF247370-SOM165486-5o31ghd79g2o00000000/SIG-20250630_1709nkpel.jpeg", "SIG-20250630_1709nkpel.jpeg")</f>
        <v>SIG-20250630_1709nkpel.jpeg</v>
      </c>
    </row>
    <row r="1014" ht="15.75" customHeight="1">
      <c r="A1014" s="1" t="s">
        <v>2718</v>
      </c>
      <c r="B1014" s="1" t="s">
        <v>18</v>
      </c>
      <c r="C1014" s="1" t="s">
        <v>2719</v>
      </c>
      <c r="D1014" s="1" t="s">
        <v>2719</v>
      </c>
      <c r="E1014" s="2">
        <v>45838.0</v>
      </c>
      <c r="F1014" s="1" t="s">
        <v>21</v>
      </c>
      <c r="G1014" s="1" t="s">
        <v>129</v>
      </c>
      <c r="H1014" s="1" t="s">
        <v>588</v>
      </c>
      <c r="I1014" s="1">
        <v>450.0</v>
      </c>
      <c r="J1014" s="1" t="s">
        <v>24</v>
      </c>
      <c r="K1014" s="1">
        <v>450.0</v>
      </c>
      <c r="L1014" s="1">
        <v>425.0</v>
      </c>
      <c r="M1014" s="1">
        <v>25.0</v>
      </c>
      <c r="N1014" s="1">
        <v>25.0</v>
      </c>
      <c r="O1014" s="1" t="s">
        <v>589</v>
      </c>
      <c r="P1014" s="3" t="str">
        <f>HYPERLINK("https://icf.clappia.com/app/SOM165486/submission/HGF04528242/ICF247370-SOM165486-cmef33ld23280000000/SIG-20250630_1657kp7kj.jpeg", "SIG-20250630_1657kp7kj.jpeg")</f>
        <v>SIG-20250630_1657kp7kj.jpeg</v>
      </c>
      <c r="Q1014" s="3" t="str">
        <f>HYPERLINK("https://www.google.com/maps/place/7.642735%2C-11.792325", "7.642735,-11.792325")</f>
        <v>7.642735,-11.792325</v>
      </c>
    </row>
    <row r="1015" ht="15.75" customHeight="1">
      <c r="A1015" s="1" t="s">
        <v>2720</v>
      </c>
      <c r="B1015" s="1" t="s">
        <v>18</v>
      </c>
      <c r="C1015" s="1" t="s">
        <v>2721</v>
      </c>
      <c r="D1015" s="1" t="s">
        <v>2721</v>
      </c>
      <c r="E1015" s="2">
        <v>45838.0</v>
      </c>
      <c r="F1015" s="1" t="s">
        <v>21</v>
      </c>
      <c r="G1015" s="1" t="s">
        <v>275</v>
      </c>
      <c r="H1015" s="1" t="s">
        <v>1850</v>
      </c>
      <c r="I1015" s="1">
        <v>247.0</v>
      </c>
      <c r="J1015" s="1" t="s">
        <v>24</v>
      </c>
      <c r="K1015" s="1">
        <v>247.0</v>
      </c>
      <c r="L1015" s="1">
        <v>247.0</v>
      </c>
      <c r="M1015" s="1" t="s">
        <v>24</v>
      </c>
      <c r="N1015" s="1" t="s">
        <v>24</v>
      </c>
      <c r="O1015" s="1" t="s">
        <v>2722</v>
      </c>
      <c r="P1015" s="3" t="str">
        <f>HYPERLINK("https://icf.clappia.com/app/SOM165486/submission/JPO48090348/ICF247370-SOM165486-5l25m4o2oj8c00000000/SIG-20250630_12449h8d2.jpeg", "SIG-20250630_12449h8d2.jpeg")</f>
        <v>SIG-20250630_12449h8d2.jpeg</v>
      </c>
      <c r="Q1015" s="3" t="str">
        <f>HYPERLINK("https://www.google.com/maps/place/7.6783569%2C-11.8234282", "7.6783569,-11.8234282")</f>
        <v>7.6783569,-11.8234282</v>
      </c>
    </row>
    <row r="1016" ht="15.75" customHeight="1">
      <c r="A1016" s="1" t="s">
        <v>2723</v>
      </c>
      <c r="B1016" s="1" t="s">
        <v>18</v>
      </c>
      <c r="C1016" s="1" t="s">
        <v>2724</v>
      </c>
      <c r="D1016" s="1" t="s">
        <v>2724</v>
      </c>
      <c r="E1016" s="2">
        <v>45838.0</v>
      </c>
      <c r="F1016" s="1" t="s">
        <v>21</v>
      </c>
      <c r="G1016" s="1" t="s">
        <v>58</v>
      </c>
      <c r="H1016" s="1" t="s">
        <v>147</v>
      </c>
      <c r="I1016" s="1">
        <v>142.0</v>
      </c>
      <c r="J1016" s="1" t="s">
        <v>24</v>
      </c>
      <c r="K1016" s="1">
        <v>142.0</v>
      </c>
      <c r="L1016" s="1">
        <v>39.0</v>
      </c>
      <c r="M1016" s="1">
        <v>103.0</v>
      </c>
      <c r="N1016" s="1">
        <v>103.0</v>
      </c>
      <c r="O1016" s="1" t="s">
        <v>2129</v>
      </c>
      <c r="P1016" s="3" t="str">
        <f>HYPERLINK("https://icf.clappia.com/app/SOM165486/submission/NCJ86942188/ICF247370-SOM165486-16ipi1ejhi45e0000000/SIG-20250630_1654l55co.jpeg", "SIG-20250630_1654l55co.jpeg")</f>
        <v>SIG-20250630_1654l55co.jpeg</v>
      </c>
      <c r="Q1016" s="3" t="str">
        <f>HYPERLINK("https://www.google.com/maps/place/7.8783967%2C-11.7814124", "7.8783967,-11.7814124")</f>
        <v>7.8783967,-11.7814124</v>
      </c>
    </row>
    <row r="1017" ht="15.75" customHeight="1">
      <c r="A1017" s="1" t="s">
        <v>2725</v>
      </c>
      <c r="B1017" s="1" t="s">
        <v>18</v>
      </c>
      <c r="C1017" s="1" t="s">
        <v>2726</v>
      </c>
      <c r="D1017" s="1" t="s">
        <v>2724</v>
      </c>
      <c r="E1017" s="2">
        <v>45838.0</v>
      </c>
      <c r="F1017" s="1" t="s">
        <v>21</v>
      </c>
      <c r="G1017" s="1" t="s">
        <v>275</v>
      </c>
      <c r="H1017" s="1" t="s">
        <v>1220</v>
      </c>
      <c r="I1017" s="1">
        <v>359.0</v>
      </c>
      <c r="J1017" s="1" t="s">
        <v>24</v>
      </c>
      <c r="K1017" s="1">
        <v>359.0</v>
      </c>
      <c r="L1017" s="1">
        <v>295.0</v>
      </c>
      <c r="M1017" s="1">
        <v>64.0</v>
      </c>
      <c r="N1017" s="1">
        <v>64.0</v>
      </c>
      <c r="O1017" s="1" t="s">
        <v>1221</v>
      </c>
      <c r="P1017" s="3" t="str">
        <f>HYPERLINK("https://icf.clappia.com/app/SOM165486/submission/ZVU68946358/ICF247370-SOM165486-6a262oeobjli00000000/SIG-20250630_1636105mf1.jpeg", "SIG-20250630_1636105mf1.jpeg")</f>
        <v>SIG-20250630_1636105mf1.jpeg</v>
      </c>
      <c r="Q1017" s="3" t="str">
        <f>HYPERLINK("https://www.google.com/maps/place/7.6503677%2C-11.9632355", "7.6503677,-11.9632355")</f>
        <v>7.6503677,-11.9632355</v>
      </c>
    </row>
    <row r="1018" ht="15.75" customHeight="1">
      <c r="A1018" s="1" t="s">
        <v>2727</v>
      </c>
      <c r="B1018" s="1" t="s">
        <v>283</v>
      </c>
      <c r="C1018" s="1" t="s">
        <v>2728</v>
      </c>
      <c r="D1018" s="1" t="s">
        <v>2728</v>
      </c>
      <c r="E1018" s="2">
        <v>45838.0</v>
      </c>
      <c r="F1018" s="1" t="s">
        <v>68</v>
      </c>
      <c r="G1018" s="1" t="s">
        <v>325</v>
      </c>
      <c r="H1018" s="1" t="s">
        <v>1523</v>
      </c>
      <c r="I1018" s="1">
        <v>200.0</v>
      </c>
      <c r="J1018" s="1" t="s">
        <v>24</v>
      </c>
      <c r="K1018" s="1">
        <v>200.0</v>
      </c>
      <c r="L1018" s="1">
        <v>194.0</v>
      </c>
      <c r="M1018" s="1">
        <v>6.0</v>
      </c>
      <c r="N1018" s="1">
        <v>6.0</v>
      </c>
      <c r="O1018" s="1" t="s">
        <v>2425</v>
      </c>
      <c r="P1018" s="3" t="str">
        <f>HYPERLINK("https://icf.clappia.com/app/SOM165486/submission/ZJA90246932/ICF247370-SOM165486-43ghbkmek7g200000000/SIG-20250630_1651om3mf.jpeg", "SIG-20250630_1651om3mf.jpeg")</f>
        <v>SIG-20250630_1651om3mf.jpeg</v>
      </c>
      <c r="Q1018" s="3" t="str">
        <f>HYPERLINK("https://www.google.com/maps/place/8.734301%2C-11.95032", "8.734301,-11.95032")</f>
        <v>8.734301,-11.95032</v>
      </c>
    </row>
    <row r="1019" ht="15.75" customHeight="1">
      <c r="A1019" s="1" t="s">
        <v>2729</v>
      </c>
      <c r="B1019" s="1" t="s">
        <v>18</v>
      </c>
      <c r="C1019" s="1" t="s">
        <v>2730</v>
      </c>
      <c r="D1019" s="1" t="s">
        <v>2730</v>
      </c>
      <c r="E1019" s="2">
        <v>45838.0</v>
      </c>
      <c r="F1019" s="1" t="s">
        <v>68</v>
      </c>
      <c r="G1019" s="1" t="s">
        <v>88</v>
      </c>
      <c r="H1019" s="1" t="s">
        <v>881</v>
      </c>
      <c r="I1019" s="1">
        <v>250.0</v>
      </c>
      <c r="J1019" s="1">
        <v>200.0</v>
      </c>
      <c r="K1019" s="1">
        <v>450.0</v>
      </c>
      <c r="L1019" s="1">
        <v>389.0</v>
      </c>
      <c r="M1019" s="1">
        <v>61.0</v>
      </c>
      <c r="N1019" s="1">
        <v>61.0</v>
      </c>
      <c r="O1019" s="1" t="s">
        <v>1602</v>
      </c>
      <c r="P1019" s="3" t="str">
        <f>HYPERLINK("https://icf.clappia.com/app/SOM165486/submission/MUQ99902819/ICF247370-SOM165486-giobke85pp760000000/SIG-20250630_1601n6nj1.jpeg", "SIG-20250630_1601n6nj1.jpeg")</f>
        <v>SIG-20250630_1601n6nj1.jpeg</v>
      </c>
      <c r="Q1019" s="3" t="str">
        <f>HYPERLINK("https://www.google.com/maps/place/8.8784917%2C-12.0533367", "8.8784917,-12.0533367")</f>
        <v>8.8784917,-12.0533367</v>
      </c>
    </row>
    <row r="1020" ht="15.75" customHeight="1">
      <c r="A1020" s="1" t="s">
        <v>2731</v>
      </c>
      <c r="B1020" s="1" t="s">
        <v>18</v>
      </c>
      <c r="C1020" s="1" t="s">
        <v>2730</v>
      </c>
      <c r="D1020" s="1" t="s">
        <v>2730</v>
      </c>
      <c r="E1020" s="2">
        <v>45838.0</v>
      </c>
      <c r="F1020" s="1" t="s">
        <v>68</v>
      </c>
      <c r="G1020" s="1" t="s">
        <v>340</v>
      </c>
      <c r="H1020" s="1" t="s">
        <v>742</v>
      </c>
      <c r="I1020" s="1">
        <v>100.0</v>
      </c>
      <c r="J1020" s="1" t="s">
        <v>24</v>
      </c>
      <c r="K1020" s="1">
        <v>100.0</v>
      </c>
      <c r="L1020" s="1">
        <v>78.0</v>
      </c>
      <c r="M1020" s="1">
        <v>22.0</v>
      </c>
      <c r="N1020" s="1">
        <v>22.0</v>
      </c>
      <c r="O1020" s="1" t="s">
        <v>1217</v>
      </c>
      <c r="P1020" s="3" t="str">
        <f>HYPERLINK("https://icf.clappia.com/app/SOM165486/submission/UMB41014344/ICF247370-SOM165486-5gkcg4cnof6e00000000/SIG-20250630_1646161l73.jpeg", "SIG-20250630_1646161l73.jpeg")</f>
        <v>SIG-20250630_1646161l73.jpeg</v>
      </c>
      <c r="Q1020" s="3" t="str">
        <f>HYPERLINK("https://www.google.com/maps/place/9.1570983%2C-11.9616783", "9.1570983,-11.9616783")</f>
        <v>9.1570983,-11.9616783</v>
      </c>
    </row>
    <row r="1021" ht="15.75" customHeight="1">
      <c r="A1021" s="1" t="s">
        <v>2732</v>
      </c>
      <c r="B1021" s="1" t="s">
        <v>18</v>
      </c>
      <c r="C1021" s="1" t="s">
        <v>2730</v>
      </c>
      <c r="D1021" s="1" t="s">
        <v>2730</v>
      </c>
      <c r="E1021" s="2">
        <v>45838.0</v>
      </c>
      <c r="F1021" s="1" t="s">
        <v>21</v>
      </c>
      <c r="G1021" s="1" t="s">
        <v>269</v>
      </c>
      <c r="H1021" s="1" t="s">
        <v>540</v>
      </c>
      <c r="I1021" s="1">
        <v>93.0</v>
      </c>
      <c r="J1021" s="1" t="s">
        <v>24</v>
      </c>
      <c r="K1021" s="1">
        <v>93.0</v>
      </c>
      <c r="L1021" s="1">
        <v>43.0</v>
      </c>
      <c r="M1021" s="1">
        <v>50.0</v>
      </c>
      <c r="N1021" s="1">
        <v>50.0</v>
      </c>
      <c r="O1021" s="1" t="s">
        <v>541</v>
      </c>
      <c r="P1021" s="3" t="str">
        <f>HYPERLINK("https://icf.clappia.com/app/SOM165486/submission/BYM43481844/ICF247370-SOM165486-5aanb475i0c800000000/SIG-20250630_16464f3kn.jpeg", "SIG-20250630_16464f3kn.jpeg")</f>
        <v>SIG-20250630_16464f3kn.jpeg</v>
      </c>
      <c r="Q1021" s="3" t="str">
        <f>HYPERLINK("https://www.google.com/maps/place/7.8241431%2C-11.515369", "7.8241431,-11.515369")</f>
        <v>7.8241431,-11.515369</v>
      </c>
    </row>
    <row r="1022" ht="15.75" customHeight="1">
      <c r="A1022" s="1" t="s">
        <v>2733</v>
      </c>
      <c r="B1022" s="1" t="s">
        <v>18</v>
      </c>
      <c r="C1022" s="1" t="s">
        <v>2734</v>
      </c>
      <c r="D1022" s="1" t="s">
        <v>2734</v>
      </c>
      <c r="E1022" s="2">
        <v>45838.0</v>
      </c>
      <c r="F1022" s="1" t="s">
        <v>21</v>
      </c>
      <c r="G1022" s="1" t="s">
        <v>95</v>
      </c>
      <c r="H1022" s="1" t="s">
        <v>216</v>
      </c>
      <c r="I1022" s="1">
        <v>162.0</v>
      </c>
      <c r="J1022" s="1" t="s">
        <v>24</v>
      </c>
      <c r="K1022" s="1">
        <v>162.0</v>
      </c>
      <c r="L1022" s="1">
        <v>160.0</v>
      </c>
      <c r="M1022" s="1">
        <v>2.0</v>
      </c>
      <c r="N1022" s="1">
        <v>2.0</v>
      </c>
      <c r="O1022" s="1" t="s">
        <v>2735</v>
      </c>
      <c r="P1022" s="3" t="str">
        <f>HYPERLINK("https://icf.clappia.com/app/SOM165486/submission/JXG90639513/ICF247370-SOM165486-4ajc3ln2269a00000000/SIG-20250630_1641104642.jpeg", "SIG-20250630_1641104642.jpeg")</f>
        <v>SIG-20250630_1641104642.jpeg</v>
      </c>
      <c r="Q1022" s="3" t="str">
        <f>HYPERLINK("https://www.google.com/maps/place/7.9560083%2C-11.7605433", "7.9560083,-11.7605433")</f>
        <v>7.9560083,-11.7605433</v>
      </c>
    </row>
    <row r="1023" ht="15.75" customHeight="1">
      <c r="A1023" s="1" t="s">
        <v>2736</v>
      </c>
      <c r="B1023" s="1" t="s">
        <v>18</v>
      </c>
      <c r="C1023" s="1" t="s">
        <v>2737</v>
      </c>
      <c r="D1023" s="1" t="s">
        <v>2734</v>
      </c>
      <c r="E1023" s="2">
        <v>45838.0</v>
      </c>
      <c r="F1023" s="1" t="s">
        <v>21</v>
      </c>
      <c r="G1023" s="1" t="s">
        <v>269</v>
      </c>
      <c r="H1023" s="1" t="s">
        <v>540</v>
      </c>
      <c r="I1023" s="1">
        <v>93.0</v>
      </c>
      <c r="J1023" s="1" t="s">
        <v>24</v>
      </c>
      <c r="K1023" s="1">
        <v>93.0</v>
      </c>
      <c r="L1023" s="1">
        <v>42.0</v>
      </c>
      <c r="M1023" s="1">
        <v>51.0</v>
      </c>
      <c r="N1023" s="1">
        <v>51.0</v>
      </c>
      <c r="O1023" s="1" t="s">
        <v>541</v>
      </c>
      <c r="P1023" s="3" t="str">
        <f>HYPERLINK("https://icf.clappia.com/app/SOM165486/submission/NWH47672139/ICF247370-SOM165486-omc7m6m743520000000/SIG-20250630_14335olkd.jpeg", "SIG-20250630_14335olkd.jpeg")</f>
        <v>SIG-20250630_14335olkd.jpeg</v>
      </c>
    </row>
    <row r="1024" ht="15.75" customHeight="1">
      <c r="A1024" s="1" t="s">
        <v>2738</v>
      </c>
      <c r="B1024" s="1" t="s">
        <v>18</v>
      </c>
      <c r="C1024" s="1" t="s">
        <v>2739</v>
      </c>
      <c r="D1024" s="1" t="s">
        <v>2739</v>
      </c>
      <c r="E1024" s="2">
        <v>45838.0</v>
      </c>
      <c r="F1024" s="1" t="s">
        <v>68</v>
      </c>
      <c r="G1024" s="1" t="s">
        <v>325</v>
      </c>
      <c r="H1024" s="1" t="s">
        <v>1523</v>
      </c>
      <c r="I1024" s="1">
        <v>200.0</v>
      </c>
      <c r="J1024" s="1" t="s">
        <v>24</v>
      </c>
      <c r="K1024" s="1">
        <v>200.0</v>
      </c>
      <c r="L1024" s="1">
        <v>194.0</v>
      </c>
      <c r="M1024" s="1">
        <v>6.0</v>
      </c>
      <c r="N1024" s="1">
        <v>6.0</v>
      </c>
      <c r="O1024" s="1" t="s">
        <v>2740</v>
      </c>
      <c r="P1024" s="3" t="str">
        <f>HYPERLINK("https://icf.clappia.com/app/SOM165486/submission/BLV57705816/ICF247370-SOM165486-3gj1e5d4mp2e00000000/SIG-20250630_16341a1797.jpeg", "SIG-20250630_16341a1797.jpeg")</f>
        <v>SIG-20250630_16341a1797.jpeg</v>
      </c>
      <c r="Q1024" s="3" t="str">
        <f>HYPERLINK("https://www.google.com/maps/place/8.7878898%2C-11.9066904", "8.7878898,-11.9066904")</f>
        <v>8.7878898,-11.9066904</v>
      </c>
    </row>
    <row r="1025" ht="15.75" customHeight="1">
      <c r="A1025" s="1" t="s">
        <v>2741</v>
      </c>
      <c r="B1025" s="1" t="s">
        <v>18</v>
      </c>
      <c r="C1025" s="1" t="s">
        <v>2742</v>
      </c>
      <c r="D1025" s="1" t="s">
        <v>2742</v>
      </c>
      <c r="E1025" s="2">
        <v>45838.0</v>
      </c>
      <c r="F1025" s="1" t="s">
        <v>68</v>
      </c>
      <c r="G1025" s="1" t="s">
        <v>325</v>
      </c>
      <c r="H1025" s="1" t="s">
        <v>2624</v>
      </c>
      <c r="I1025" s="1">
        <v>250.0</v>
      </c>
      <c r="J1025" s="1" t="s">
        <v>24</v>
      </c>
      <c r="K1025" s="1">
        <v>250.0</v>
      </c>
      <c r="L1025" s="1">
        <v>210.0</v>
      </c>
      <c r="M1025" s="1">
        <v>40.0</v>
      </c>
      <c r="N1025" s="1">
        <v>40.0</v>
      </c>
      <c r="O1025" s="1" t="s">
        <v>2743</v>
      </c>
      <c r="P1025" s="3" t="str">
        <f>HYPERLINK("https://icf.clappia.com/app/SOM165486/submission/ICR53421749/ICF247370-SOM165486-2e2oiad69alm00000000/SIG-20250630_163212genp.jpeg", "SIG-20250630_163212genp.jpeg")</f>
        <v>SIG-20250630_163212genp.jpeg</v>
      </c>
      <c r="Q1025" s="3" t="str">
        <f>HYPERLINK("https://www.google.com/maps/place/8.7598379%2C-11.9556089", "8.7598379,-11.9556089")</f>
        <v>8.7598379,-11.9556089</v>
      </c>
    </row>
    <row r="1026" ht="15.75" customHeight="1">
      <c r="A1026" s="1" t="s">
        <v>2744</v>
      </c>
      <c r="B1026" s="1" t="s">
        <v>18</v>
      </c>
      <c r="C1026" s="1" t="s">
        <v>1094</v>
      </c>
      <c r="D1026" s="1" t="s">
        <v>1094</v>
      </c>
      <c r="E1026" s="2">
        <v>45838.0</v>
      </c>
      <c r="F1026" s="1" t="s">
        <v>68</v>
      </c>
      <c r="G1026" s="1" t="s">
        <v>88</v>
      </c>
      <c r="H1026" s="1" t="s">
        <v>1314</v>
      </c>
      <c r="I1026" s="1">
        <v>200.0</v>
      </c>
      <c r="J1026" s="1" t="s">
        <v>24</v>
      </c>
      <c r="K1026" s="1">
        <v>200.0</v>
      </c>
      <c r="L1026" s="1">
        <v>191.0</v>
      </c>
      <c r="M1026" s="1">
        <v>9.0</v>
      </c>
      <c r="N1026" s="1">
        <v>9.0</v>
      </c>
      <c r="O1026" s="1" t="s">
        <v>1937</v>
      </c>
      <c r="P1026" s="3" t="str">
        <f>HYPERLINK("https://icf.clappia.com/app/SOM165486/submission/NYG56260931/ICF247370-SOM165486-14pn694mm9imk0000000/SIG-20250630_16281191h.jpeg", "SIG-20250630_16281191h.jpeg")</f>
        <v>SIG-20250630_16281191h.jpeg</v>
      </c>
      <c r="Q1026" s="3" t="str">
        <f>HYPERLINK("https://www.google.com/maps/place/8.873535%2C-12.0291817", "8.873535,-12.0291817")</f>
        <v>8.873535,-12.0291817</v>
      </c>
    </row>
    <row r="1027" ht="15.75" customHeight="1">
      <c r="A1027" s="1" t="s">
        <v>2745</v>
      </c>
      <c r="B1027" s="1" t="s">
        <v>18</v>
      </c>
      <c r="C1027" s="1" t="s">
        <v>2746</v>
      </c>
      <c r="D1027" s="1" t="s">
        <v>2746</v>
      </c>
      <c r="E1027" s="2">
        <v>45838.0</v>
      </c>
      <c r="F1027" s="1" t="s">
        <v>68</v>
      </c>
      <c r="G1027" s="1" t="s">
        <v>88</v>
      </c>
      <c r="H1027" s="1" t="s">
        <v>881</v>
      </c>
      <c r="I1027" s="1">
        <v>250.0</v>
      </c>
      <c r="J1027" s="1" t="s">
        <v>24</v>
      </c>
      <c r="K1027" s="1">
        <v>250.0</v>
      </c>
      <c r="L1027" s="1">
        <v>240.0</v>
      </c>
      <c r="M1027" s="1">
        <v>10.0</v>
      </c>
      <c r="N1027" s="1" t="s">
        <v>24</v>
      </c>
      <c r="O1027" s="1" t="s">
        <v>2747</v>
      </c>
      <c r="P1027" s="3" t="str">
        <f>HYPERLINK("https://icf.clappia.com/app/SOM165486/submission/VPN95737753/ICF247370-SOM165486-4pa1n4kggne000000000/SIG-20250630_162414k5o9.jpeg", "SIG-20250630_162414k5o9.jpeg")</f>
        <v>SIG-20250630_162414k5o9.jpeg</v>
      </c>
      <c r="Q1027" s="3" t="str">
        <f>HYPERLINK("https://www.google.com/maps/place/8.8777915%2C-12.0512911", "8.8777915,-12.0512911")</f>
        <v>8.8777915,-12.0512911</v>
      </c>
    </row>
    <row r="1028" ht="15.75" customHeight="1">
      <c r="A1028" s="1" t="s">
        <v>2748</v>
      </c>
      <c r="B1028" s="1" t="s">
        <v>18</v>
      </c>
      <c r="C1028" s="1" t="s">
        <v>2749</v>
      </c>
      <c r="D1028" s="1" t="s">
        <v>2749</v>
      </c>
      <c r="E1028" s="2">
        <v>45838.0</v>
      </c>
      <c r="F1028" s="1" t="s">
        <v>21</v>
      </c>
      <c r="G1028" s="1" t="s">
        <v>269</v>
      </c>
      <c r="H1028" s="1" t="s">
        <v>1298</v>
      </c>
      <c r="I1028" s="1">
        <v>343.0</v>
      </c>
      <c r="J1028" s="1" t="s">
        <v>24</v>
      </c>
      <c r="K1028" s="1">
        <v>343.0</v>
      </c>
      <c r="L1028" s="1">
        <v>247.0</v>
      </c>
      <c r="M1028" s="1">
        <v>96.0</v>
      </c>
      <c r="N1028" s="1" t="s">
        <v>24</v>
      </c>
      <c r="O1028" s="1" t="s">
        <v>2750</v>
      </c>
      <c r="P1028" s="3" t="str">
        <f>HYPERLINK("https://icf.clappia.com/app/SOM165486/submission/SQE37543532/ICF247370-SOM165486-6a6acf581cco00000000/SIG-20250630_1617k8ekl.jpeg", "SIG-20250630_1617k8ekl.jpeg")</f>
        <v>SIG-20250630_1617k8ekl.jpeg</v>
      </c>
      <c r="Q1028" s="3" t="str">
        <f>HYPERLINK("https://www.google.com/maps/place/7.7158367%2C-11.6949933", "7.7158367,-11.6949933")</f>
        <v>7.7158367,-11.6949933</v>
      </c>
    </row>
    <row r="1029" ht="15.75" customHeight="1">
      <c r="A1029" s="1" t="s">
        <v>2751</v>
      </c>
      <c r="B1029" s="1" t="s">
        <v>18</v>
      </c>
      <c r="C1029" s="1" t="s">
        <v>2752</v>
      </c>
      <c r="D1029" s="1" t="s">
        <v>2752</v>
      </c>
      <c r="E1029" s="2">
        <v>45838.0</v>
      </c>
      <c r="F1029" s="1" t="s">
        <v>21</v>
      </c>
      <c r="G1029" s="1" t="s">
        <v>95</v>
      </c>
      <c r="H1029" s="1" t="s">
        <v>1747</v>
      </c>
      <c r="I1029" s="1">
        <v>150.0</v>
      </c>
      <c r="J1029" s="1" t="s">
        <v>24</v>
      </c>
      <c r="K1029" s="1">
        <v>150.0</v>
      </c>
      <c r="L1029" s="1">
        <v>98.0</v>
      </c>
      <c r="M1029" s="1">
        <v>52.0</v>
      </c>
      <c r="N1029" s="1">
        <v>2.0</v>
      </c>
      <c r="O1029" s="1" t="s">
        <v>1748</v>
      </c>
      <c r="P1029" s="3" t="str">
        <f>HYPERLINK("https://icf.clappia.com/app/SOM165486/submission/MUZ64387178/ICF247370-SOM165486-254986fb9nec80000000/SIG-20250630_161412kio3.jpeg", "SIG-20250630_161412kio3.jpeg")</f>
        <v>SIG-20250630_161412kio3.jpeg</v>
      </c>
      <c r="Q1029" s="3" t="str">
        <f>HYPERLINK("https://www.google.com/maps/place/8.0147135%2C-11.7284857", "8.0147135,-11.7284857")</f>
        <v>8.0147135,-11.7284857</v>
      </c>
    </row>
    <row r="1030" ht="15.75" customHeight="1">
      <c r="A1030" s="1" t="s">
        <v>2753</v>
      </c>
      <c r="B1030" s="1" t="s">
        <v>18</v>
      </c>
      <c r="C1030" s="1" t="s">
        <v>2754</v>
      </c>
      <c r="D1030" s="1" t="s">
        <v>279</v>
      </c>
      <c r="E1030" s="2">
        <v>45838.0</v>
      </c>
      <c r="F1030" s="1" t="s">
        <v>21</v>
      </c>
      <c r="G1030" s="1" t="s">
        <v>269</v>
      </c>
      <c r="H1030" s="1" t="s">
        <v>1298</v>
      </c>
      <c r="I1030" s="1">
        <v>250.0</v>
      </c>
      <c r="J1030" s="1" t="s">
        <v>24</v>
      </c>
      <c r="K1030" s="1">
        <v>250.0</v>
      </c>
      <c r="L1030" s="1">
        <v>229.0</v>
      </c>
      <c r="M1030" s="1">
        <v>21.0</v>
      </c>
      <c r="N1030" s="1">
        <v>21.0</v>
      </c>
      <c r="O1030" s="1" t="s">
        <v>2755</v>
      </c>
      <c r="P1030" s="3" t="str">
        <f>HYPERLINK("https://icf.clappia.com/app/SOM165486/submission/IXI17549571/ICF247370-SOM165486-29n4ck01i98ak0000000/SIG-20250630_15226nfnl.jpeg", "SIG-20250630_15226nfnl.jpeg")</f>
        <v>SIG-20250630_15226nfnl.jpeg</v>
      </c>
    </row>
    <row r="1031" ht="15.75" customHeight="1">
      <c r="A1031" s="1" t="s">
        <v>2756</v>
      </c>
      <c r="B1031" s="1" t="s">
        <v>18</v>
      </c>
      <c r="C1031" s="1" t="s">
        <v>2757</v>
      </c>
      <c r="D1031" s="1" t="s">
        <v>279</v>
      </c>
      <c r="E1031" s="2">
        <v>45838.0</v>
      </c>
      <c r="F1031" s="1" t="s">
        <v>21</v>
      </c>
      <c r="G1031" s="1" t="s">
        <v>269</v>
      </c>
      <c r="H1031" s="1" t="s">
        <v>1298</v>
      </c>
      <c r="I1031" s="1">
        <v>250.0</v>
      </c>
      <c r="J1031" s="1" t="s">
        <v>24</v>
      </c>
      <c r="K1031" s="1">
        <v>250.0</v>
      </c>
      <c r="L1031" s="1">
        <v>229.0</v>
      </c>
      <c r="M1031" s="1">
        <v>21.0</v>
      </c>
      <c r="N1031" s="1">
        <v>21.0</v>
      </c>
      <c r="O1031" s="1" t="s">
        <v>1335</v>
      </c>
      <c r="P1031" s="3" t="str">
        <f>HYPERLINK("https://icf.clappia.com/app/SOM165486/submission/YBS69286324/ICF247370-SOM165486-21o9jpdlhin3m0000000/SIG-20250630_1519105251.jpeg", "SIG-20250630_1519105251.jpeg")</f>
        <v>SIG-20250630_1519105251.jpeg</v>
      </c>
    </row>
    <row r="1032" ht="15.75" customHeight="1">
      <c r="A1032" s="1" t="s">
        <v>2758</v>
      </c>
      <c r="B1032" s="1" t="s">
        <v>18</v>
      </c>
      <c r="C1032" s="1" t="s">
        <v>2759</v>
      </c>
      <c r="D1032" s="1" t="s">
        <v>2759</v>
      </c>
      <c r="E1032" s="2">
        <v>45838.0</v>
      </c>
      <c r="F1032" s="1" t="s">
        <v>21</v>
      </c>
      <c r="G1032" s="1" t="s">
        <v>95</v>
      </c>
      <c r="H1032" s="1" t="s">
        <v>1747</v>
      </c>
      <c r="I1032" s="1">
        <v>150.0</v>
      </c>
      <c r="J1032" s="1" t="s">
        <v>24</v>
      </c>
      <c r="K1032" s="1">
        <v>150.0</v>
      </c>
      <c r="L1032" s="1">
        <v>98.0</v>
      </c>
      <c r="M1032" s="1">
        <v>52.0</v>
      </c>
      <c r="N1032" s="1">
        <v>2.0</v>
      </c>
      <c r="O1032" s="1" t="s">
        <v>1748</v>
      </c>
      <c r="P1032" s="3" t="str">
        <f>HYPERLINK("https://icf.clappia.com/app/SOM165486/submission/TCZ07607070/ICF247370-SOM165486-17e66fh1celda0000000/SIG-20250630_1611k9ob1.jpeg", "SIG-20250630_1611k9ob1.jpeg")</f>
        <v>SIG-20250630_1611k9ob1.jpeg</v>
      </c>
      <c r="Q1032" s="3" t="str">
        <f>HYPERLINK("https://www.google.com/maps/place/8.0147567%2C-11.728665", "8.0147567,-11.728665")</f>
        <v>8.0147567,-11.728665</v>
      </c>
    </row>
    <row r="1033" ht="15.75" customHeight="1">
      <c r="A1033" s="1" t="s">
        <v>2760</v>
      </c>
      <c r="B1033" s="1" t="s">
        <v>18</v>
      </c>
      <c r="C1033" s="1" t="s">
        <v>2761</v>
      </c>
      <c r="D1033" s="1" t="s">
        <v>2761</v>
      </c>
      <c r="E1033" s="2">
        <v>45838.0</v>
      </c>
      <c r="F1033" s="1" t="s">
        <v>21</v>
      </c>
      <c r="G1033" s="1" t="s">
        <v>275</v>
      </c>
      <c r="H1033" s="1" t="s">
        <v>1220</v>
      </c>
      <c r="I1033" s="1">
        <v>385.0</v>
      </c>
      <c r="J1033" s="1" t="s">
        <v>24</v>
      </c>
      <c r="K1033" s="1">
        <v>385.0</v>
      </c>
      <c r="L1033" s="1">
        <v>385.0</v>
      </c>
      <c r="M1033" s="1" t="s">
        <v>24</v>
      </c>
      <c r="N1033" s="1" t="s">
        <v>24</v>
      </c>
      <c r="O1033" s="1" t="s">
        <v>2762</v>
      </c>
      <c r="P1033" s="3" t="str">
        <f>HYPERLINK("https://icf.clappia.com/app/SOM165486/submission/SYN73978139/ICF247370-SOM165486-25dblhgc328640000000/SIG-20250630_1609epkjp.jpeg", "SIG-20250630_1609epkjp.jpeg")</f>
        <v>SIG-20250630_1609epkjp.jpeg</v>
      </c>
      <c r="Q1033" s="3" t="str">
        <f t="shared" ref="Q1033:Q1034" si="20">HYPERLINK("https://www.google.com/maps/place/7.6501029%2C-11.9630965", "7.6501029,-11.9630965")</f>
        <v>7.6501029,-11.9630965</v>
      </c>
    </row>
    <row r="1034" ht="15.75" customHeight="1">
      <c r="A1034" s="1" t="s">
        <v>2763</v>
      </c>
      <c r="B1034" s="1" t="s">
        <v>18</v>
      </c>
      <c r="C1034" s="1" t="s">
        <v>2764</v>
      </c>
      <c r="D1034" s="1" t="s">
        <v>2764</v>
      </c>
      <c r="E1034" s="2">
        <v>45838.0</v>
      </c>
      <c r="F1034" s="1" t="s">
        <v>21</v>
      </c>
      <c r="G1034" s="1" t="s">
        <v>275</v>
      </c>
      <c r="H1034" s="1" t="s">
        <v>1220</v>
      </c>
      <c r="I1034" s="1">
        <v>234.0</v>
      </c>
      <c r="J1034" s="1" t="s">
        <v>24</v>
      </c>
      <c r="K1034" s="1">
        <v>234.0</v>
      </c>
      <c r="L1034" s="1">
        <v>234.0</v>
      </c>
      <c r="M1034" s="1" t="s">
        <v>24</v>
      </c>
      <c r="N1034" s="1" t="s">
        <v>24</v>
      </c>
      <c r="O1034" s="1" t="s">
        <v>2315</v>
      </c>
      <c r="P1034" s="3" t="str">
        <f>HYPERLINK("https://icf.clappia.com/app/SOM165486/submission/EUV43001077/ICF247370-SOM165486-4e8nb187e1ma00000000/SIG-20250630_16063hggj.jpeg", "SIG-20250630_16063hggj.jpeg")</f>
        <v>SIG-20250630_16063hggj.jpeg</v>
      </c>
      <c r="Q1034" s="3" t="str">
        <f t="shared" si="20"/>
        <v>7.6501029,-11.9630965</v>
      </c>
    </row>
    <row r="1035" ht="15.75" customHeight="1">
      <c r="A1035" s="1" t="s">
        <v>2765</v>
      </c>
      <c r="B1035" s="1" t="s">
        <v>18</v>
      </c>
      <c r="C1035" s="1" t="s">
        <v>2766</v>
      </c>
      <c r="D1035" s="1" t="s">
        <v>2766</v>
      </c>
      <c r="E1035" s="2">
        <v>45838.0</v>
      </c>
      <c r="F1035" s="1" t="s">
        <v>68</v>
      </c>
      <c r="G1035" s="1" t="s">
        <v>88</v>
      </c>
      <c r="H1035" s="1" t="s">
        <v>1314</v>
      </c>
      <c r="I1035" s="1">
        <v>654.0</v>
      </c>
      <c r="J1035" s="1" t="s">
        <v>24</v>
      </c>
      <c r="K1035" s="1">
        <v>654.0</v>
      </c>
      <c r="L1035" s="1">
        <v>564.0</v>
      </c>
      <c r="M1035" s="1">
        <v>90.0</v>
      </c>
      <c r="N1035" s="1">
        <v>90.0</v>
      </c>
      <c r="O1035" s="1" t="s">
        <v>1950</v>
      </c>
      <c r="P1035" s="3" t="str">
        <f>HYPERLINK("https://icf.clappia.com/app/SOM165486/submission/CCS51221769/ICF247370-SOM165486-1heinci30logo0000000/SIG-20250630_1540pn46a.jpeg", "SIG-20250630_1540pn46a.jpeg")</f>
        <v>SIG-20250630_1540pn46a.jpeg</v>
      </c>
      <c r="Q1035" s="3" t="str">
        <f>HYPERLINK("https://www.google.com/maps/place/8.8680667%2C-12.03908", "8.8680667,-12.03908")</f>
        <v>8.8680667,-12.03908</v>
      </c>
    </row>
    <row r="1036" ht="15.75" customHeight="1">
      <c r="A1036" s="1" t="s">
        <v>2767</v>
      </c>
      <c r="B1036" s="1" t="s">
        <v>18</v>
      </c>
      <c r="C1036" s="1" t="s">
        <v>2768</v>
      </c>
      <c r="D1036" s="1" t="s">
        <v>2768</v>
      </c>
      <c r="E1036" s="2">
        <v>45838.0</v>
      </c>
      <c r="F1036" s="1" t="s">
        <v>21</v>
      </c>
      <c r="G1036" s="1" t="s">
        <v>269</v>
      </c>
      <c r="H1036" s="1" t="s">
        <v>1298</v>
      </c>
      <c r="I1036" s="1">
        <v>167.0</v>
      </c>
      <c r="J1036" s="1" t="s">
        <v>24</v>
      </c>
      <c r="K1036" s="1">
        <v>167.0</v>
      </c>
      <c r="L1036" s="1">
        <v>163.0</v>
      </c>
      <c r="M1036" s="1">
        <v>4.0</v>
      </c>
      <c r="N1036" s="1">
        <v>4.0</v>
      </c>
      <c r="O1036" s="1" t="s">
        <v>1828</v>
      </c>
      <c r="P1036" s="3" t="str">
        <f>HYPERLINK("https://icf.clappia.com/app/SOM165486/submission/XTZ49372218/ICF247370-SOM165486-353phfojecdk00000000/SIG-20250630_1605185p97.jpeg", "SIG-20250630_1605185p97.jpeg")</f>
        <v>SIG-20250630_1605185p97.jpeg</v>
      </c>
      <c r="Q1036" s="3" t="str">
        <f>HYPERLINK("https://www.google.com/maps/place/7.7099523%2C-11.6927751", "7.7099523,-11.6927751")</f>
        <v>7.7099523,-11.6927751</v>
      </c>
    </row>
    <row r="1037" ht="15.75" customHeight="1">
      <c r="A1037" s="1" t="s">
        <v>2769</v>
      </c>
      <c r="B1037" s="1" t="s">
        <v>18</v>
      </c>
      <c r="C1037" s="1" t="s">
        <v>2770</v>
      </c>
      <c r="D1037" s="1" t="s">
        <v>2770</v>
      </c>
      <c r="E1037" s="2">
        <v>45838.0</v>
      </c>
      <c r="F1037" s="1" t="s">
        <v>68</v>
      </c>
      <c r="G1037" s="1" t="s">
        <v>286</v>
      </c>
      <c r="H1037" s="1" t="s">
        <v>320</v>
      </c>
      <c r="I1037" s="1">
        <v>200.0</v>
      </c>
      <c r="J1037" s="1" t="s">
        <v>24</v>
      </c>
      <c r="K1037" s="1">
        <v>200.0</v>
      </c>
      <c r="L1037" s="1">
        <v>180.0</v>
      </c>
      <c r="M1037" s="1">
        <v>20.0</v>
      </c>
      <c r="N1037" s="1">
        <v>20.0</v>
      </c>
      <c r="O1037" s="1" t="s">
        <v>2771</v>
      </c>
      <c r="P1037" s="3" t="str">
        <f>HYPERLINK("https://icf.clappia.com/app/SOM165486/submission/KTV34470999/ICF247370-SOM165486-668eb9j8mmm800000000/SIG-20250630_155048oih.jpeg", "SIG-20250630_155048oih.jpeg")</f>
        <v>SIG-20250630_155048oih.jpeg</v>
      </c>
    </row>
    <row r="1038" ht="15.75" customHeight="1">
      <c r="A1038" s="1" t="s">
        <v>2772</v>
      </c>
      <c r="B1038" s="1" t="s">
        <v>18</v>
      </c>
      <c r="C1038" s="1" t="s">
        <v>2773</v>
      </c>
      <c r="D1038" s="1" t="s">
        <v>2774</v>
      </c>
      <c r="E1038" s="2">
        <v>45838.0</v>
      </c>
      <c r="F1038" s="1" t="s">
        <v>21</v>
      </c>
      <c r="G1038" s="1" t="s">
        <v>35</v>
      </c>
      <c r="H1038" s="1" t="s">
        <v>2495</v>
      </c>
      <c r="I1038" s="1">
        <v>650.0</v>
      </c>
      <c r="J1038" s="1" t="s">
        <v>24</v>
      </c>
      <c r="K1038" s="1">
        <v>650.0</v>
      </c>
      <c r="L1038" s="1">
        <v>350.0</v>
      </c>
      <c r="M1038" s="1">
        <v>300.0</v>
      </c>
      <c r="N1038" s="1" t="s">
        <v>24</v>
      </c>
      <c r="O1038" s="1">
        <v>3.0</v>
      </c>
      <c r="P1038" s="3" t="str">
        <f>HYPERLINK("https://icf.clappia.com/app/SOM165486/submission/KBU96601038/ICF247370-SOM165486-17a1g5lpj94ik0000000/SIG-20250630_10311f33p.jpeg", "SIG-20250630_10311f33p.jpeg")</f>
        <v>SIG-20250630_10311f33p.jpeg</v>
      </c>
      <c r="Q1038" s="3" t="str">
        <f>HYPERLINK("https://www.google.com/maps/place/8.2175451%2C-11.6324615", "8.2175451,-11.6324615")</f>
        <v>8.2175451,-11.6324615</v>
      </c>
    </row>
    <row r="1039" ht="15.75" customHeight="1">
      <c r="A1039" s="1" t="s">
        <v>2775</v>
      </c>
      <c r="B1039" s="1" t="s">
        <v>18</v>
      </c>
      <c r="C1039" s="1" t="s">
        <v>2776</v>
      </c>
      <c r="D1039" s="1" t="s">
        <v>2776</v>
      </c>
      <c r="E1039" s="2">
        <v>45838.0</v>
      </c>
      <c r="F1039" s="1" t="s">
        <v>68</v>
      </c>
      <c r="G1039" s="1" t="s">
        <v>83</v>
      </c>
      <c r="H1039" s="1" t="s">
        <v>653</v>
      </c>
      <c r="I1039" s="1">
        <v>316.0</v>
      </c>
      <c r="J1039" s="1" t="s">
        <v>24</v>
      </c>
      <c r="K1039" s="1">
        <v>316.0</v>
      </c>
      <c r="L1039" s="1">
        <v>172.0</v>
      </c>
      <c r="M1039" s="1">
        <v>144.0</v>
      </c>
      <c r="N1039" s="1">
        <v>144.0</v>
      </c>
      <c r="O1039" s="1" t="s">
        <v>2777</v>
      </c>
      <c r="P1039" s="3" t="str">
        <f>HYPERLINK("https://icf.clappia.com/app/SOM165486/submission/JAR89203952/ICF247370-SOM165486-522gbkb29ag600000000/SIG-20250630_132738ngg.jpeg", "SIG-20250630_132738ngg.jpeg")</f>
        <v>SIG-20250630_132738ngg.jpeg</v>
      </c>
      <c r="Q1039" s="3" t="str">
        <f>HYPERLINK("https://www.google.com/maps/place/8.84178%2C-12.0768633", "8.84178,-12.0768633")</f>
        <v>8.84178,-12.0768633</v>
      </c>
    </row>
    <row r="1040" ht="15.75" customHeight="1">
      <c r="A1040" s="1" t="s">
        <v>2778</v>
      </c>
      <c r="B1040" s="1" t="s">
        <v>18</v>
      </c>
      <c r="C1040" s="1" t="s">
        <v>2779</v>
      </c>
      <c r="D1040" s="1" t="s">
        <v>2779</v>
      </c>
      <c r="E1040" s="2">
        <v>45838.0</v>
      </c>
      <c r="F1040" s="1" t="s">
        <v>21</v>
      </c>
      <c r="G1040" s="1" t="s">
        <v>164</v>
      </c>
      <c r="H1040" s="1" t="s">
        <v>191</v>
      </c>
      <c r="I1040" s="1">
        <v>150.0</v>
      </c>
      <c r="J1040" s="1" t="s">
        <v>24</v>
      </c>
      <c r="K1040" s="1">
        <v>150.0</v>
      </c>
      <c r="L1040" s="1">
        <v>115.0</v>
      </c>
      <c r="M1040" s="1">
        <v>35.0</v>
      </c>
      <c r="N1040" s="1">
        <v>35.0</v>
      </c>
      <c r="O1040" s="1" t="s">
        <v>2780</v>
      </c>
      <c r="P1040" s="3" t="str">
        <f>HYPERLINK("https://icf.clappia.com/app/SOM165486/submission/QKD76387334/ICF247370-SOM165486-1mbmh8b71fb440000000/SIG-20250630_15492pan3.jpeg", "SIG-20250630_15492pan3.jpeg")</f>
        <v>SIG-20250630_15492pan3.jpeg</v>
      </c>
      <c r="Q1040" s="3" t="str">
        <f>HYPERLINK("https://www.google.com/maps/place/7.7681883%2C-12.0905733", "7.7681883,-12.0905733")</f>
        <v>7.7681883,-12.0905733</v>
      </c>
    </row>
    <row r="1041" ht="15.75" customHeight="1">
      <c r="A1041" s="1" t="s">
        <v>2781</v>
      </c>
      <c r="B1041" s="1" t="s">
        <v>18</v>
      </c>
      <c r="C1041" s="1" t="s">
        <v>2779</v>
      </c>
      <c r="D1041" s="1" t="s">
        <v>2779</v>
      </c>
      <c r="E1041" s="2">
        <v>45838.0</v>
      </c>
      <c r="F1041" s="1" t="s">
        <v>68</v>
      </c>
      <c r="G1041" s="1" t="s">
        <v>672</v>
      </c>
      <c r="H1041" s="1" t="s">
        <v>1163</v>
      </c>
      <c r="I1041" s="1">
        <v>111.0</v>
      </c>
      <c r="J1041" s="1" t="s">
        <v>24</v>
      </c>
      <c r="K1041" s="1">
        <v>111.0</v>
      </c>
      <c r="L1041" s="1">
        <v>90.0</v>
      </c>
      <c r="M1041" s="1">
        <v>21.0</v>
      </c>
      <c r="N1041" s="1">
        <v>21.0</v>
      </c>
      <c r="O1041" s="1" t="s">
        <v>1164</v>
      </c>
      <c r="P1041" s="3" t="str">
        <f>HYPERLINK("https://icf.clappia.com/app/SOM165486/submission/RDK02230891/ICF247370-SOM165486-542gbp6013og00000000/SIG-20250630_1551c5kp1.jpeg", "SIG-20250630_1551c5kp1.jpeg")</f>
        <v>SIG-20250630_1551c5kp1.jpeg</v>
      </c>
      <c r="Q1041" s="3" t="str">
        <f>HYPERLINK("https://www.google.com/maps/place/9.0000517%2C-11.912055", "9.0000517,-11.912055")</f>
        <v>9.0000517,-11.912055</v>
      </c>
    </row>
    <row r="1042" ht="15.75" customHeight="1">
      <c r="A1042" s="1" t="s">
        <v>2782</v>
      </c>
      <c r="B1042" s="1" t="s">
        <v>18</v>
      </c>
      <c r="C1042" s="1" t="s">
        <v>2783</v>
      </c>
      <c r="D1042" s="1" t="s">
        <v>2783</v>
      </c>
      <c r="E1042" s="2">
        <v>45838.0</v>
      </c>
      <c r="F1042" s="1" t="s">
        <v>21</v>
      </c>
      <c r="G1042" s="1" t="s">
        <v>275</v>
      </c>
      <c r="H1042" s="1" t="s">
        <v>1578</v>
      </c>
      <c r="I1042" s="1">
        <v>100.0</v>
      </c>
      <c r="J1042" s="1" t="s">
        <v>24</v>
      </c>
      <c r="K1042" s="1">
        <v>100.0</v>
      </c>
      <c r="L1042" s="1">
        <v>29.0</v>
      </c>
      <c r="M1042" s="1">
        <v>71.0</v>
      </c>
      <c r="N1042" s="1">
        <v>71.0</v>
      </c>
      <c r="O1042" s="1" t="s">
        <v>1868</v>
      </c>
      <c r="P1042" s="3" t="str">
        <f>HYPERLINK("https://icf.clappia.com/app/SOM165486/submission/ERX18118329/ICF247370-SOM165486-56o31b740meg00000000/SIG-20250630_1539jekc.jpeg", "SIG-20250630_1539jekc.jpeg")</f>
        <v>SIG-20250630_1539jekc.jpeg</v>
      </c>
      <c r="Q1042" s="3" t="str">
        <f>HYPERLINK("https://www.google.com/maps/place/7.7343867%2C-11.8151617", "7.7343867,-11.8151617")</f>
        <v>7.7343867,-11.8151617</v>
      </c>
    </row>
    <row r="1043" ht="15.75" customHeight="1">
      <c r="A1043" s="1" t="s">
        <v>2784</v>
      </c>
      <c r="B1043" s="1" t="s">
        <v>18</v>
      </c>
      <c r="C1043" s="1" t="s">
        <v>2785</v>
      </c>
      <c r="D1043" s="1" t="s">
        <v>2785</v>
      </c>
      <c r="E1043" s="2">
        <v>45838.0</v>
      </c>
      <c r="F1043" s="1" t="s">
        <v>21</v>
      </c>
      <c r="G1043" s="1" t="s">
        <v>77</v>
      </c>
      <c r="H1043" s="1" t="s">
        <v>78</v>
      </c>
      <c r="I1043" s="1">
        <v>181.0</v>
      </c>
      <c r="J1043" s="1" t="s">
        <v>24</v>
      </c>
      <c r="K1043" s="1">
        <v>181.0</v>
      </c>
      <c r="L1043" s="1">
        <v>181.0</v>
      </c>
      <c r="M1043" s="1" t="s">
        <v>24</v>
      </c>
      <c r="N1043" s="1" t="s">
        <v>24</v>
      </c>
      <c r="O1043" s="1" t="s">
        <v>79</v>
      </c>
      <c r="P1043" s="3" t="str">
        <f>HYPERLINK("https://icf.clappia.com/app/SOM165486/submission/YZH69969867/ICF247370-SOM165486-78mo2b2c6cg80000000/SIG-20250630_1411k0lpp.jpeg", "SIG-20250630_1411k0lpp.jpeg")</f>
        <v>SIG-20250630_1411k0lpp.jpeg</v>
      </c>
      <c r="Q1043" s="3" t="str">
        <f>HYPERLINK("https://www.google.com/maps/place/7.9751275%2C-11.7393928", "7.9751275,-11.7393928")</f>
        <v>7.9751275,-11.7393928</v>
      </c>
    </row>
    <row r="1044" ht="15.75" customHeight="1">
      <c r="A1044" s="1" t="s">
        <v>2786</v>
      </c>
      <c r="B1044" s="1" t="s">
        <v>283</v>
      </c>
      <c r="C1044" s="1" t="s">
        <v>2787</v>
      </c>
      <c r="D1044" s="1" t="s">
        <v>2788</v>
      </c>
      <c r="E1044" s="2">
        <v>45838.0</v>
      </c>
      <c r="F1044" s="1" t="s">
        <v>68</v>
      </c>
      <c r="G1044" s="1" t="s">
        <v>340</v>
      </c>
      <c r="H1044" s="1" t="s">
        <v>1476</v>
      </c>
      <c r="I1044" s="1">
        <v>117.0</v>
      </c>
      <c r="J1044" s="1" t="s">
        <v>24</v>
      </c>
      <c r="K1044" s="1">
        <v>117.0</v>
      </c>
      <c r="L1044" s="1">
        <v>100.0</v>
      </c>
      <c r="M1044" s="1">
        <v>17.0</v>
      </c>
      <c r="N1044" s="1">
        <v>17.0</v>
      </c>
      <c r="O1044" s="1" t="s">
        <v>1477</v>
      </c>
      <c r="P1044" s="3" t="str">
        <f>HYPERLINK("https://icf.clappia.com/app/SOM165486/submission/KLK63033606/ICF247370-SOM165486-2eh70gbiafpg00000000/SIG-20250630_15351i7ob.jpeg", "SIG-20250630_15351i7ob.jpeg")</f>
        <v>SIG-20250630_15351i7ob.jpeg</v>
      </c>
      <c r="Q1044" s="3" t="str">
        <f>HYPERLINK("https://www.google.com/maps/place/9.4793719%2C-11.8992992", "9.4793719,-11.8992992")</f>
        <v>9.4793719,-11.8992992</v>
      </c>
    </row>
    <row r="1045" ht="15.75" customHeight="1">
      <c r="A1045" s="1" t="s">
        <v>2789</v>
      </c>
      <c r="B1045" s="1" t="s">
        <v>18</v>
      </c>
      <c r="C1045" s="1" t="s">
        <v>2790</v>
      </c>
      <c r="D1045" s="1" t="s">
        <v>2790</v>
      </c>
      <c r="E1045" s="2">
        <v>45838.0</v>
      </c>
      <c r="F1045" s="1" t="s">
        <v>68</v>
      </c>
      <c r="G1045" s="1" t="s">
        <v>88</v>
      </c>
      <c r="H1045" s="1" t="s">
        <v>1314</v>
      </c>
      <c r="I1045" s="1">
        <v>450.0</v>
      </c>
      <c r="J1045" s="1" t="s">
        <v>24</v>
      </c>
      <c r="K1045" s="1">
        <v>450.0</v>
      </c>
      <c r="L1045" s="1">
        <v>430.0</v>
      </c>
      <c r="M1045" s="1">
        <v>20.0</v>
      </c>
      <c r="N1045" s="1">
        <v>12.0</v>
      </c>
      <c r="O1045" s="1" t="s">
        <v>2791</v>
      </c>
      <c r="P1045" s="3" t="str">
        <f>HYPERLINK("https://icf.clappia.com/app/SOM165486/submission/FNO14246159/ICF247370-SOM165486-33ho4nn1d48a00000000/SIG-20250630_153130fe0.jpeg", "SIG-20250630_153130fe0.jpeg")</f>
        <v>SIG-20250630_153130fe0.jpeg</v>
      </c>
      <c r="Q1045" s="3" t="str">
        <f>HYPERLINK("https://www.google.com/maps/place/8.8709567%2C-12.028705", "8.8709567,-12.028705")</f>
        <v>8.8709567,-12.028705</v>
      </c>
    </row>
    <row r="1046" ht="15.75" customHeight="1">
      <c r="A1046" s="1" t="s">
        <v>2792</v>
      </c>
      <c r="B1046" s="1" t="s">
        <v>18</v>
      </c>
      <c r="C1046" s="1" t="s">
        <v>2793</v>
      </c>
      <c r="D1046" s="1" t="s">
        <v>2793</v>
      </c>
      <c r="E1046" s="2">
        <v>45838.0</v>
      </c>
      <c r="F1046" s="1" t="s">
        <v>21</v>
      </c>
      <c r="G1046" s="1" t="s">
        <v>95</v>
      </c>
      <c r="H1046" s="1" t="s">
        <v>216</v>
      </c>
      <c r="I1046" s="1">
        <v>182.0</v>
      </c>
      <c r="J1046" s="1" t="s">
        <v>24</v>
      </c>
      <c r="K1046" s="1">
        <v>182.0</v>
      </c>
      <c r="L1046" s="1">
        <v>177.0</v>
      </c>
      <c r="M1046" s="1">
        <v>5.0</v>
      </c>
      <c r="N1046" s="1" t="s">
        <v>24</v>
      </c>
      <c r="O1046" s="1" t="s">
        <v>992</v>
      </c>
      <c r="P1046" s="3" t="str">
        <f>HYPERLINK("https://icf.clappia.com/app/SOM165486/submission/SWY95654367/ICF247370-SOM165486-2b00ff0m7kpe00000000/SIG-20250630_1526160d37.jpeg", "SIG-20250630_1526160d37.jpeg")</f>
        <v>SIG-20250630_1526160d37.jpeg</v>
      </c>
      <c r="Q1046" s="3" t="str">
        <f>HYPERLINK("https://www.google.com/maps/place/7.9522592%2C-11.7671597", "7.9522592,-11.7671597")</f>
        <v>7.9522592,-11.7671597</v>
      </c>
    </row>
    <row r="1047" ht="15.75" customHeight="1">
      <c r="A1047" s="1" t="s">
        <v>2794</v>
      </c>
      <c r="B1047" s="1" t="s">
        <v>18</v>
      </c>
      <c r="C1047" s="1" t="s">
        <v>2795</v>
      </c>
      <c r="D1047" s="1" t="s">
        <v>2795</v>
      </c>
      <c r="E1047" s="2">
        <v>45838.0</v>
      </c>
      <c r="F1047" s="1" t="s">
        <v>21</v>
      </c>
      <c r="G1047" s="1" t="s">
        <v>29</v>
      </c>
      <c r="H1047" s="1" t="s">
        <v>30</v>
      </c>
      <c r="I1047" s="1">
        <v>100.0</v>
      </c>
      <c r="J1047" s="1" t="s">
        <v>24</v>
      </c>
      <c r="K1047" s="1">
        <v>100.0</v>
      </c>
      <c r="L1047" s="1">
        <v>96.0</v>
      </c>
      <c r="M1047" s="1">
        <v>4.0</v>
      </c>
      <c r="N1047" s="1" t="s">
        <v>24</v>
      </c>
      <c r="O1047" s="1" t="s">
        <v>31</v>
      </c>
      <c r="P1047" s="3" t="str">
        <f>HYPERLINK("https://icf.clappia.com/app/SOM165486/submission/HCM53328085/ICF247370-SOM165486-7gg1oe2bjpae0000000/SIG-20250630_1401cfkam.jpeg", "SIG-20250630_1401cfkam.jpeg")</f>
        <v>SIG-20250630_1401cfkam.jpeg</v>
      </c>
      <c r="Q1047" s="3" t="str">
        <f>HYPERLINK("https://www.google.com/maps/place/8.2457567%2C-11.5197217", "8.2457567,-11.5197217")</f>
        <v>8.2457567,-11.5197217</v>
      </c>
    </row>
    <row r="1048" ht="15.75" customHeight="1">
      <c r="A1048" s="1" t="s">
        <v>2796</v>
      </c>
      <c r="B1048" s="1" t="s">
        <v>18</v>
      </c>
      <c r="C1048" s="1" t="s">
        <v>2797</v>
      </c>
      <c r="D1048" s="1" t="s">
        <v>2797</v>
      </c>
      <c r="E1048" s="2">
        <v>45838.0</v>
      </c>
      <c r="F1048" s="1" t="s">
        <v>68</v>
      </c>
      <c r="G1048" s="1" t="s">
        <v>88</v>
      </c>
      <c r="H1048" s="1" t="s">
        <v>881</v>
      </c>
      <c r="I1048" s="1">
        <v>500.0</v>
      </c>
      <c r="J1048" s="1" t="s">
        <v>24</v>
      </c>
      <c r="K1048" s="1">
        <v>500.0</v>
      </c>
      <c r="L1048" s="1">
        <v>470.0</v>
      </c>
      <c r="M1048" s="1">
        <v>30.0</v>
      </c>
      <c r="N1048" s="1">
        <v>30.0</v>
      </c>
      <c r="O1048" s="1" t="s">
        <v>2798</v>
      </c>
      <c r="P1048" s="3" t="str">
        <f>HYPERLINK("https://icf.clappia.com/app/SOM165486/submission/KUO51206542/ICF247370-SOM165486-538e6mickd8g00000000/SIG-20250630_1514h2ch9.jpeg", "SIG-20250630_1514h2ch9.jpeg")</f>
        <v>SIG-20250630_1514h2ch9.jpeg</v>
      </c>
      <c r="Q1048" s="3" t="str">
        <f>HYPERLINK("https://www.google.com/maps/place/8.8734119%2C-12.0505855", "8.8734119,-12.0505855")</f>
        <v>8.8734119,-12.0505855</v>
      </c>
    </row>
    <row r="1049" ht="15.75" customHeight="1">
      <c r="A1049" s="1" t="s">
        <v>2799</v>
      </c>
      <c r="B1049" s="1" t="s">
        <v>18</v>
      </c>
      <c r="C1049" s="1" t="s">
        <v>2797</v>
      </c>
      <c r="D1049" s="1" t="s">
        <v>2797</v>
      </c>
      <c r="E1049" s="2">
        <v>45838.0</v>
      </c>
      <c r="F1049" s="1" t="s">
        <v>21</v>
      </c>
      <c r="G1049" s="1" t="s">
        <v>275</v>
      </c>
      <c r="H1049" s="1" t="s">
        <v>1578</v>
      </c>
      <c r="I1049" s="1">
        <v>100.0</v>
      </c>
      <c r="J1049" s="1" t="s">
        <v>24</v>
      </c>
      <c r="K1049" s="1">
        <v>100.0</v>
      </c>
      <c r="L1049" s="1">
        <v>63.0</v>
      </c>
      <c r="M1049" s="1">
        <v>37.0</v>
      </c>
      <c r="N1049" s="1">
        <v>37.0</v>
      </c>
      <c r="O1049" s="1" t="s">
        <v>2800</v>
      </c>
      <c r="P1049" s="3" t="str">
        <f>HYPERLINK("https://icf.clappia.com/app/SOM165486/submission/MYE08024590/ICF247370-SOM165486-1igkafe2bofj60000000/SIG-20250630_1514pch19.jpeg", "SIG-20250630_1514pch19.jpeg")</f>
        <v>SIG-20250630_1514pch19.jpeg</v>
      </c>
      <c r="Q1049" s="3" t="str">
        <f>HYPERLINK("https://www.google.com/maps/place/7.7342383%2C-11.8148583", "7.7342383,-11.8148583")</f>
        <v>7.7342383,-11.8148583</v>
      </c>
    </row>
    <row r="1050" ht="15.75" customHeight="1">
      <c r="A1050" s="1" t="s">
        <v>2801</v>
      </c>
      <c r="B1050" s="1" t="s">
        <v>18</v>
      </c>
      <c r="C1050" s="1" t="s">
        <v>2802</v>
      </c>
      <c r="D1050" s="1" t="s">
        <v>2802</v>
      </c>
      <c r="E1050" s="2">
        <v>45838.0</v>
      </c>
      <c r="F1050" s="1" t="s">
        <v>68</v>
      </c>
      <c r="G1050" s="1" t="s">
        <v>88</v>
      </c>
      <c r="H1050" s="1" t="s">
        <v>881</v>
      </c>
      <c r="I1050" s="1">
        <v>300.0</v>
      </c>
      <c r="J1050" s="1">
        <v>200.0</v>
      </c>
      <c r="K1050" s="1">
        <v>500.0</v>
      </c>
      <c r="L1050" s="1">
        <v>470.0</v>
      </c>
      <c r="M1050" s="1">
        <v>30.0</v>
      </c>
      <c r="N1050" s="1">
        <v>30.0</v>
      </c>
      <c r="O1050" s="1" t="s">
        <v>1930</v>
      </c>
      <c r="P1050" s="3" t="str">
        <f>HYPERLINK("https://icf.clappia.com/app/SOM165486/submission/YDM88326670/ICF247370-SOM165486-483i75el9jpm00000000/SIG-20250630_1513lie5p.jpeg", "SIG-20250630_1513lie5p.jpeg")</f>
        <v>SIG-20250630_1513lie5p.jpeg</v>
      </c>
      <c r="Q1050" s="3" t="str">
        <f t="shared" ref="Q1050:Q1051" si="21">HYPERLINK("https://www.google.com/maps/place/8.8754633%2C-12.0508883", "8.8754633,-12.0508883")</f>
        <v>8.8754633,-12.0508883</v>
      </c>
    </row>
    <row r="1051" ht="15.75" customHeight="1">
      <c r="A1051" s="1" t="s">
        <v>2803</v>
      </c>
      <c r="B1051" s="1" t="s">
        <v>18</v>
      </c>
      <c r="C1051" s="1" t="s">
        <v>2804</v>
      </c>
      <c r="D1051" s="1" t="s">
        <v>2804</v>
      </c>
      <c r="E1051" s="2">
        <v>45838.0</v>
      </c>
      <c r="F1051" s="1" t="s">
        <v>68</v>
      </c>
      <c r="G1051" s="1" t="s">
        <v>88</v>
      </c>
      <c r="H1051" s="1" t="s">
        <v>881</v>
      </c>
      <c r="I1051" s="1">
        <v>300.0</v>
      </c>
      <c r="J1051" s="1">
        <v>200.0</v>
      </c>
      <c r="K1051" s="1">
        <v>500.0</v>
      </c>
      <c r="L1051" s="1">
        <v>470.0</v>
      </c>
      <c r="M1051" s="1">
        <v>30.0</v>
      </c>
      <c r="N1051" s="1">
        <v>30.0</v>
      </c>
      <c r="O1051" s="1" t="s">
        <v>1930</v>
      </c>
      <c r="P1051" s="3" t="str">
        <f>HYPERLINK("https://icf.clappia.com/app/SOM165486/submission/VFG68345046/ICF247370-SOM165486-1cmhea4bpe9mg0000000/SIG-20250630_14332g33g.jpeg", "SIG-20250630_14332g33g.jpeg")</f>
        <v>SIG-20250630_14332g33g.jpeg</v>
      </c>
      <c r="Q1051" s="3" t="str">
        <f t="shared" si="21"/>
        <v>8.8754633,-12.0508883</v>
      </c>
    </row>
    <row r="1052" ht="15.75" customHeight="1">
      <c r="A1052" s="1" t="s">
        <v>2805</v>
      </c>
      <c r="B1052" s="1" t="s">
        <v>18</v>
      </c>
      <c r="C1052" s="1" t="s">
        <v>2804</v>
      </c>
      <c r="D1052" s="1" t="s">
        <v>2804</v>
      </c>
      <c r="E1052" s="2">
        <v>45838.0</v>
      </c>
      <c r="F1052" s="1" t="s">
        <v>21</v>
      </c>
      <c r="G1052" s="1" t="s">
        <v>58</v>
      </c>
      <c r="H1052" s="1" t="s">
        <v>580</v>
      </c>
      <c r="I1052" s="1">
        <v>150.0</v>
      </c>
      <c r="J1052" s="1" t="s">
        <v>24</v>
      </c>
      <c r="K1052" s="1">
        <v>150.0</v>
      </c>
      <c r="L1052" s="1">
        <v>142.0</v>
      </c>
      <c r="M1052" s="1">
        <v>8.0</v>
      </c>
      <c r="N1052" s="1">
        <v>8.0</v>
      </c>
      <c r="O1052" s="1" t="s">
        <v>2806</v>
      </c>
      <c r="P1052" s="3" t="str">
        <f>HYPERLINK("https://icf.clappia.com/app/SOM165486/submission/PQT29957997/ICF247370-SOM165486-6h3nf095m36o0000000/SIG-20250630_151019h9cj.jpeg", "SIG-20250630_151019h9cj.jpeg")</f>
        <v>SIG-20250630_151019h9cj.jpeg</v>
      </c>
      <c r="Q1052" s="3" t="str">
        <f>HYPERLINK("https://www.google.com/maps/place/7.7754359%2C-11.7244444", "7.7754359,-11.7244444")</f>
        <v>7.7754359,-11.7244444</v>
      </c>
    </row>
    <row r="1053" ht="15.75" customHeight="1">
      <c r="A1053" s="1" t="s">
        <v>2807</v>
      </c>
      <c r="B1053" s="1" t="s">
        <v>18</v>
      </c>
      <c r="C1053" s="1" t="s">
        <v>2808</v>
      </c>
      <c r="D1053" s="1" t="s">
        <v>2808</v>
      </c>
      <c r="E1053" s="2">
        <v>45838.0</v>
      </c>
      <c r="F1053" s="1" t="s">
        <v>21</v>
      </c>
      <c r="G1053" s="1" t="s">
        <v>129</v>
      </c>
      <c r="H1053" s="1" t="s">
        <v>959</v>
      </c>
      <c r="I1053" s="1">
        <v>150.0</v>
      </c>
      <c r="J1053" s="1" t="s">
        <v>24</v>
      </c>
      <c r="K1053" s="1">
        <v>150.0</v>
      </c>
      <c r="L1053" s="1">
        <v>150.0</v>
      </c>
      <c r="M1053" s="1" t="s">
        <v>24</v>
      </c>
      <c r="N1053" s="1" t="s">
        <v>24</v>
      </c>
      <c r="O1053" s="1" t="s">
        <v>2809</v>
      </c>
      <c r="P1053" s="3" t="str">
        <f>HYPERLINK("https://icf.clappia.com/app/SOM165486/submission/JBK98470021/ICF247370-SOM165486-4df68gdnk9e400000000/SIG-20250630_1501p95jc.jpeg", "SIG-20250630_1501p95jc.jpeg")</f>
        <v>SIG-20250630_1501p95jc.jpeg</v>
      </c>
      <c r="Q1053" s="3" t="str">
        <f>HYPERLINK("https://www.google.com/maps/place/7.6309726%2C-11.9713645", "7.6309726,-11.9713645")</f>
        <v>7.6309726,-11.9713645</v>
      </c>
    </row>
    <row r="1054" ht="15.75" customHeight="1">
      <c r="A1054" s="1" t="s">
        <v>2810</v>
      </c>
      <c r="B1054" s="1" t="s">
        <v>18</v>
      </c>
      <c r="C1054" s="1" t="s">
        <v>2811</v>
      </c>
      <c r="D1054" s="1" t="s">
        <v>2811</v>
      </c>
      <c r="E1054" s="2">
        <v>45838.0</v>
      </c>
      <c r="F1054" s="1" t="s">
        <v>68</v>
      </c>
      <c r="G1054" s="1" t="s">
        <v>672</v>
      </c>
      <c r="H1054" s="1" t="s">
        <v>673</v>
      </c>
      <c r="I1054" s="1">
        <v>150.0</v>
      </c>
      <c r="J1054" s="1" t="s">
        <v>24</v>
      </c>
      <c r="K1054" s="1">
        <v>150.0</v>
      </c>
      <c r="L1054" s="1">
        <v>150.0</v>
      </c>
      <c r="M1054" s="1" t="s">
        <v>24</v>
      </c>
      <c r="N1054" s="1" t="s">
        <v>24</v>
      </c>
      <c r="O1054" s="1" t="s">
        <v>2812</v>
      </c>
      <c r="P1054" s="3" t="str">
        <f>HYPERLINK("https://icf.clappia.com/app/SOM165486/submission/DLX59319864/ICF247370-SOM165486-62k8f4o7432k00000000/SIG-20250630_1501b93f7.jpeg", "SIG-20250630_1501b93f7.jpeg")</f>
        <v>SIG-20250630_1501b93f7.jpeg</v>
      </c>
      <c r="Q1054" s="3" t="str">
        <f>HYPERLINK("https://www.google.com/maps/place/8.9502583%2C-11.9818667", "8.9502583,-11.9818667")</f>
        <v>8.9502583,-11.9818667</v>
      </c>
    </row>
    <row r="1055" ht="15.75" customHeight="1">
      <c r="A1055" s="1" t="s">
        <v>2813</v>
      </c>
      <c r="B1055" s="1" t="s">
        <v>18</v>
      </c>
      <c r="C1055" s="1" t="s">
        <v>2814</v>
      </c>
      <c r="D1055" s="1" t="s">
        <v>2814</v>
      </c>
      <c r="E1055" s="2">
        <v>45838.0</v>
      </c>
      <c r="F1055" s="1" t="s">
        <v>21</v>
      </c>
      <c r="G1055" s="1" t="s">
        <v>95</v>
      </c>
      <c r="H1055" s="1" t="s">
        <v>1747</v>
      </c>
      <c r="I1055" s="1">
        <v>100.0</v>
      </c>
      <c r="J1055" s="1" t="s">
        <v>24</v>
      </c>
      <c r="K1055" s="1">
        <v>100.0</v>
      </c>
      <c r="L1055" s="1">
        <v>89.0</v>
      </c>
      <c r="M1055" s="1">
        <v>11.0</v>
      </c>
      <c r="N1055" s="1">
        <v>2.0</v>
      </c>
      <c r="O1055" s="1" t="s">
        <v>1748</v>
      </c>
      <c r="P1055" s="3" t="str">
        <f>HYPERLINK("https://icf.clappia.com/app/SOM165486/submission/LND15145922/ICF247370-SOM165486-4p3b6945ddi000000000/SIG-20250630_145916khb4.jpeg", "SIG-20250630_145916khb4.jpeg")</f>
        <v>SIG-20250630_145916khb4.jpeg</v>
      </c>
      <c r="Q1055" s="3" t="str">
        <f>HYPERLINK("https://www.google.com/maps/place/8.0156633%2C-11.7310767", "8.0156633,-11.7310767")</f>
        <v>8.0156633,-11.7310767</v>
      </c>
    </row>
    <row r="1056" ht="15.75" customHeight="1">
      <c r="A1056" s="1" t="s">
        <v>2815</v>
      </c>
      <c r="B1056" s="1" t="s">
        <v>18</v>
      </c>
      <c r="C1056" s="1" t="s">
        <v>2816</v>
      </c>
      <c r="D1056" s="1" t="s">
        <v>2816</v>
      </c>
      <c r="E1056" s="2">
        <v>45838.0</v>
      </c>
      <c r="F1056" s="1" t="s">
        <v>21</v>
      </c>
      <c r="G1056" s="1" t="s">
        <v>95</v>
      </c>
      <c r="H1056" s="1" t="s">
        <v>1747</v>
      </c>
      <c r="I1056" s="1">
        <v>100.0</v>
      </c>
      <c r="J1056" s="1" t="s">
        <v>24</v>
      </c>
      <c r="K1056" s="1">
        <v>100.0</v>
      </c>
      <c r="L1056" s="1">
        <v>89.0</v>
      </c>
      <c r="M1056" s="1">
        <v>11.0</v>
      </c>
      <c r="N1056" s="1">
        <v>2.0</v>
      </c>
      <c r="O1056" s="1" t="s">
        <v>1748</v>
      </c>
      <c r="P1056" s="3" t="str">
        <f>HYPERLINK("https://icf.clappia.com/app/SOM165486/submission/TQA36649806/ICF247370-SOM165486-610njaki2ga400000000/SIG-20250630_14564hl28.jpeg", "SIG-20250630_14564hl28.jpeg")</f>
        <v>SIG-20250630_14564hl28.jpeg</v>
      </c>
      <c r="Q1056" s="3" t="str">
        <f>HYPERLINK("https://www.google.com/maps/place/8.01548%2C-11.73106", "8.01548,-11.73106")</f>
        <v>8.01548,-11.73106</v>
      </c>
    </row>
    <row r="1057" ht="15.75" customHeight="1">
      <c r="A1057" s="1" t="s">
        <v>2817</v>
      </c>
      <c r="B1057" s="1" t="s">
        <v>18</v>
      </c>
      <c r="C1057" s="1" t="s">
        <v>2818</v>
      </c>
      <c r="D1057" s="1" t="s">
        <v>2816</v>
      </c>
      <c r="E1057" s="2">
        <v>45838.0</v>
      </c>
      <c r="F1057" s="1" t="s">
        <v>21</v>
      </c>
      <c r="G1057" s="1" t="s">
        <v>95</v>
      </c>
      <c r="H1057" s="1" t="s">
        <v>1747</v>
      </c>
      <c r="I1057" s="1">
        <v>100.0</v>
      </c>
      <c r="J1057" s="1" t="s">
        <v>24</v>
      </c>
      <c r="K1057" s="1">
        <v>100.0</v>
      </c>
      <c r="L1057" s="1">
        <v>89.0</v>
      </c>
      <c r="M1057" s="1">
        <v>11.0</v>
      </c>
      <c r="N1057" s="1">
        <v>2.0</v>
      </c>
      <c r="O1057" s="1" t="s">
        <v>1748</v>
      </c>
      <c r="P1057" s="3" t="str">
        <f>HYPERLINK("https://icf.clappia.com/app/SOM165486/submission/DYT83348742/ICF247370-SOM165486-5jm087dei80000000000/SIG-20250630_1454lm9g9.jpeg", "SIG-20250630_1454lm9g9.jpeg")</f>
        <v>SIG-20250630_1454lm9g9.jpeg</v>
      </c>
      <c r="Q1057" s="3" t="str">
        <f>HYPERLINK("https://www.google.com/maps/place/8.01551%2C-11.7310633", "8.01551,-11.7310633")</f>
        <v>8.01551,-11.7310633</v>
      </c>
    </row>
    <row r="1058" ht="15.75" customHeight="1">
      <c r="A1058" s="1" t="s">
        <v>2819</v>
      </c>
      <c r="B1058" s="1" t="s">
        <v>18</v>
      </c>
      <c r="C1058" s="1" t="s">
        <v>2820</v>
      </c>
      <c r="D1058" s="1" t="s">
        <v>2820</v>
      </c>
      <c r="E1058" s="2">
        <v>45838.0</v>
      </c>
      <c r="F1058" s="1" t="s">
        <v>21</v>
      </c>
      <c r="G1058" s="1" t="s">
        <v>95</v>
      </c>
      <c r="H1058" s="1" t="s">
        <v>1747</v>
      </c>
      <c r="I1058" s="1">
        <v>100.0</v>
      </c>
      <c r="J1058" s="1" t="s">
        <v>24</v>
      </c>
      <c r="K1058" s="1">
        <v>100.0</v>
      </c>
      <c r="L1058" s="1">
        <v>89.0</v>
      </c>
      <c r="M1058" s="1">
        <v>11.0</v>
      </c>
      <c r="N1058" s="1">
        <v>2.0</v>
      </c>
      <c r="O1058" s="1" t="s">
        <v>1748</v>
      </c>
      <c r="P1058" s="3" t="str">
        <f>HYPERLINK("https://icf.clappia.com/app/SOM165486/submission/TAL79385515/ICF247370-SOM165486-683j7i1597l600000000/SIG-20250630_1449134enf.jpeg", "SIG-20250630_1449134enf.jpeg")</f>
        <v>SIG-20250630_1449134enf.jpeg</v>
      </c>
      <c r="Q1058" s="3" t="str">
        <f>HYPERLINK("https://www.google.com/maps/place/8.0154817%2C-11.7307483", "8.0154817,-11.7307483")</f>
        <v>8.0154817,-11.7307483</v>
      </c>
    </row>
    <row r="1059" ht="15.75" customHeight="1">
      <c r="A1059" s="1" t="s">
        <v>2821</v>
      </c>
      <c r="B1059" s="1" t="s">
        <v>18</v>
      </c>
      <c r="C1059" s="1" t="s">
        <v>2822</v>
      </c>
      <c r="D1059" s="1" t="s">
        <v>2822</v>
      </c>
      <c r="E1059" s="2">
        <v>45838.0</v>
      </c>
      <c r="F1059" s="1" t="s">
        <v>68</v>
      </c>
      <c r="G1059" s="1" t="s">
        <v>88</v>
      </c>
      <c r="H1059" s="1" t="s">
        <v>881</v>
      </c>
      <c r="I1059" s="1">
        <v>250.0</v>
      </c>
      <c r="J1059" s="1" t="s">
        <v>24</v>
      </c>
      <c r="K1059" s="1">
        <v>250.0</v>
      </c>
      <c r="L1059" s="1">
        <v>163.0</v>
      </c>
      <c r="M1059" s="1">
        <v>87.0</v>
      </c>
      <c r="N1059" s="1">
        <v>87.0</v>
      </c>
      <c r="O1059" s="1" t="s">
        <v>2366</v>
      </c>
      <c r="P1059" s="3" t="str">
        <f>HYPERLINK("https://icf.clappia.com/app/SOM165486/submission/BBY63978817/ICF247370-SOM165486-22mkffm9d3h9a0000000/SIG-20250630_1448ahi8i.jpeg", "SIG-20250630_1448ahi8i.jpeg")</f>
        <v>SIG-20250630_1448ahi8i.jpeg</v>
      </c>
      <c r="Q1059" s="3" t="str">
        <f>HYPERLINK("https://www.google.com/maps/place/8.8784291%2C-12.0523704", "8.8784291,-12.0523704")</f>
        <v>8.8784291,-12.0523704</v>
      </c>
    </row>
    <row r="1060" ht="15.75" customHeight="1">
      <c r="A1060" s="1" t="s">
        <v>2823</v>
      </c>
      <c r="B1060" s="1" t="s">
        <v>18</v>
      </c>
      <c r="C1060" s="1" t="s">
        <v>2822</v>
      </c>
      <c r="D1060" s="1" t="s">
        <v>2822</v>
      </c>
      <c r="E1060" s="2">
        <v>45838.0</v>
      </c>
      <c r="F1060" s="1" t="s">
        <v>68</v>
      </c>
      <c r="G1060" s="1" t="s">
        <v>385</v>
      </c>
      <c r="H1060" s="1" t="s">
        <v>1112</v>
      </c>
      <c r="I1060" s="1">
        <v>250.0</v>
      </c>
      <c r="J1060" s="1">
        <v>50.0</v>
      </c>
      <c r="K1060" s="1">
        <v>300.0</v>
      </c>
      <c r="L1060" s="1">
        <v>290.0</v>
      </c>
      <c r="M1060" s="1">
        <v>10.0</v>
      </c>
      <c r="N1060" s="1">
        <v>10.0</v>
      </c>
      <c r="O1060" s="1" t="s">
        <v>1511</v>
      </c>
      <c r="P1060" s="3" t="str">
        <f>HYPERLINK("https://icf.clappia.com/app/SOM165486/submission/JOM45890088/ICF247370-SOM165486-mdi85fb4ij9a0000000/SIG-20250630_1447cc668.jpeg", "SIG-20250630_1447cc668.jpeg")</f>
        <v>SIG-20250630_1447cc668.jpeg</v>
      </c>
      <c r="Q1060" s="3" t="str">
        <f>HYPERLINK("https://www.google.com/maps/place/9.0939422%2C-12.0494298", "9.0939422,-12.0494298")</f>
        <v>9.0939422,-12.0494298</v>
      </c>
    </row>
    <row r="1061" ht="15.75" customHeight="1">
      <c r="A1061" s="1" t="s">
        <v>2824</v>
      </c>
      <c r="B1061" s="1" t="s">
        <v>18</v>
      </c>
      <c r="C1061" s="1" t="s">
        <v>2825</v>
      </c>
      <c r="D1061" s="1" t="s">
        <v>2826</v>
      </c>
      <c r="E1061" s="2">
        <v>45838.0</v>
      </c>
      <c r="F1061" s="1" t="s">
        <v>21</v>
      </c>
      <c r="G1061" s="1" t="s">
        <v>95</v>
      </c>
      <c r="H1061" s="1" t="s">
        <v>1747</v>
      </c>
      <c r="I1061" s="1">
        <v>100.0</v>
      </c>
      <c r="J1061" s="1" t="s">
        <v>24</v>
      </c>
      <c r="K1061" s="1">
        <v>100.0</v>
      </c>
      <c r="L1061" s="1">
        <v>89.0</v>
      </c>
      <c r="M1061" s="1">
        <v>11.0</v>
      </c>
      <c r="N1061" s="1">
        <v>2.0</v>
      </c>
      <c r="O1061" s="1" t="s">
        <v>2827</v>
      </c>
      <c r="P1061" s="3" t="str">
        <f>HYPERLINK("https://icf.clappia.com/app/SOM165486/submission/NSH44480449/ICF247370-SOM165486-2a10m0i64cj6o0000000/SIG-20250630_1341gmeo9.jpeg", "SIG-20250630_1341gmeo9.jpeg")</f>
        <v>SIG-20250630_1341gmeo9.jpeg</v>
      </c>
    </row>
    <row r="1062" ht="15.75" customHeight="1">
      <c r="A1062" s="1" t="s">
        <v>2828</v>
      </c>
      <c r="B1062" s="1" t="s">
        <v>18</v>
      </c>
      <c r="C1062" s="1" t="s">
        <v>2829</v>
      </c>
      <c r="D1062" s="1" t="s">
        <v>2829</v>
      </c>
      <c r="E1062" s="2">
        <v>45838.0</v>
      </c>
      <c r="F1062" s="1" t="s">
        <v>68</v>
      </c>
      <c r="G1062" s="1" t="s">
        <v>69</v>
      </c>
      <c r="H1062" s="1" t="s">
        <v>571</v>
      </c>
      <c r="I1062" s="1">
        <v>250.0</v>
      </c>
      <c r="J1062" s="1" t="s">
        <v>24</v>
      </c>
      <c r="K1062" s="1">
        <v>250.0</v>
      </c>
      <c r="L1062" s="1">
        <v>250.0</v>
      </c>
      <c r="M1062" s="1" t="s">
        <v>24</v>
      </c>
      <c r="N1062" s="1" t="s">
        <v>24</v>
      </c>
      <c r="O1062" s="1" t="s">
        <v>577</v>
      </c>
      <c r="P1062" s="3" t="str">
        <f>HYPERLINK("https://icf.clappia.com/app/SOM165486/submission/CDE74760163/ICF247370-SOM165486-668p1nh2d6n600000000/SIG-20250630_1445166bob.jpeg", "SIG-20250630_1445166bob.jpeg")</f>
        <v>SIG-20250630_1445166bob.jpeg</v>
      </c>
      <c r="Q1062" s="3" t="str">
        <f>HYPERLINK("https://www.google.com/maps/place/8.8692749%2C-12.127818", "8.8692749,-12.127818")</f>
        <v>8.8692749,-12.127818</v>
      </c>
    </row>
    <row r="1063" ht="15.75" customHeight="1">
      <c r="A1063" s="1" t="s">
        <v>2830</v>
      </c>
      <c r="B1063" s="1" t="s">
        <v>18</v>
      </c>
      <c r="C1063" s="1" t="s">
        <v>2831</v>
      </c>
      <c r="D1063" s="1" t="s">
        <v>2831</v>
      </c>
      <c r="E1063" s="2">
        <v>45838.0</v>
      </c>
      <c r="F1063" s="1" t="s">
        <v>21</v>
      </c>
      <c r="G1063" s="1" t="s">
        <v>58</v>
      </c>
      <c r="H1063" s="1" t="s">
        <v>1154</v>
      </c>
      <c r="I1063" s="1">
        <v>100.0</v>
      </c>
      <c r="J1063" s="1" t="s">
        <v>24</v>
      </c>
      <c r="K1063" s="1">
        <v>100.0</v>
      </c>
      <c r="L1063" s="1">
        <v>87.0</v>
      </c>
      <c r="M1063" s="1">
        <v>13.0</v>
      </c>
      <c r="N1063" s="1">
        <v>13.0</v>
      </c>
      <c r="O1063" s="1" t="s">
        <v>2344</v>
      </c>
      <c r="P1063" s="3" t="str">
        <f>HYPERLINK("https://icf.clappia.com/app/SOM165486/submission/ABX00209982/ICF247370-SOM165486-3l9jd9eamii600000000/SIG-20250630_1442afh10.jpeg", "SIG-20250630_1442afh10.jpeg")</f>
        <v>SIG-20250630_1442afh10.jpeg</v>
      </c>
      <c r="Q1063" s="3" t="str">
        <f>HYPERLINK("https://www.google.com/maps/place/7.980705%2C-11.7829483", "7.980705,-11.7829483")</f>
        <v>7.980705,-11.7829483</v>
      </c>
    </row>
    <row r="1064" ht="15.75" customHeight="1">
      <c r="A1064" s="1" t="s">
        <v>2832</v>
      </c>
      <c r="B1064" s="1" t="s">
        <v>18</v>
      </c>
      <c r="C1064" s="1" t="s">
        <v>2833</v>
      </c>
      <c r="D1064" s="1" t="s">
        <v>2833</v>
      </c>
      <c r="E1064" s="2">
        <v>45838.0</v>
      </c>
      <c r="F1064" s="1" t="s">
        <v>68</v>
      </c>
      <c r="G1064" s="1" t="s">
        <v>69</v>
      </c>
      <c r="H1064" s="1" t="s">
        <v>70</v>
      </c>
      <c r="I1064" s="1">
        <v>150.0</v>
      </c>
      <c r="J1064" s="1" t="s">
        <v>24</v>
      </c>
      <c r="K1064" s="1">
        <v>150.0</v>
      </c>
      <c r="L1064" s="1">
        <v>128.0</v>
      </c>
      <c r="M1064" s="1">
        <v>22.0</v>
      </c>
      <c r="N1064" s="1">
        <v>22.0</v>
      </c>
      <c r="O1064" s="1" t="s">
        <v>2834</v>
      </c>
      <c r="P1064" s="3" t="str">
        <f>HYPERLINK("https://icf.clappia.com/app/SOM165486/submission/FCW81782948/ICF247370-SOM165486-59kc5edkpikm00000000/SIG-20250630_1442197oho.jpeg", "SIG-20250630_1442197oho.jpeg")</f>
        <v>SIG-20250630_1442197oho.jpeg</v>
      </c>
      <c r="Q1064" s="3" t="str">
        <f>HYPERLINK("https://www.google.com/maps/place/8.8637167%2C-12.0990317", "8.8637167,-12.0990317")</f>
        <v>8.8637167,-12.0990317</v>
      </c>
    </row>
    <row r="1065" ht="15.75" customHeight="1">
      <c r="A1065" s="1" t="s">
        <v>2835</v>
      </c>
      <c r="B1065" s="1" t="s">
        <v>283</v>
      </c>
      <c r="C1065" s="1" t="s">
        <v>2836</v>
      </c>
      <c r="D1065" s="1" t="s">
        <v>2836</v>
      </c>
      <c r="E1065" s="2">
        <v>45838.0</v>
      </c>
      <c r="F1065" s="1" t="s">
        <v>68</v>
      </c>
      <c r="G1065" s="1" t="s">
        <v>88</v>
      </c>
      <c r="H1065" s="1" t="s">
        <v>634</v>
      </c>
      <c r="I1065" s="1">
        <v>150.0</v>
      </c>
      <c r="J1065" s="1" t="s">
        <v>24</v>
      </c>
      <c r="K1065" s="1">
        <v>150.0</v>
      </c>
      <c r="L1065" s="1">
        <v>142.0</v>
      </c>
      <c r="M1065" s="1">
        <v>8.0</v>
      </c>
      <c r="N1065" s="1">
        <v>8.0</v>
      </c>
      <c r="O1065" s="1" t="s">
        <v>669</v>
      </c>
      <c r="P1065" s="3" t="str">
        <f>HYPERLINK("https://icf.clappia.com/app/SOM165486/submission/BJU45722711/ICF247370-SOM165486-1ipnc0i40mfgk0000000/SIG-20250630_1437ojeki.jpeg", "SIG-20250630_1437ojeki.jpeg")</f>
        <v>SIG-20250630_1437ojeki.jpeg</v>
      </c>
      <c r="Q1065" s="3" t="str">
        <f>HYPERLINK("https://www.google.com/maps/place/8.8910702%2C-12.0362219", "8.8910702,-12.0362219")</f>
        <v>8.8910702,-12.0362219</v>
      </c>
    </row>
    <row r="1066" ht="15.75" customHeight="1">
      <c r="A1066" s="1" t="s">
        <v>2837</v>
      </c>
      <c r="B1066" s="1" t="s">
        <v>18</v>
      </c>
      <c r="C1066" s="1" t="s">
        <v>2836</v>
      </c>
      <c r="D1066" s="1" t="s">
        <v>2836</v>
      </c>
      <c r="E1066" s="2">
        <v>45838.0</v>
      </c>
      <c r="F1066" s="1" t="s">
        <v>68</v>
      </c>
      <c r="G1066" s="1" t="s">
        <v>88</v>
      </c>
      <c r="H1066" s="1" t="s">
        <v>1314</v>
      </c>
      <c r="I1066" s="1">
        <v>150.0</v>
      </c>
      <c r="J1066" s="1" t="s">
        <v>24</v>
      </c>
      <c r="K1066" s="1">
        <v>150.0</v>
      </c>
      <c r="L1066" s="1">
        <v>103.0</v>
      </c>
      <c r="M1066" s="1">
        <v>47.0</v>
      </c>
      <c r="N1066" s="1">
        <v>47.0</v>
      </c>
      <c r="O1066" s="1" t="s">
        <v>2511</v>
      </c>
      <c r="P1066" s="3" t="str">
        <f>HYPERLINK("https://icf.clappia.com/app/SOM165486/submission/EQE46330002/ICF247370-SOM165486-1ol3kbi87ip4e0000000/SIG-20250630_14365gepp.jpeg", "SIG-20250630_14365gepp.jpeg")</f>
        <v>SIG-20250630_14365gepp.jpeg</v>
      </c>
      <c r="Q1066" s="3" t="str">
        <f>HYPERLINK("https://www.google.com/maps/place/8.8708867%2C-12.0286217", "8.8708867,-12.0286217")</f>
        <v>8.8708867,-12.0286217</v>
      </c>
    </row>
    <row r="1067" ht="15.75" customHeight="1">
      <c r="A1067" s="1" t="s">
        <v>2838</v>
      </c>
      <c r="B1067" s="1" t="s">
        <v>18</v>
      </c>
      <c r="C1067" s="1" t="s">
        <v>2839</v>
      </c>
      <c r="D1067" s="1" t="s">
        <v>2839</v>
      </c>
      <c r="E1067" s="2">
        <v>45838.0</v>
      </c>
      <c r="F1067" s="1" t="s">
        <v>68</v>
      </c>
      <c r="G1067" s="1" t="s">
        <v>672</v>
      </c>
      <c r="H1067" s="1" t="s">
        <v>2239</v>
      </c>
      <c r="I1067" s="1">
        <v>250.0</v>
      </c>
      <c r="J1067" s="1" t="s">
        <v>24</v>
      </c>
      <c r="K1067" s="1">
        <v>250.0</v>
      </c>
      <c r="L1067" s="1">
        <v>224.0</v>
      </c>
      <c r="M1067" s="1">
        <v>26.0</v>
      </c>
      <c r="N1067" s="1">
        <v>26.0</v>
      </c>
      <c r="O1067" s="1" t="s">
        <v>2840</v>
      </c>
      <c r="P1067" s="3" t="str">
        <f>HYPERLINK("https://icf.clappia.com/app/SOM165486/submission/OBZ55502076/ICF247370-SOM165486-2241jn2hkkjd20000000/SIG-20250630_1435gkb2.jpeg", "SIG-20250630_1435gkb2.jpeg")</f>
        <v>SIG-20250630_1435gkb2.jpeg</v>
      </c>
      <c r="Q1067" s="3" t="str">
        <f>HYPERLINK("https://www.google.com/maps/place/9.0263639%2C-11.9881393", "9.0263639,-11.9881393")</f>
        <v>9.0263639,-11.9881393</v>
      </c>
    </row>
    <row r="1068" ht="15.75" customHeight="1">
      <c r="A1068" s="1" t="s">
        <v>2841</v>
      </c>
      <c r="B1068" s="1" t="s">
        <v>18</v>
      </c>
      <c r="C1068" s="1" t="s">
        <v>2839</v>
      </c>
      <c r="D1068" s="1" t="s">
        <v>2839</v>
      </c>
      <c r="E1068" s="2">
        <v>45838.0</v>
      </c>
      <c r="F1068" s="1" t="s">
        <v>68</v>
      </c>
      <c r="G1068" s="1" t="s">
        <v>88</v>
      </c>
      <c r="H1068" s="1" t="s">
        <v>881</v>
      </c>
      <c r="I1068" s="1">
        <v>250.0</v>
      </c>
      <c r="J1068" s="1">
        <v>200.0</v>
      </c>
      <c r="K1068" s="1">
        <v>450.0</v>
      </c>
      <c r="L1068" s="1">
        <v>389.0</v>
      </c>
      <c r="M1068" s="1">
        <v>61.0</v>
      </c>
      <c r="N1068" s="1">
        <v>61.0</v>
      </c>
      <c r="O1068" s="1" t="s">
        <v>2842</v>
      </c>
      <c r="P1068" s="3" t="str">
        <f>HYPERLINK("https://icf.clappia.com/app/SOM165486/submission/LUN40095664/ICF247370-SOM165486-2k1e21b3kc8i00000000/SIG-20250630_14351047d6.jpeg", "SIG-20250630_14351047d6.jpeg")</f>
        <v>SIG-20250630_14351047d6.jpeg</v>
      </c>
      <c r="Q1068" s="3" t="str">
        <f>HYPERLINK("https://www.google.com/maps/place/8.8833815%2C-12.0529635", "8.8833815,-12.0529635")</f>
        <v>8.8833815,-12.0529635</v>
      </c>
    </row>
    <row r="1069" ht="15.75" customHeight="1">
      <c r="A1069" s="1" t="s">
        <v>2843</v>
      </c>
      <c r="B1069" s="1" t="s">
        <v>18</v>
      </c>
      <c r="C1069" s="1" t="s">
        <v>2844</v>
      </c>
      <c r="D1069" s="1" t="s">
        <v>2844</v>
      </c>
      <c r="E1069" s="2">
        <v>45838.0</v>
      </c>
      <c r="F1069" s="1" t="s">
        <v>68</v>
      </c>
      <c r="G1069" s="1" t="s">
        <v>88</v>
      </c>
      <c r="H1069" s="1" t="s">
        <v>1314</v>
      </c>
      <c r="I1069" s="1">
        <v>150.0</v>
      </c>
      <c r="J1069" s="1" t="s">
        <v>24</v>
      </c>
      <c r="K1069" s="1">
        <v>150.0</v>
      </c>
      <c r="L1069" s="1">
        <v>103.0</v>
      </c>
      <c r="M1069" s="1">
        <v>47.0</v>
      </c>
      <c r="N1069" s="1">
        <v>47.0</v>
      </c>
      <c r="O1069" s="1" t="s">
        <v>2511</v>
      </c>
      <c r="P1069" s="3" t="str">
        <f>HYPERLINK("https://icf.clappia.com/app/SOM165486/submission/LHF60942676/ICF247370-SOM165486-3g438o7n0l5c00000000/SIG-20250630_1434nhgnf.jpeg", "SIG-20250630_1434nhgnf.jpeg")</f>
        <v>SIG-20250630_1434nhgnf.jpeg</v>
      </c>
      <c r="Q1069" s="3" t="str">
        <f>HYPERLINK("https://www.google.com/maps/place/8.8710267%2C-12.02854", "8.8710267,-12.02854")</f>
        <v>8.8710267,-12.02854</v>
      </c>
    </row>
    <row r="1070" ht="15.75" customHeight="1">
      <c r="A1070" s="1" t="s">
        <v>2845</v>
      </c>
      <c r="B1070" s="1" t="s">
        <v>18</v>
      </c>
      <c r="C1070" s="1" t="s">
        <v>2846</v>
      </c>
      <c r="D1070" s="1" t="s">
        <v>2846</v>
      </c>
      <c r="E1070" s="2">
        <v>45838.0</v>
      </c>
      <c r="F1070" s="1" t="s">
        <v>21</v>
      </c>
      <c r="G1070" s="1" t="s">
        <v>95</v>
      </c>
      <c r="H1070" s="1" t="s">
        <v>1301</v>
      </c>
      <c r="I1070" s="1">
        <v>150.0</v>
      </c>
      <c r="J1070" s="1" t="s">
        <v>24</v>
      </c>
      <c r="K1070" s="1">
        <v>150.0</v>
      </c>
      <c r="L1070" s="1">
        <v>150.0</v>
      </c>
      <c r="M1070" s="1" t="s">
        <v>24</v>
      </c>
      <c r="N1070" s="1" t="s">
        <v>24</v>
      </c>
      <c r="O1070" s="1" t="s">
        <v>1382</v>
      </c>
      <c r="P1070" s="3" t="str">
        <f>HYPERLINK("https://icf.clappia.com/app/SOM165486/submission/TKH79322348/ICF247370-SOM165486-2lpben5npnm600000000/SIG-20250630_142414hog8.jpeg", "SIG-20250630_142414hog8.jpeg")</f>
        <v>SIG-20250630_142414hog8.jpeg</v>
      </c>
      <c r="Q1070" s="3" t="str">
        <f>HYPERLINK("https://www.google.com/maps/place/7.942645%2C-11.6664783", "7.942645,-11.6664783")</f>
        <v>7.942645,-11.6664783</v>
      </c>
    </row>
    <row r="1071" ht="15.75" customHeight="1">
      <c r="A1071" s="1" t="s">
        <v>2847</v>
      </c>
      <c r="B1071" s="1" t="s">
        <v>283</v>
      </c>
      <c r="C1071" s="1" t="s">
        <v>2848</v>
      </c>
      <c r="D1071" s="1" t="s">
        <v>2848</v>
      </c>
      <c r="E1071" s="2">
        <v>45838.0</v>
      </c>
      <c r="F1071" s="1" t="s">
        <v>68</v>
      </c>
      <c r="G1071" s="1" t="s">
        <v>385</v>
      </c>
      <c r="H1071" s="1" t="s">
        <v>828</v>
      </c>
      <c r="I1071" s="1">
        <v>229.0</v>
      </c>
      <c r="J1071" s="1" t="s">
        <v>24</v>
      </c>
      <c r="K1071" s="1">
        <v>229.0</v>
      </c>
      <c r="L1071" s="1">
        <v>229.0</v>
      </c>
      <c r="M1071" s="1" t="s">
        <v>24</v>
      </c>
      <c r="N1071" s="1" t="s">
        <v>24</v>
      </c>
      <c r="O1071" s="1" t="s">
        <v>2849</v>
      </c>
      <c r="P1071" s="3" t="str">
        <f>HYPERLINK("https://icf.clappia.com/app/SOM165486/submission/JNV28018217/ICF247370-SOM165486-17kddgohfeefi0000000/SIG-20250630_142119353k.jpeg", "SIG-20250630_142119353k.jpeg")</f>
        <v>SIG-20250630_142119353k.jpeg</v>
      </c>
      <c r="Q1071" s="3" t="str">
        <f>HYPERLINK("https://www.google.com/maps/place/9.135683%2C-12.0013331", "9.135683,-12.0013331")</f>
        <v>9.135683,-12.0013331</v>
      </c>
    </row>
    <row r="1072" ht="15.75" customHeight="1">
      <c r="A1072" s="1" t="s">
        <v>2850</v>
      </c>
      <c r="B1072" s="1" t="s">
        <v>18</v>
      </c>
      <c r="C1072" s="1" t="s">
        <v>2851</v>
      </c>
      <c r="D1072" s="1" t="s">
        <v>2851</v>
      </c>
      <c r="E1072" s="2">
        <v>45838.0</v>
      </c>
      <c r="F1072" s="1" t="s">
        <v>68</v>
      </c>
      <c r="G1072" s="1" t="s">
        <v>69</v>
      </c>
      <c r="H1072" s="1" t="s">
        <v>571</v>
      </c>
      <c r="I1072" s="1">
        <v>300.0</v>
      </c>
      <c r="J1072" s="1" t="s">
        <v>24</v>
      </c>
      <c r="K1072" s="1">
        <v>300.0</v>
      </c>
      <c r="L1072" s="1">
        <v>290.0</v>
      </c>
      <c r="M1072" s="1">
        <v>10.0</v>
      </c>
      <c r="N1072" s="1">
        <v>10.0</v>
      </c>
      <c r="O1072" s="1" t="s">
        <v>572</v>
      </c>
      <c r="P1072" s="3" t="str">
        <f>HYPERLINK("https://icf.clappia.com/app/SOM165486/submission/SFU06038576/ICF247370-SOM165486-1hpeafigcpbf60000000/SIG-20250630_14146ap6j.jpeg", "SIG-20250630_14146ap6j.jpeg")</f>
        <v>SIG-20250630_14146ap6j.jpeg</v>
      </c>
      <c r="Q1072" s="3" t="str">
        <f>HYPERLINK("https://www.google.com/maps/place/8.8655916%2C-12.1261779", "8.8655916,-12.1261779")</f>
        <v>8.8655916,-12.1261779</v>
      </c>
    </row>
    <row r="1073" ht="15.75" customHeight="1">
      <c r="A1073" s="1" t="s">
        <v>2852</v>
      </c>
      <c r="B1073" s="1" t="s">
        <v>18</v>
      </c>
      <c r="C1073" s="1" t="s">
        <v>2853</v>
      </c>
      <c r="D1073" s="1" t="s">
        <v>2853</v>
      </c>
      <c r="E1073" s="2">
        <v>45838.0</v>
      </c>
      <c r="F1073" s="1" t="s">
        <v>68</v>
      </c>
      <c r="G1073" s="1" t="s">
        <v>83</v>
      </c>
      <c r="H1073" s="1" t="s">
        <v>653</v>
      </c>
      <c r="I1073" s="1">
        <v>273.0</v>
      </c>
      <c r="J1073" s="1" t="s">
        <v>24</v>
      </c>
      <c r="K1073" s="1">
        <v>273.0</v>
      </c>
      <c r="L1073" s="1">
        <v>145.0</v>
      </c>
      <c r="M1073" s="1">
        <v>128.0</v>
      </c>
      <c r="N1073" s="1">
        <v>128.0</v>
      </c>
      <c r="O1073" s="1" t="s">
        <v>2854</v>
      </c>
      <c r="P1073" s="3" t="str">
        <f>HYPERLINK("https://icf.clappia.com/app/SOM165486/submission/DXW71444515/ICF247370-SOM165486-2m1hdgko329600000000/SIG-20250630_1141gf306.jpeg", "SIG-20250630_1141gf306.jpeg")</f>
        <v>SIG-20250630_1141gf306.jpeg</v>
      </c>
      <c r="Q1073" s="3" t="str">
        <f>HYPERLINK("https://www.google.com/maps/place/8.8633943%2C-12.0777195", "8.8633943,-12.0777195")</f>
        <v>8.8633943,-12.0777195</v>
      </c>
    </row>
    <row r="1074" ht="15.75" customHeight="1">
      <c r="A1074" s="1" t="s">
        <v>2855</v>
      </c>
      <c r="B1074" s="1" t="s">
        <v>18</v>
      </c>
      <c r="C1074" s="1" t="s">
        <v>2853</v>
      </c>
      <c r="D1074" s="1" t="s">
        <v>2853</v>
      </c>
      <c r="E1074" s="2">
        <v>45838.0</v>
      </c>
      <c r="F1074" s="1" t="s">
        <v>21</v>
      </c>
      <c r="G1074" s="1" t="s">
        <v>95</v>
      </c>
      <c r="H1074" s="1" t="s">
        <v>369</v>
      </c>
      <c r="I1074" s="1">
        <v>150.0</v>
      </c>
      <c r="J1074" s="1" t="s">
        <v>24</v>
      </c>
      <c r="K1074" s="1">
        <v>150.0</v>
      </c>
      <c r="L1074" s="1">
        <v>92.0</v>
      </c>
      <c r="M1074" s="1">
        <v>58.0</v>
      </c>
      <c r="N1074" s="1">
        <v>58.0</v>
      </c>
      <c r="O1074" s="1" t="s">
        <v>2856</v>
      </c>
      <c r="P1074" s="3" t="str">
        <f>HYPERLINK("https://icf.clappia.com/app/SOM165486/submission/ANT91283219/ICF247370-SOM165486-5194a6ccg54k00000000/SIG-20250630_14159mk1c.jpeg", "SIG-20250630_14159mk1c.jpeg")</f>
        <v>SIG-20250630_14159mk1c.jpeg</v>
      </c>
      <c r="Q1074" s="3" t="str">
        <f>HYPERLINK("https://www.google.com/maps/place/7.9342014%2C-11.7201738", "7.9342014,-11.7201738")</f>
        <v>7.9342014,-11.7201738</v>
      </c>
    </row>
    <row r="1075" ht="15.75" customHeight="1">
      <c r="A1075" s="1" t="s">
        <v>2857</v>
      </c>
      <c r="B1075" s="1" t="s">
        <v>18</v>
      </c>
      <c r="C1075" s="1" t="s">
        <v>2858</v>
      </c>
      <c r="D1075" s="1" t="s">
        <v>2858</v>
      </c>
      <c r="E1075" s="2">
        <v>45838.0</v>
      </c>
      <c r="F1075" s="1" t="s">
        <v>68</v>
      </c>
      <c r="G1075" s="1" t="s">
        <v>672</v>
      </c>
      <c r="H1075" s="1" t="s">
        <v>673</v>
      </c>
      <c r="I1075" s="1">
        <v>200.0</v>
      </c>
      <c r="J1075" s="1" t="s">
        <v>24</v>
      </c>
      <c r="K1075" s="1">
        <v>200.0</v>
      </c>
      <c r="L1075" s="1">
        <v>190.0</v>
      </c>
      <c r="M1075" s="1">
        <v>10.0</v>
      </c>
      <c r="N1075" s="1">
        <v>10.0</v>
      </c>
      <c r="O1075" s="1" t="s">
        <v>2859</v>
      </c>
      <c r="P1075" s="3" t="str">
        <f>HYPERLINK("https://icf.clappia.com/app/SOM165486/submission/TGV45733864/ICF247370-SOM165486-281eme3dkjgbg0000000/SIG-20250630_14085epnn.jpeg", "SIG-20250630_14085epnn.jpeg")</f>
        <v>SIG-20250630_14085epnn.jpeg</v>
      </c>
      <c r="Q1075" s="3" t="str">
        <f>HYPERLINK("https://www.google.com/maps/place/8.9473333%2C-11.9845639", "8.9473333,-11.9845639")</f>
        <v>8.9473333,-11.9845639</v>
      </c>
    </row>
    <row r="1076" ht="15.75" customHeight="1">
      <c r="A1076" s="1" t="s">
        <v>2860</v>
      </c>
      <c r="B1076" s="1" t="s">
        <v>18</v>
      </c>
      <c r="C1076" s="1" t="s">
        <v>2861</v>
      </c>
      <c r="D1076" s="1" t="s">
        <v>2861</v>
      </c>
      <c r="E1076" s="2">
        <v>45838.0</v>
      </c>
      <c r="F1076" s="1" t="s">
        <v>68</v>
      </c>
      <c r="G1076" s="1" t="s">
        <v>340</v>
      </c>
      <c r="H1076" s="1" t="s">
        <v>742</v>
      </c>
      <c r="I1076" s="1">
        <v>100.0</v>
      </c>
      <c r="J1076" s="1" t="s">
        <v>24</v>
      </c>
      <c r="K1076" s="1">
        <v>100.0</v>
      </c>
      <c r="L1076" s="1">
        <v>57.0</v>
      </c>
      <c r="M1076" s="1">
        <v>43.0</v>
      </c>
      <c r="N1076" s="1">
        <v>43.0</v>
      </c>
      <c r="O1076" s="1" t="s">
        <v>554</v>
      </c>
      <c r="P1076" s="3" t="str">
        <f>HYPERLINK("https://icf.clappia.com/app/SOM165486/submission/PRS78250335/ICF247370-SOM165486-5l585n4jkkag00000000/SIG-20250630_1053jh97k.jpeg", "SIG-20250630_1053jh97k.jpeg")</f>
        <v>SIG-20250630_1053jh97k.jpeg</v>
      </c>
      <c r="Q1076" s="3" t="str">
        <f>HYPERLINK("https://www.google.com/maps/place/9.1570467%2C-11.9612883", "9.1570467,-11.9612883")</f>
        <v>9.1570467,-11.9612883</v>
      </c>
    </row>
    <row r="1077" ht="15.75" customHeight="1">
      <c r="A1077" s="1" t="s">
        <v>2862</v>
      </c>
      <c r="B1077" s="1" t="s">
        <v>18</v>
      </c>
      <c r="C1077" s="1" t="s">
        <v>2863</v>
      </c>
      <c r="D1077" s="1" t="s">
        <v>2863</v>
      </c>
      <c r="E1077" s="2">
        <v>45838.0</v>
      </c>
      <c r="F1077" s="1" t="s">
        <v>21</v>
      </c>
      <c r="G1077" s="1" t="s">
        <v>781</v>
      </c>
      <c r="H1077" s="1" t="s">
        <v>2000</v>
      </c>
      <c r="I1077" s="1">
        <v>150.0</v>
      </c>
      <c r="J1077" s="1" t="s">
        <v>24</v>
      </c>
      <c r="K1077" s="1">
        <v>150.0</v>
      </c>
      <c r="L1077" s="1">
        <v>115.0</v>
      </c>
      <c r="M1077" s="1">
        <v>35.0</v>
      </c>
      <c r="N1077" s="1">
        <v>25.0</v>
      </c>
      <c r="O1077" s="1" t="s">
        <v>2001</v>
      </c>
      <c r="P1077" s="3" t="str">
        <f>HYPERLINK("https://icf.clappia.com/app/SOM165486/submission/TUS26777824/ICF247370-SOM165486-217fp09jjpb8i0000000/SIG-20250630_1404134736.jpeg", "SIG-20250630_1404134736.jpeg")</f>
        <v>SIG-20250630_1404134736.jpeg</v>
      </c>
      <c r="Q1077" s="3" t="str">
        <f>HYPERLINK("https://www.google.com/maps/place/7.9744833%2C-11.39412", "7.9744833,-11.39412")</f>
        <v>7.9744833,-11.39412</v>
      </c>
    </row>
    <row r="1078" ht="15.75" customHeight="1">
      <c r="A1078" s="1" t="s">
        <v>2864</v>
      </c>
      <c r="B1078" s="1" t="s">
        <v>18</v>
      </c>
      <c r="C1078" s="1" t="s">
        <v>644</v>
      </c>
      <c r="D1078" s="1" t="s">
        <v>644</v>
      </c>
      <c r="E1078" s="2">
        <v>45838.0</v>
      </c>
      <c r="F1078" s="1" t="s">
        <v>21</v>
      </c>
      <c r="G1078" s="1" t="s">
        <v>95</v>
      </c>
      <c r="H1078" s="1" t="s">
        <v>369</v>
      </c>
      <c r="I1078" s="1">
        <v>100.0</v>
      </c>
      <c r="J1078" s="1" t="s">
        <v>24</v>
      </c>
      <c r="K1078" s="1">
        <v>100.0</v>
      </c>
      <c r="L1078" s="1">
        <v>100.0</v>
      </c>
      <c r="M1078" s="1" t="s">
        <v>24</v>
      </c>
      <c r="N1078" s="1" t="s">
        <v>24</v>
      </c>
      <c r="O1078" s="1" t="s">
        <v>1304</v>
      </c>
      <c r="P1078" s="3" t="str">
        <f>HYPERLINK("https://icf.clappia.com/app/SOM165486/submission/TOS37379357/ICF247370-SOM165486-52fedhl8boka00000000/SIG-20250630_14031a3hnk.jpeg", "SIG-20250630_14031a3hnk.jpeg")</f>
        <v>SIG-20250630_14031a3hnk.jpeg</v>
      </c>
      <c r="Q1078" s="3" t="str">
        <f>HYPERLINK("https://www.google.com/maps/place/7.9238164%2C-11.7208856", "7.9238164,-11.7208856")</f>
        <v>7.9238164,-11.7208856</v>
      </c>
    </row>
    <row r="1079" ht="15.75" customHeight="1">
      <c r="A1079" s="1" t="s">
        <v>2865</v>
      </c>
      <c r="B1079" s="1" t="s">
        <v>18</v>
      </c>
      <c r="C1079" s="1" t="s">
        <v>2866</v>
      </c>
      <c r="D1079" s="1" t="s">
        <v>2866</v>
      </c>
      <c r="E1079" s="2">
        <v>45838.0</v>
      </c>
      <c r="F1079" s="1" t="s">
        <v>68</v>
      </c>
      <c r="G1079" s="1" t="s">
        <v>325</v>
      </c>
      <c r="H1079" s="1" t="s">
        <v>1523</v>
      </c>
      <c r="I1079" s="1">
        <v>150.0</v>
      </c>
      <c r="J1079" s="1" t="s">
        <v>24</v>
      </c>
      <c r="K1079" s="1">
        <v>150.0</v>
      </c>
      <c r="L1079" s="1">
        <v>68.0</v>
      </c>
      <c r="M1079" s="1">
        <v>82.0</v>
      </c>
      <c r="N1079" s="1">
        <v>82.0</v>
      </c>
      <c r="O1079" s="1" t="s">
        <v>1524</v>
      </c>
      <c r="P1079" s="3" t="str">
        <f>HYPERLINK("https://icf.clappia.com/app/SOM165486/submission/EWG15042170/ICF247370-SOM165486-3g5ofcg1poj800000000/SIG-20250630_1402eib99.jpeg", "SIG-20250630_1402eib99.jpeg")</f>
        <v>SIG-20250630_1402eib99.jpeg</v>
      </c>
      <c r="Q1079" s="3" t="str">
        <f>HYPERLINK("https://www.google.com/maps/place/8.8364193%2C-11.8437349", "8.8364193,-11.8437349")</f>
        <v>8.8364193,-11.8437349</v>
      </c>
    </row>
    <row r="1080" ht="15.75" customHeight="1">
      <c r="A1080" s="1" t="s">
        <v>2867</v>
      </c>
      <c r="B1080" s="1" t="s">
        <v>18</v>
      </c>
      <c r="C1080" s="1" t="s">
        <v>2868</v>
      </c>
      <c r="D1080" s="1" t="s">
        <v>2868</v>
      </c>
      <c r="E1080" s="2">
        <v>45838.0</v>
      </c>
      <c r="F1080" s="1" t="s">
        <v>68</v>
      </c>
      <c r="G1080" s="1" t="s">
        <v>69</v>
      </c>
      <c r="H1080" s="1" t="s">
        <v>70</v>
      </c>
      <c r="I1080" s="1">
        <v>200.0</v>
      </c>
      <c r="J1080" s="1" t="s">
        <v>24</v>
      </c>
      <c r="K1080" s="1">
        <v>200.0</v>
      </c>
      <c r="L1080" s="1">
        <v>183.0</v>
      </c>
      <c r="M1080" s="1">
        <v>17.0</v>
      </c>
      <c r="N1080" s="1">
        <v>17.0</v>
      </c>
      <c r="O1080" s="1" t="s">
        <v>2869</v>
      </c>
      <c r="P1080" s="3" t="str">
        <f>HYPERLINK("https://icf.clappia.com/app/SOM165486/submission/RHE93563383/ICF247370-SOM165486-jn4fag4a1e800000000/SIG-20250630_1400d84pa.jpeg", "SIG-20250630_1400d84pa.jpeg")</f>
        <v>SIG-20250630_1400d84pa.jpeg</v>
      </c>
      <c r="Q1080" s="3" t="str">
        <f>HYPERLINK("https://www.google.com/maps/place/8.8771683%2C-12.1081083", "8.8771683,-12.1081083")</f>
        <v>8.8771683,-12.1081083</v>
      </c>
    </row>
    <row r="1081" ht="15.75" customHeight="1">
      <c r="A1081" s="1" t="s">
        <v>2870</v>
      </c>
      <c r="B1081" s="1" t="s">
        <v>283</v>
      </c>
      <c r="C1081" s="1" t="s">
        <v>2868</v>
      </c>
      <c r="D1081" s="1" t="s">
        <v>2868</v>
      </c>
      <c r="E1081" s="2">
        <v>45838.0</v>
      </c>
      <c r="F1081" s="1" t="s">
        <v>68</v>
      </c>
      <c r="G1081" s="1" t="s">
        <v>385</v>
      </c>
      <c r="H1081" s="1" t="s">
        <v>1200</v>
      </c>
      <c r="I1081" s="1">
        <v>400.0</v>
      </c>
      <c r="J1081" s="1" t="s">
        <v>24</v>
      </c>
      <c r="K1081" s="1">
        <v>400.0</v>
      </c>
      <c r="L1081" s="1">
        <v>347.0</v>
      </c>
      <c r="M1081" s="1">
        <v>53.0</v>
      </c>
      <c r="N1081" s="1">
        <v>10.0</v>
      </c>
      <c r="O1081" s="1" t="s">
        <v>1201</v>
      </c>
      <c r="P1081" s="3" t="str">
        <f>HYPERLINK("https://icf.clappia.com/app/SOM165486/submission/ZFM92472788/ICF247370-SOM165486-1hjp5gn6kad8c0000000/SIG-20250630_135193cm7.jpeg", "SIG-20250630_135193cm7.jpeg")</f>
        <v>SIG-20250630_135193cm7.jpeg</v>
      </c>
      <c r="Q1081" s="3" t="str">
        <f>HYPERLINK("https://www.google.com/maps/place/9.1722721%2C-12.0141794", "9.1722721,-12.0141794")</f>
        <v>9.1722721,-12.0141794</v>
      </c>
    </row>
    <row r="1082" ht="15.75" customHeight="1">
      <c r="A1082" s="1" t="s">
        <v>2871</v>
      </c>
      <c r="B1082" s="1" t="s">
        <v>18</v>
      </c>
      <c r="C1082" s="1" t="s">
        <v>305</v>
      </c>
      <c r="D1082" s="1" t="s">
        <v>2872</v>
      </c>
      <c r="E1082" s="2">
        <v>45838.0</v>
      </c>
      <c r="F1082" s="1" t="s">
        <v>21</v>
      </c>
      <c r="G1082" s="1" t="s">
        <v>781</v>
      </c>
      <c r="H1082" s="1" t="s">
        <v>2000</v>
      </c>
      <c r="I1082" s="1">
        <v>150.0</v>
      </c>
      <c r="J1082" s="1" t="s">
        <v>24</v>
      </c>
      <c r="K1082" s="1">
        <v>150.0</v>
      </c>
      <c r="L1082" s="1">
        <v>115.0</v>
      </c>
      <c r="M1082" s="1">
        <v>35.0</v>
      </c>
      <c r="N1082" s="1">
        <v>25.0</v>
      </c>
      <c r="O1082" s="1" t="s">
        <v>2001</v>
      </c>
      <c r="P1082" s="3" t="str">
        <f>HYPERLINK("https://icf.clappia.com/app/SOM165486/submission/GZY29987778/ICF247370-SOM165486-3ickkf0llnmo00000000/SIG-20250630_13456o28a.jpeg", "SIG-20250630_13456o28a.jpeg")</f>
        <v>SIG-20250630_13456o28a.jpeg</v>
      </c>
      <c r="Q1082" s="3" t="str">
        <f>HYPERLINK("https://www.google.com/maps/place/7.9750867%2C-11.3936633", "7.9750867,-11.3936633")</f>
        <v>7.9750867,-11.3936633</v>
      </c>
    </row>
    <row r="1083" ht="15.75" customHeight="1">
      <c r="A1083" s="1" t="s">
        <v>2873</v>
      </c>
      <c r="B1083" s="1" t="s">
        <v>18</v>
      </c>
      <c r="C1083" s="1" t="s">
        <v>2874</v>
      </c>
      <c r="D1083" s="1" t="s">
        <v>2872</v>
      </c>
      <c r="E1083" s="2">
        <v>45838.0</v>
      </c>
      <c r="F1083" s="1" t="s">
        <v>21</v>
      </c>
      <c r="G1083" s="1" t="s">
        <v>781</v>
      </c>
      <c r="H1083" s="1" t="s">
        <v>2000</v>
      </c>
      <c r="I1083" s="1">
        <v>150.0</v>
      </c>
      <c r="J1083" s="1" t="s">
        <v>24</v>
      </c>
      <c r="K1083" s="1">
        <v>150.0</v>
      </c>
      <c r="L1083" s="1">
        <v>115.0</v>
      </c>
      <c r="M1083" s="1">
        <v>35.0</v>
      </c>
      <c r="N1083" s="1">
        <v>25.0</v>
      </c>
      <c r="O1083" s="1" t="s">
        <v>2875</v>
      </c>
      <c r="P1083" s="3" t="str">
        <f>HYPERLINK("https://icf.clappia.com/app/SOM165486/submission/SIR40289268/ICF247370-SOM165486-25gdefea8bkae000000/SIG-20250630_1322d1l85.jpeg", "SIG-20250630_1322d1l85.jpeg")</f>
        <v>SIG-20250630_1322d1l85.jpeg</v>
      </c>
      <c r="Q1083" s="3" t="str">
        <f>HYPERLINK("https://www.google.com/maps/place/7.9747083%2C-11.393235", "7.9747083,-11.393235")</f>
        <v>7.9747083,-11.393235</v>
      </c>
    </row>
    <row r="1084" ht="15.75" customHeight="1">
      <c r="A1084" s="1" t="s">
        <v>2876</v>
      </c>
      <c r="B1084" s="1" t="s">
        <v>18</v>
      </c>
      <c r="C1084" s="1" t="s">
        <v>2877</v>
      </c>
      <c r="D1084" s="1" t="s">
        <v>2877</v>
      </c>
      <c r="E1084" s="2">
        <v>45838.0</v>
      </c>
      <c r="F1084" s="1" t="s">
        <v>21</v>
      </c>
      <c r="G1084" s="1" t="s">
        <v>95</v>
      </c>
      <c r="H1084" s="1" t="s">
        <v>1301</v>
      </c>
      <c r="I1084" s="1">
        <v>150.0</v>
      </c>
      <c r="J1084" s="1" t="s">
        <v>24</v>
      </c>
      <c r="K1084" s="1">
        <v>150.0</v>
      </c>
      <c r="L1084" s="1">
        <v>150.0</v>
      </c>
      <c r="M1084" s="1" t="s">
        <v>24</v>
      </c>
      <c r="N1084" s="1" t="s">
        <v>24</v>
      </c>
      <c r="O1084" s="1" t="s">
        <v>1382</v>
      </c>
      <c r="P1084" s="3" t="str">
        <f>HYPERLINK("https://icf.clappia.com/app/SOM165486/submission/HJC96081973/ICF247370-SOM165486-3jc1aek43glk00000000/SIG-20250630_134911h8c6.jpeg", "SIG-20250630_134911h8c6.jpeg")</f>
        <v>SIG-20250630_134911h8c6.jpeg</v>
      </c>
      <c r="Q1084" s="3" t="str">
        <f>HYPERLINK("https://www.google.com/maps/place/7.94264%2C-11.6662917", "7.94264,-11.6662917")</f>
        <v>7.94264,-11.6662917</v>
      </c>
    </row>
    <row r="1085" ht="15.75" customHeight="1">
      <c r="A1085" s="1" t="s">
        <v>2878</v>
      </c>
      <c r="B1085" s="1" t="s">
        <v>18</v>
      </c>
      <c r="C1085" s="1" t="s">
        <v>2879</v>
      </c>
      <c r="D1085" s="1" t="s">
        <v>2879</v>
      </c>
      <c r="E1085" s="2">
        <v>45838.0</v>
      </c>
      <c r="F1085" s="1" t="s">
        <v>68</v>
      </c>
      <c r="G1085" s="1" t="s">
        <v>592</v>
      </c>
      <c r="H1085" s="1" t="s">
        <v>693</v>
      </c>
      <c r="I1085" s="1">
        <v>150.0</v>
      </c>
      <c r="J1085" s="1" t="s">
        <v>24</v>
      </c>
      <c r="K1085" s="1">
        <v>150.0</v>
      </c>
      <c r="L1085" s="1">
        <v>145.0</v>
      </c>
      <c r="M1085" s="1">
        <v>5.0</v>
      </c>
      <c r="N1085" s="1">
        <v>5.0</v>
      </c>
      <c r="O1085" s="1" t="s">
        <v>694</v>
      </c>
      <c r="P1085" s="3" t="str">
        <f>HYPERLINK("https://icf.clappia.com/app/SOM165486/submission/QXO19265880/ICF247370-SOM165486-8hh8akca2f080000000/SIG-20250630_1349micf6.jpeg", "SIG-20250630_1349micf6.jpeg")</f>
        <v>SIG-20250630_1349micf6.jpeg</v>
      </c>
      <c r="Q1085" s="3" t="str">
        <f>HYPERLINK("https://www.google.com/maps/place/8.9061785%2C-12.0316671", "8.9061785,-12.0316671")</f>
        <v>8.9061785,-12.0316671</v>
      </c>
    </row>
    <row r="1086" ht="15.75" customHeight="1">
      <c r="A1086" s="1" t="s">
        <v>2880</v>
      </c>
      <c r="B1086" s="1" t="s">
        <v>18</v>
      </c>
      <c r="C1086" s="1" t="s">
        <v>2881</v>
      </c>
      <c r="D1086" s="1" t="s">
        <v>2881</v>
      </c>
      <c r="E1086" s="2">
        <v>45838.0</v>
      </c>
      <c r="F1086" s="1" t="s">
        <v>68</v>
      </c>
      <c r="G1086" s="1" t="s">
        <v>248</v>
      </c>
      <c r="H1086" s="1" t="s">
        <v>1148</v>
      </c>
      <c r="I1086" s="1">
        <v>225.0</v>
      </c>
      <c r="J1086" s="1" t="s">
        <v>24</v>
      </c>
      <c r="K1086" s="1">
        <v>225.0</v>
      </c>
      <c r="L1086" s="1">
        <v>148.0</v>
      </c>
      <c r="M1086" s="1">
        <v>77.0</v>
      </c>
      <c r="N1086" s="1">
        <v>67.0</v>
      </c>
      <c r="O1086" s="1" t="s">
        <v>1149</v>
      </c>
      <c r="P1086" s="3" t="str">
        <f>HYPERLINK("https://icf.clappia.com/app/SOM165486/submission/QVS78672997/ICF247370-SOM165486-1dh76m3lmhjnm0000000/SIG-20250630_134097a2j.jpeg", "SIG-20250630_134097a2j.jpeg")</f>
        <v>SIG-20250630_134097a2j.jpeg</v>
      </c>
      <c r="Q1086" s="3" t="str">
        <f>HYPERLINK("https://www.google.com/maps/place/9.1821833%2C-12.1599317", "9.1821833,-12.1599317")</f>
        <v>9.1821833,-12.1599317</v>
      </c>
    </row>
    <row r="1087" ht="15.75" customHeight="1">
      <c r="A1087" s="1" t="s">
        <v>2882</v>
      </c>
      <c r="B1087" s="1" t="s">
        <v>18</v>
      </c>
      <c r="C1087" s="1" t="s">
        <v>2883</v>
      </c>
      <c r="D1087" s="1" t="s">
        <v>2883</v>
      </c>
      <c r="E1087" s="2">
        <v>45838.0</v>
      </c>
      <c r="F1087" s="1" t="s">
        <v>68</v>
      </c>
      <c r="G1087" s="1" t="s">
        <v>88</v>
      </c>
      <c r="H1087" s="1" t="s">
        <v>881</v>
      </c>
      <c r="I1087" s="1">
        <v>250.0</v>
      </c>
      <c r="J1087" s="1">
        <v>200.0</v>
      </c>
      <c r="K1087" s="1">
        <v>450.0</v>
      </c>
      <c r="L1087" s="1">
        <v>389.0</v>
      </c>
      <c r="M1087" s="1">
        <v>61.0</v>
      </c>
      <c r="N1087" s="1">
        <v>61.0</v>
      </c>
      <c r="O1087" s="1" t="s">
        <v>1602</v>
      </c>
      <c r="P1087" s="3" t="str">
        <f>HYPERLINK("https://icf.clappia.com/app/SOM165486/submission/NIM50841249/ICF247370-SOM165486-4n7gej30b46000000000/SIG-20250630_1337l35nl.jpeg", "SIG-20250630_1337l35nl.jpeg")</f>
        <v>SIG-20250630_1337l35nl.jpeg</v>
      </c>
      <c r="Q1087" s="3" t="str">
        <f>HYPERLINK("https://www.google.com/maps/place/8.883169%2C-12.0528986", "8.883169,-12.0528986")</f>
        <v>8.883169,-12.0528986</v>
      </c>
    </row>
    <row r="1088" ht="15.75" customHeight="1">
      <c r="A1088" s="1" t="s">
        <v>2884</v>
      </c>
      <c r="B1088" s="1" t="s">
        <v>18</v>
      </c>
      <c r="C1088" s="1" t="s">
        <v>2885</v>
      </c>
      <c r="D1088" s="1" t="s">
        <v>2885</v>
      </c>
      <c r="E1088" s="2">
        <v>45838.0</v>
      </c>
      <c r="F1088" s="1" t="s">
        <v>68</v>
      </c>
      <c r="G1088" s="1" t="s">
        <v>672</v>
      </c>
      <c r="H1088" s="1" t="s">
        <v>673</v>
      </c>
      <c r="I1088" s="1">
        <v>200.0</v>
      </c>
      <c r="J1088" s="1" t="s">
        <v>24</v>
      </c>
      <c r="K1088" s="1">
        <v>200.0</v>
      </c>
      <c r="L1088" s="1">
        <v>148.0</v>
      </c>
      <c r="M1088" s="1">
        <v>52.0</v>
      </c>
      <c r="N1088" s="1">
        <v>52.0</v>
      </c>
      <c r="O1088" s="1">
        <v>3.0</v>
      </c>
      <c r="P1088" s="3" t="str">
        <f>HYPERLINK("https://icf.clappia.com/app/SOM165486/submission/LLA68050060/ICF247370-SOM165486-25djjobd6e1e00000000/SIG-20250630_13353np68.jpeg", "SIG-20250630_13353np68.jpeg")</f>
        <v>SIG-20250630_13353np68.jpeg</v>
      </c>
      <c r="Q1088" s="3" t="str">
        <f>HYPERLINK("https://www.google.com/maps/place/8.9501131%2C-11.9824233", "8.9501131,-11.9824233")</f>
        <v>8.9501131,-11.9824233</v>
      </c>
    </row>
    <row r="1089" ht="15.75" customHeight="1">
      <c r="A1089" s="1" t="s">
        <v>2886</v>
      </c>
      <c r="B1089" s="1" t="s">
        <v>18</v>
      </c>
      <c r="C1089" s="1" t="s">
        <v>2887</v>
      </c>
      <c r="D1089" s="1" t="s">
        <v>2888</v>
      </c>
      <c r="E1089" s="2">
        <v>45838.0</v>
      </c>
      <c r="F1089" s="1" t="s">
        <v>68</v>
      </c>
      <c r="G1089" s="1" t="s">
        <v>69</v>
      </c>
      <c r="H1089" s="1" t="s">
        <v>657</v>
      </c>
      <c r="I1089" s="1">
        <v>100.0</v>
      </c>
      <c r="J1089" s="1">
        <v>60.0</v>
      </c>
      <c r="K1089" s="1">
        <v>160.0</v>
      </c>
      <c r="L1089" s="1">
        <v>160.0</v>
      </c>
      <c r="M1089" s="1" t="s">
        <v>24</v>
      </c>
      <c r="N1089" s="1" t="s">
        <v>24</v>
      </c>
      <c r="O1089" s="1" t="s">
        <v>658</v>
      </c>
      <c r="P1089" s="3" t="str">
        <f>HYPERLINK("https://icf.clappia.com/app/SOM165486/submission/UUV44321994/ICF247370-SOM165486-4j018hecco7c00000000/SIG-20250630_1332ncl40.jpeg", "SIG-20250630_1332ncl40.jpeg")</f>
        <v>SIG-20250630_1332ncl40.jpeg</v>
      </c>
      <c r="Q1089" s="3" t="str">
        <f>HYPERLINK("https://www.google.com/maps/place/8.90435%2C-12.1349983", "8.90435,-12.1349983")</f>
        <v>8.90435,-12.1349983</v>
      </c>
    </row>
    <row r="1090" ht="15.75" customHeight="1">
      <c r="A1090" s="1" t="s">
        <v>2889</v>
      </c>
      <c r="B1090" s="1" t="s">
        <v>18</v>
      </c>
      <c r="C1090" s="1" t="s">
        <v>2888</v>
      </c>
      <c r="D1090" s="1" t="s">
        <v>2888</v>
      </c>
      <c r="E1090" s="2">
        <v>45838.0</v>
      </c>
      <c r="F1090" s="1" t="s">
        <v>68</v>
      </c>
      <c r="G1090" s="1" t="s">
        <v>672</v>
      </c>
      <c r="H1090" s="1" t="s">
        <v>673</v>
      </c>
      <c r="I1090" s="1">
        <v>150.0</v>
      </c>
      <c r="J1090" s="1" t="s">
        <v>24</v>
      </c>
      <c r="K1090" s="1">
        <v>150.0</v>
      </c>
      <c r="L1090" s="1">
        <v>51.0</v>
      </c>
      <c r="M1090" s="1">
        <v>99.0</v>
      </c>
      <c r="N1090" s="1">
        <v>99.0</v>
      </c>
      <c r="O1090" s="1" t="s">
        <v>2890</v>
      </c>
      <c r="P1090" s="3" t="str">
        <f>HYPERLINK("https://icf.clappia.com/app/SOM165486/submission/FHI23176367/ICF247370-SOM165486-4bnep4ff0kf200000000/SIG-20250630_1213758ck.jpeg", "SIG-20250630_1213758ck.jpeg")</f>
        <v>SIG-20250630_1213758ck.jpeg</v>
      </c>
      <c r="Q1090" s="3" t="str">
        <f>HYPERLINK("https://www.google.com/maps/place/8.9503356%2C-11.9821915", "8.9503356,-11.9821915")</f>
        <v>8.9503356,-11.9821915</v>
      </c>
    </row>
    <row r="1091" ht="15.75" customHeight="1">
      <c r="A1091" s="1" t="s">
        <v>2891</v>
      </c>
      <c r="B1091" s="1" t="s">
        <v>18</v>
      </c>
      <c r="C1091" s="1" t="s">
        <v>2887</v>
      </c>
      <c r="D1091" s="1" t="s">
        <v>2888</v>
      </c>
      <c r="E1091" s="2">
        <v>45838.0</v>
      </c>
      <c r="F1091" s="1" t="s">
        <v>68</v>
      </c>
      <c r="G1091" s="1" t="s">
        <v>69</v>
      </c>
      <c r="H1091" s="1" t="s">
        <v>657</v>
      </c>
      <c r="I1091" s="1">
        <v>100.0</v>
      </c>
      <c r="J1091" s="1">
        <v>60.0</v>
      </c>
      <c r="K1091" s="1">
        <v>160.0</v>
      </c>
      <c r="L1091" s="1">
        <v>160.0</v>
      </c>
      <c r="M1091" s="1" t="s">
        <v>24</v>
      </c>
      <c r="N1091" s="1" t="s">
        <v>24</v>
      </c>
      <c r="O1091" s="1" t="s">
        <v>658</v>
      </c>
      <c r="P1091" s="3" t="str">
        <f>HYPERLINK("https://icf.clappia.com/app/SOM165486/submission/HLL96862735/ICF247370-SOM165486-43k5j3jmj4g000000000/SIG-20250630_1332bndjj.jpeg", "SIG-20250630_1332bndjj.jpeg")</f>
        <v>SIG-20250630_1332bndjj.jpeg</v>
      </c>
      <c r="Q1091" s="3" t="str">
        <f>HYPERLINK("https://www.google.com/maps/place/8.9044367%2C-12.13505", "8.9044367,-12.13505")</f>
        <v>8.9044367,-12.13505</v>
      </c>
    </row>
    <row r="1092" ht="15.75" customHeight="1">
      <c r="A1092" s="1" t="s">
        <v>2892</v>
      </c>
      <c r="B1092" s="1" t="s">
        <v>18</v>
      </c>
      <c r="C1092" s="1" t="s">
        <v>1942</v>
      </c>
      <c r="D1092" s="1" t="s">
        <v>2887</v>
      </c>
      <c r="E1092" s="2">
        <v>45838.0</v>
      </c>
      <c r="F1092" s="1" t="s">
        <v>68</v>
      </c>
      <c r="G1092" s="1" t="s">
        <v>597</v>
      </c>
      <c r="H1092" s="1" t="s">
        <v>1975</v>
      </c>
      <c r="I1092" s="1">
        <v>300.0</v>
      </c>
      <c r="J1092" s="1" t="s">
        <v>24</v>
      </c>
      <c r="K1092" s="1">
        <v>300.0</v>
      </c>
      <c r="L1092" s="1">
        <v>292.0</v>
      </c>
      <c r="M1092" s="1">
        <v>8.0</v>
      </c>
      <c r="N1092" s="1">
        <v>8.0</v>
      </c>
      <c r="O1092" s="1" t="s">
        <v>1976</v>
      </c>
      <c r="P1092" s="3" t="str">
        <f>HYPERLINK("https://icf.clappia.com/app/SOM165486/submission/HVR80304649/ICF247370-SOM165486-n87b8ic605f60000000/SIG-20250630_1330175a42.jpeg", "SIG-20250630_1330175a42.jpeg")</f>
        <v>SIG-20250630_1330175a42.jpeg</v>
      </c>
      <c r="Q1092" s="3" t="str">
        <f>HYPERLINK("https://www.google.com/maps/place/8.5873905%2C-12.1777455", "8.5873905,-12.1777455")</f>
        <v>8.5873905,-12.1777455</v>
      </c>
    </row>
    <row r="1093" ht="15.75" customHeight="1">
      <c r="A1093" s="1" t="s">
        <v>2893</v>
      </c>
      <c r="B1093" s="1" t="s">
        <v>18</v>
      </c>
      <c r="C1093" s="1" t="s">
        <v>2894</v>
      </c>
      <c r="D1093" s="1" t="s">
        <v>2894</v>
      </c>
      <c r="E1093" s="2">
        <v>45838.0</v>
      </c>
      <c r="F1093" s="1" t="s">
        <v>68</v>
      </c>
      <c r="G1093" s="1" t="s">
        <v>88</v>
      </c>
      <c r="H1093" s="1" t="s">
        <v>1314</v>
      </c>
      <c r="I1093" s="1">
        <v>750.0</v>
      </c>
      <c r="J1093" s="1" t="s">
        <v>24</v>
      </c>
      <c r="K1093" s="1">
        <v>750.0</v>
      </c>
      <c r="L1093" s="1">
        <v>735.0</v>
      </c>
      <c r="M1093" s="1">
        <v>15.0</v>
      </c>
      <c r="N1093" s="1">
        <v>15.0</v>
      </c>
      <c r="O1093" s="1" t="s">
        <v>2895</v>
      </c>
      <c r="P1093" s="3" t="str">
        <f>HYPERLINK("https://icf.clappia.com/app/SOM165486/submission/LJO19177811/ICF247370-SOM165486-2dhjchmj581o00000000/SIG-20250630_133113o4he.jpeg", "SIG-20250630_133113o4he.jpeg")</f>
        <v>SIG-20250630_133113o4he.jpeg</v>
      </c>
      <c r="Q1093" s="3" t="str">
        <f>HYPERLINK("https://www.google.com/maps/place/8.8692685%2C-12.0296383", "8.8692685,-12.0296383")</f>
        <v>8.8692685,-12.0296383</v>
      </c>
    </row>
    <row r="1094" ht="15.75" customHeight="1">
      <c r="A1094" s="1" t="s">
        <v>2896</v>
      </c>
      <c r="B1094" s="1" t="s">
        <v>18</v>
      </c>
      <c r="C1094" s="1" t="s">
        <v>2897</v>
      </c>
      <c r="D1094" s="1" t="s">
        <v>2897</v>
      </c>
      <c r="E1094" s="2">
        <v>45838.0</v>
      </c>
      <c r="F1094" s="1" t="s">
        <v>21</v>
      </c>
      <c r="G1094" s="1" t="s">
        <v>95</v>
      </c>
      <c r="H1094" s="1" t="s">
        <v>615</v>
      </c>
      <c r="I1094" s="1">
        <v>50.0</v>
      </c>
      <c r="J1094" s="1" t="s">
        <v>24</v>
      </c>
      <c r="K1094" s="1">
        <v>50.0</v>
      </c>
      <c r="L1094" s="1">
        <v>27.0</v>
      </c>
      <c r="M1094" s="1">
        <v>23.0</v>
      </c>
      <c r="N1094" s="1">
        <v>23.0</v>
      </c>
      <c r="O1094" s="1" t="s">
        <v>2898</v>
      </c>
      <c r="P1094" s="3" t="str">
        <f>HYPERLINK("https://icf.clappia.com/app/SOM165486/submission/XKW66378848/ICF247370-SOM165486-5gad8dlm08o200000000/SIG-20250630_132811iok5.jpeg", "SIG-20250630_132811iok5.jpeg")</f>
        <v>SIG-20250630_132811iok5.jpeg</v>
      </c>
      <c r="Q1094" s="3" t="str">
        <f>HYPERLINK("https://www.google.com/maps/place/7.9654063%2C-11.7283592", "7.9654063,-11.7283592")</f>
        <v>7.9654063,-11.7283592</v>
      </c>
    </row>
    <row r="1095" ht="15.75" customHeight="1">
      <c r="A1095" s="1" t="s">
        <v>2899</v>
      </c>
      <c r="B1095" s="1" t="s">
        <v>18</v>
      </c>
      <c r="C1095" s="1" t="s">
        <v>2900</v>
      </c>
      <c r="D1095" s="1" t="s">
        <v>2900</v>
      </c>
      <c r="E1095" s="2">
        <v>45838.0</v>
      </c>
      <c r="F1095" s="1" t="s">
        <v>68</v>
      </c>
      <c r="G1095" s="1" t="s">
        <v>385</v>
      </c>
      <c r="H1095" s="1" t="s">
        <v>828</v>
      </c>
      <c r="I1095" s="1">
        <v>263.0</v>
      </c>
      <c r="J1095" s="1" t="s">
        <v>24</v>
      </c>
      <c r="K1095" s="1">
        <v>263.0</v>
      </c>
      <c r="L1095" s="1">
        <v>263.0</v>
      </c>
      <c r="M1095" s="1" t="s">
        <v>24</v>
      </c>
      <c r="N1095" s="1" t="s">
        <v>24</v>
      </c>
      <c r="O1095" s="1" t="s">
        <v>829</v>
      </c>
      <c r="P1095" s="3" t="str">
        <f>HYPERLINK("https://icf.clappia.com/app/SOM165486/submission/UUA57742840/ICF247370-SOM165486-4a9fg2b4hlhc00000000/SIG-20250630_1325amjf8.jpeg", "SIG-20250630_1325amjf8.jpeg")</f>
        <v>SIG-20250630_1325amjf8.jpeg</v>
      </c>
      <c r="Q1095" s="3" t="str">
        <f>HYPERLINK("https://www.google.com/maps/place/9.1208983%2C-12.1108983", "9.1208983,-12.1108983")</f>
        <v>9.1208983,-12.1108983</v>
      </c>
    </row>
    <row r="1096" ht="15.75" customHeight="1">
      <c r="A1096" s="1" t="s">
        <v>2901</v>
      </c>
      <c r="B1096" s="1" t="s">
        <v>18</v>
      </c>
      <c r="C1096" s="1" t="s">
        <v>2900</v>
      </c>
      <c r="D1096" s="1" t="s">
        <v>2900</v>
      </c>
      <c r="E1096" s="2">
        <v>45838.0</v>
      </c>
      <c r="F1096" s="1" t="s">
        <v>68</v>
      </c>
      <c r="G1096" s="1" t="s">
        <v>672</v>
      </c>
      <c r="H1096" s="1" t="s">
        <v>673</v>
      </c>
      <c r="I1096" s="1">
        <v>150.0</v>
      </c>
      <c r="J1096" s="1" t="s">
        <v>24</v>
      </c>
      <c r="K1096" s="1">
        <v>150.0</v>
      </c>
      <c r="L1096" s="1">
        <v>59.0</v>
      </c>
      <c r="M1096" s="1">
        <v>91.0</v>
      </c>
      <c r="N1096" s="1">
        <v>91.0</v>
      </c>
      <c r="O1096" s="1" t="s">
        <v>2902</v>
      </c>
      <c r="P1096" s="3" t="str">
        <f>HYPERLINK("https://icf.clappia.com/app/SOM165486/submission/BOW96877666/ICF247370-SOM165486-f4ij0ckjckhk0000000/SIG-20250630_13267oe95.jpeg", "SIG-20250630_13267oe95.jpeg")</f>
        <v>SIG-20250630_13267oe95.jpeg</v>
      </c>
      <c r="Q1096" s="3" t="str">
        <f>HYPERLINK("https://www.google.com/maps/place/8.9515379%2C-11.9802828", "8.9515379,-11.9802828")</f>
        <v>8.9515379,-11.9802828</v>
      </c>
    </row>
    <row r="1097" ht="15.75" customHeight="1">
      <c r="A1097" s="1" t="s">
        <v>2903</v>
      </c>
      <c r="B1097" s="1" t="s">
        <v>18</v>
      </c>
      <c r="C1097" s="1" t="s">
        <v>2904</v>
      </c>
      <c r="D1097" s="1" t="s">
        <v>2904</v>
      </c>
      <c r="E1097" s="2">
        <v>45838.0</v>
      </c>
      <c r="F1097" s="1" t="s">
        <v>68</v>
      </c>
      <c r="G1097" s="1" t="s">
        <v>340</v>
      </c>
      <c r="H1097" s="1" t="s">
        <v>2318</v>
      </c>
      <c r="I1097" s="1">
        <v>166.0</v>
      </c>
      <c r="J1097" s="1" t="s">
        <v>24</v>
      </c>
      <c r="K1097" s="1">
        <v>166.0</v>
      </c>
      <c r="L1097" s="1">
        <v>166.0</v>
      </c>
      <c r="M1097" s="1" t="s">
        <v>24</v>
      </c>
      <c r="N1097" s="1" t="s">
        <v>24</v>
      </c>
      <c r="O1097" s="1" t="s">
        <v>2905</v>
      </c>
      <c r="P1097" s="3" t="str">
        <f>HYPERLINK("https://icf.clappia.com/app/SOM165486/submission/FAP59249207/ICF247370-SOM165486-12ep1lkj1i1k40000000/SIG-20250630_1321120796.jpeg", "SIG-20250630_1321120796.jpeg")</f>
        <v>SIG-20250630_1321120796.jpeg</v>
      </c>
      <c r="Q1097" s="3" t="str">
        <f>HYPERLINK("https://www.google.com/maps/place/9.1322817%2C-12.0102367", "9.1322817,-12.0102367")</f>
        <v>9.1322817,-12.0102367</v>
      </c>
    </row>
    <row r="1098" ht="15.75" customHeight="1">
      <c r="A1098" s="1" t="s">
        <v>2906</v>
      </c>
      <c r="B1098" s="1" t="s">
        <v>18</v>
      </c>
      <c r="C1098" s="1" t="s">
        <v>2907</v>
      </c>
      <c r="D1098" s="1" t="s">
        <v>1946</v>
      </c>
      <c r="E1098" s="2">
        <v>45838.0</v>
      </c>
      <c r="F1098" s="1" t="s">
        <v>21</v>
      </c>
      <c r="G1098" s="1" t="s">
        <v>95</v>
      </c>
      <c r="H1098" s="1" t="s">
        <v>1301</v>
      </c>
      <c r="I1098" s="1">
        <v>150.0</v>
      </c>
      <c r="J1098" s="1" t="s">
        <v>24</v>
      </c>
      <c r="K1098" s="1">
        <v>150.0</v>
      </c>
      <c r="L1098" s="1">
        <v>150.0</v>
      </c>
      <c r="M1098" s="1" t="s">
        <v>24</v>
      </c>
      <c r="N1098" s="1" t="s">
        <v>24</v>
      </c>
      <c r="O1098" s="1" t="s">
        <v>1382</v>
      </c>
      <c r="P1098" s="3" t="str">
        <f>HYPERLINK("https://icf.clappia.com/app/SOM165486/submission/DUH63894825/ICF247370-SOM165486-2j2geh881n6o00000000/SIG-20250630_1317mf4i5.jpeg", "SIG-20250630_1317mf4i5.jpeg")</f>
        <v>SIG-20250630_1317mf4i5.jpeg</v>
      </c>
      <c r="Q1098" s="3" t="str">
        <f>HYPERLINK("https://www.google.com/maps/place/7.942775%2C-11.6664317", "7.942775,-11.6664317")</f>
        <v>7.942775,-11.6664317</v>
      </c>
    </row>
    <row r="1099" ht="15.75" customHeight="1">
      <c r="A1099" s="1" t="s">
        <v>2908</v>
      </c>
      <c r="B1099" s="1" t="s">
        <v>18</v>
      </c>
      <c r="C1099" s="1" t="s">
        <v>2909</v>
      </c>
      <c r="D1099" s="1" t="s">
        <v>1946</v>
      </c>
      <c r="E1099" s="2">
        <v>45838.0</v>
      </c>
      <c r="F1099" s="1" t="s">
        <v>21</v>
      </c>
      <c r="G1099" s="1" t="s">
        <v>95</v>
      </c>
      <c r="H1099" s="1" t="s">
        <v>1301</v>
      </c>
      <c r="I1099" s="1">
        <v>150.0</v>
      </c>
      <c r="J1099" s="1" t="s">
        <v>24</v>
      </c>
      <c r="K1099" s="1">
        <v>150.0</v>
      </c>
      <c r="L1099" s="1">
        <v>150.0</v>
      </c>
      <c r="M1099" s="1" t="s">
        <v>24</v>
      </c>
      <c r="N1099" s="1" t="s">
        <v>24</v>
      </c>
      <c r="O1099" s="1" t="s">
        <v>2910</v>
      </c>
      <c r="P1099" s="3" t="str">
        <f>HYPERLINK("https://icf.clappia.com/app/SOM165486/submission/GIL66230917/ICF247370-SOM165486-5of2g4217hek0000000/SIG-20250630_12461agifo.jpeg", "SIG-20250630_12461agifo.jpeg")</f>
        <v>SIG-20250630_12461agifo.jpeg</v>
      </c>
      <c r="Q1099" s="3" t="str">
        <f>HYPERLINK("https://www.google.com/maps/place/7.942705%2C-11.6663767", "7.942705,-11.6663767")</f>
        <v>7.942705,-11.6663767</v>
      </c>
    </row>
    <row r="1100" ht="15.75" customHeight="1">
      <c r="A1100" s="1" t="s">
        <v>2911</v>
      </c>
      <c r="B1100" s="1" t="s">
        <v>18</v>
      </c>
      <c r="C1100" s="1" t="s">
        <v>2907</v>
      </c>
      <c r="D1100" s="1" t="s">
        <v>2907</v>
      </c>
      <c r="E1100" s="2">
        <v>45838.0</v>
      </c>
      <c r="F1100" s="1" t="s">
        <v>68</v>
      </c>
      <c r="G1100" s="1" t="s">
        <v>597</v>
      </c>
      <c r="H1100" s="1" t="s">
        <v>598</v>
      </c>
      <c r="I1100" s="1">
        <v>100.0</v>
      </c>
      <c r="J1100" s="1" t="s">
        <v>24</v>
      </c>
      <c r="K1100" s="1">
        <v>100.0</v>
      </c>
      <c r="L1100" s="1">
        <v>75.0</v>
      </c>
      <c r="M1100" s="1">
        <v>25.0</v>
      </c>
      <c r="N1100" s="1">
        <v>20.0</v>
      </c>
      <c r="O1100" s="1" t="s">
        <v>792</v>
      </c>
      <c r="P1100" s="3" t="str">
        <f>HYPERLINK("https://icf.clappia.com/app/SOM165486/submission/UBW12251528/ICF247370-SOM165486-40p58a568gei00000000/SIG-20250630_1315kgnjp.jpeg", "SIG-20250630_1315kgnjp.jpeg")</f>
        <v>SIG-20250630_1315kgnjp.jpeg</v>
      </c>
      <c r="Q1100" s="3" t="str">
        <f>HYPERLINK("https://www.google.com/maps/place/8.6530317%2C-12.2154117", "8.6530317,-12.2154117")</f>
        <v>8.6530317,-12.2154117</v>
      </c>
    </row>
    <row r="1101" ht="15.75" customHeight="1">
      <c r="A1101" s="1" t="s">
        <v>2912</v>
      </c>
      <c r="B1101" s="1" t="s">
        <v>18</v>
      </c>
      <c r="C1101" s="1" t="s">
        <v>426</v>
      </c>
      <c r="D1101" s="1" t="s">
        <v>426</v>
      </c>
      <c r="E1101" s="2">
        <v>45838.0</v>
      </c>
      <c r="F1101" s="1" t="s">
        <v>68</v>
      </c>
      <c r="G1101" s="1" t="s">
        <v>340</v>
      </c>
      <c r="H1101" s="1" t="s">
        <v>476</v>
      </c>
      <c r="I1101" s="1">
        <v>300.0</v>
      </c>
      <c r="J1101" s="1" t="s">
        <v>24</v>
      </c>
      <c r="K1101" s="1">
        <v>300.0</v>
      </c>
      <c r="L1101" s="1">
        <v>274.0</v>
      </c>
      <c r="M1101" s="1">
        <v>26.0</v>
      </c>
      <c r="N1101" s="1">
        <v>16.0</v>
      </c>
      <c r="O1101" s="1" t="s">
        <v>477</v>
      </c>
      <c r="P1101" s="3" t="str">
        <f>HYPERLINK("https://icf.clappia.com/app/SOM165486/submission/KHL24136131/ICF247370-SOM165486-ij62ihp3hmb20000000/SIG-20250630_13167fb03.jpeg", "SIG-20250630_13167fb03.jpeg")</f>
        <v>SIG-20250630_13167fb03.jpeg</v>
      </c>
      <c r="Q1101" s="3" t="str">
        <f>HYPERLINK("https://www.google.com/maps/place/9.068136%2C-11.9540335", "9.068136,-11.9540335")</f>
        <v>9.068136,-11.9540335</v>
      </c>
    </row>
    <row r="1102" ht="15.75" customHeight="1">
      <c r="A1102" s="1" t="s">
        <v>2913</v>
      </c>
      <c r="B1102" s="1" t="s">
        <v>18</v>
      </c>
      <c r="C1102" s="1" t="s">
        <v>1358</v>
      </c>
      <c r="D1102" s="1" t="s">
        <v>1358</v>
      </c>
      <c r="E1102" s="2">
        <v>45838.0</v>
      </c>
      <c r="F1102" s="1" t="s">
        <v>21</v>
      </c>
      <c r="G1102" s="1" t="s">
        <v>58</v>
      </c>
      <c r="H1102" s="1" t="s">
        <v>152</v>
      </c>
      <c r="I1102" s="1">
        <v>259.0</v>
      </c>
      <c r="J1102" s="1" t="s">
        <v>24</v>
      </c>
      <c r="K1102" s="1">
        <v>259.0</v>
      </c>
      <c r="L1102" s="1">
        <v>159.0</v>
      </c>
      <c r="M1102" s="1">
        <v>100.0</v>
      </c>
      <c r="N1102" s="1">
        <v>100.0</v>
      </c>
      <c r="O1102" s="1" t="s">
        <v>2914</v>
      </c>
      <c r="P1102" s="3" t="str">
        <f>HYPERLINK("https://icf.clappia.com/app/SOM165486/submission/TCE32399712/ICF247370-SOM165486-5plmjkaf6fpm00000000/SIG-20250630_131310831i.jpeg", "SIG-20250630_131310831i.jpeg")</f>
        <v>SIG-20250630_131310831i.jpeg</v>
      </c>
      <c r="Q1102" s="3" t="str">
        <f>HYPERLINK("https://www.google.com/maps/place/7.8710197%2C-11.7087865", "7.8710197,-11.7087865")</f>
        <v>7.8710197,-11.7087865</v>
      </c>
    </row>
    <row r="1103" ht="15.75" customHeight="1">
      <c r="A1103" s="1" t="s">
        <v>2915</v>
      </c>
      <c r="B1103" s="1" t="s">
        <v>18</v>
      </c>
      <c r="C1103" s="1" t="s">
        <v>1358</v>
      </c>
      <c r="D1103" s="1" t="s">
        <v>1358</v>
      </c>
      <c r="E1103" s="2">
        <v>45838.0</v>
      </c>
      <c r="F1103" s="1" t="s">
        <v>21</v>
      </c>
      <c r="G1103" s="1" t="s">
        <v>95</v>
      </c>
      <c r="H1103" s="1" t="s">
        <v>1301</v>
      </c>
      <c r="I1103" s="1">
        <v>422.0</v>
      </c>
      <c r="J1103" s="1" t="s">
        <v>24</v>
      </c>
      <c r="K1103" s="1">
        <v>422.0</v>
      </c>
      <c r="L1103" s="1">
        <v>351.0</v>
      </c>
      <c r="M1103" s="1">
        <v>71.0</v>
      </c>
      <c r="N1103" s="1">
        <v>71.0</v>
      </c>
      <c r="O1103" s="1" t="s">
        <v>1302</v>
      </c>
      <c r="P1103" s="3" t="str">
        <f>HYPERLINK("https://icf.clappia.com/app/SOM165486/submission/PUC37868403/ICF247370-SOM165486-30lm5g9inajk00000000/SIG-20250630_1250o6aff.jpeg", "SIG-20250630_1250o6aff.jpeg")</f>
        <v>SIG-20250630_1250o6aff.jpeg</v>
      </c>
      <c r="Q1103" s="3" t="str">
        <f>HYPERLINK("https://www.google.com/maps/place/7.9427683%2C-11.66643", "7.9427683,-11.66643")</f>
        <v>7.9427683,-11.66643</v>
      </c>
    </row>
    <row r="1104" ht="15.75" customHeight="1">
      <c r="A1104" s="1" t="s">
        <v>2916</v>
      </c>
      <c r="B1104" s="1" t="s">
        <v>18</v>
      </c>
      <c r="C1104" s="1" t="s">
        <v>2917</v>
      </c>
      <c r="D1104" s="1" t="s">
        <v>2917</v>
      </c>
      <c r="E1104" s="2">
        <v>45838.0</v>
      </c>
      <c r="F1104" s="1" t="s">
        <v>21</v>
      </c>
      <c r="G1104" s="1" t="s">
        <v>275</v>
      </c>
      <c r="H1104" s="1" t="s">
        <v>1220</v>
      </c>
      <c r="I1104" s="1">
        <v>234.0</v>
      </c>
      <c r="J1104" s="1" t="s">
        <v>24</v>
      </c>
      <c r="K1104" s="1">
        <v>234.0</v>
      </c>
      <c r="L1104" s="1">
        <v>234.0</v>
      </c>
      <c r="M1104" s="1" t="s">
        <v>24</v>
      </c>
      <c r="N1104" s="1" t="s">
        <v>24</v>
      </c>
      <c r="O1104" s="1" t="s">
        <v>2315</v>
      </c>
      <c r="P1104" s="3" t="str">
        <f>HYPERLINK("https://icf.clappia.com/app/SOM165486/submission/VKJ27252020/ICF247370-SOM165486-23kp9h957ggj20000000/SIG-20250630_1312129540.jpeg", "SIG-20250630_1312129540.jpeg")</f>
        <v>SIG-20250630_1312129540.jpeg</v>
      </c>
      <c r="Q1104" s="3" t="str">
        <f>HYPERLINK("https://www.google.com/maps/place/7.6501035%2C-11.9630947", "7.6501035,-11.9630947")</f>
        <v>7.6501035,-11.9630947</v>
      </c>
    </row>
    <row r="1105" ht="15.75" customHeight="1">
      <c r="A1105" s="1" t="s">
        <v>2918</v>
      </c>
      <c r="B1105" s="1" t="s">
        <v>18</v>
      </c>
      <c r="C1105" s="1" t="s">
        <v>2919</v>
      </c>
      <c r="D1105" s="1" t="s">
        <v>2919</v>
      </c>
      <c r="E1105" s="2">
        <v>45838.0</v>
      </c>
      <c r="F1105" s="1" t="s">
        <v>21</v>
      </c>
      <c r="G1105" s="1" t="s">
        <v>275</v>
      </c>
      <c r="H1105" s="1" t="s">
        <v>1220</v>
      </c>
      <c r="I1105" s="1">
        <v>234.0</v>
      </c>
      <c r="J1105" s="1" t="s">
        <v>24</v>
      </c>
      <c r="K1105" s="1">
        <v>234.0</v>
      </c>
      <c r="L1105" s="1">
        <v>234.0</v>
      </c>
      <c r="M1105" s="1" t="s">
        <v>24</v>
      </c>
      <c r="N1105" s="1" t="s">
        <v>24</v>
      </c>
      <c r="O1105" s="1" t="s">
        <v>2920</v>
      </c>
      <c r="P1105" s="3" t="str">
        <f>HYPERLINK("https://icf.clappia.com/app/SOM165486/submission/DQV65772460/ICF247370-SOM165486-1iimnn7h610lm0000000/SIG-20250630_0918h3gfm.jpeg", "SIG-20250630_0918h3gfm.jpeg")</f>
        <v>SIG-20250630_0918h3gfm.jpeg</v>
      </c>
      <c r="Q1105" s="3" t="str">
        <f>HYPERLINK("https://www.google.com/maps/place/7.6501028%2C-11.9631004", "7.6501028,-11.9631004")</f>
        <v>7.6501028,-11.9631004</v>
      </c>
    </row>
    <row r="1106" ht="15.75" customHeight="1">
      <c r="A1106" s="1" t="s">
        <v>2921</v>
      </c>
      <c r="B1106" s="1" t="s">
        <v>18</v>
      </c>
      <c r="C1106" s="1" t="s">
        <v>2909</v>
      </c>
      <c r="D1106" s="1" t="s">
        <v>2909</v>
      </c>
      <c r="E1106" s="2">
        <v>45838.0</v>
      </c>
      <c r="F1106" s="1" t="s">
        <v>21</v>
      </c>
      <c r="G1106" s="1" t="s">
        <v>275</v>
      </c>
      <c r="H1106" s="1" t="s">
        <v>1220</v>
      </c>
      <c r="I1106" s="1">
        <v>250.0</v>
      </c>
      <c r="J1106" s="1" t="s">
        <v>24</v>
      </c>
      <c r="K1106" s="1">
        <v>250.0</v>
      </c>
      <c r="L1106" s="1">
        <v>120.0</v>
      </c>
      <c r="M1106" s="1">
        <v>130.0</v>
      </c>
      <c r="N1106" s="1">
        <v>120.0</v>
      </c>
      <c r="O1106" s="1" t="s">
        <v>2341</v>
      </c>
      <c r="P1106" s="3" t="str">
        <f>HYPERLINK("https://icf.clappia.com/app/SOM165486/submission/ECT66775620/ICF247370-SOM165486-5ie9c8mh976o00000000/SIG-20250630_13083i03b.jpeg", "SIG-20250630_13083i03b.jpeg")</f>
        <v>SIG-20250630_13083i03b.jpeg</v>
      </c>
      <c r="Q1106" s="3" t="str">
        <f>HYPERLINK("https://www.google.com/maps/place/7.6526967%2C-11.9638831", "7.6526967,-11.9638831")</f>
        <v>7.6526967,-11.9638831</v>
      </c>
    </row>
    <row r="1107" ht="15.75" customHeight="1">
      <c r="A1107" s="1" t="s">
        <v>2922</v>
      </c>
      <c r="B1107" s="1" t="s">
        <v>18</v>
      </c>
      <c r="C1107" s="1" t="s">
        <v>1361</v>
      </c>
      <c r="D1107" s="1" t="s">
        <v>1361</v>
      </c>
      <c r="E1107" s="2">
        <v>45838.0</v>
      </c>
      <c r="F1107" s="1" t="s">
        <v>21</v>
      </c>
      <c r="G1107" s="1" t="s">
        <v>95</v>
      </c>
      <c r="H1107" s="1" t="s">
        <v>96</v>
      </c>
      <c r="I1107" s="1">
        <v>124.0</v>
      </c>
      <c r="J1107" s="1" t="s">
        <v>24</v>
      </c>
      <c r="K1107" s="1">
        <v>124.0</v>
      </c>
      <c r="L1107" s="1">
        <v>124.0</v>
      </c>
      <c r="M1107" s="1" t="s">
        <v>24</v>
      </c>
      <c r="N1107" s="1" t="s">
        <v>24</v>
      </c>
      <c r="O1107" s="1" t="s">
        <v>2923</v>
      </c>
      <c r="P1107" s="3" t="str">
        <f>HYPERLINK("https://icf.clappia.com/app/SOM165486/submission/BVT48288005/ICF247370-SOM165486-5db7904380g000000000/SIG-20250630_130410nl1e.jpeg", "SIG-20250630_130410nl1e.jpeg")</f>
        <v>SIG-20250630_130410nl1e.jpeg</v>
      </c>
      <c r="Q1107" s="3" t="str">
        <f>HYPERLINK("https://www.google.com/maps/place/7.9473767%2C-11.7216167", "7.9473767,-11.7216167")</f>
        <v>7.9473767,-11.7216167</v>
      </c>
    </row>
    <row r="1108" ht="15.75" customHeight="1">
      <c r="A1108" s="1" t="s">
        <v>2924</v>
      </c>
      <c r="B1108" s="1" t="s">
        <v>18</v>
      </c>
      <c r="C1108" s="1" t="s">
        <v>2925</v>
      </c>
      <c r="D1108" s="1" t="s">
        <v>2925</v>
      </c>
      <c r="E1108" s="2">
        <v>45838.0</v>
      </c>
      <c r="F1108" s="1" t="s">
        <v>21</v>
      </c>
      <c r="G1108" s="1" t="s">
        <v>58</v>
      </c>
      <c r="H1108" s="1" t="s">
        <v>1054</v>
      </c>
      <c r="I1108" s="1">
        <v>150.0</v>
      </c>
      <c r="J1108" s="1" t="s">
        <v>24</v>
      </c>
      <c r="K1108" s="1">
        <v>150.0</v>
      </c>
      <c r="L1108" s="1">
        <v>140.0</v>
      </c>
      <c r="M1108" s="1">
        <v>10.0</v>
      </c>
      <c r="N1108" s="1">
        <v>10.0</v>
      </c>
      <c r="O1108" s="1" t="s">
        <v>1373</v>
      </c>
      <c r="P1108" s="3" t="str">
        <f>HYPERLINK("https://icf.clappia.com/app/SOM165486/submission/YAC00302553/ICF247370-SOM165486-3o6bgfdgileg00000000/SIG-20250630_130568l9e.jpeg", "SIG-20250630_130568l9e.jpeg")</f>
        <v>SIG-20250630_130568l9e.jpeg</v>
      </c>
      <c r="Q1108" s="3" t="str">
        <f>HYPERLINK("https://www.google.com/maps/place/7.9609983%2C-11.7733717", "7.9609983,-11.7733717")</f>
        <v>7.9609983,-11.7733717</v>
      </c>
    </row>
    <row r="1109" ht="15.75" customHeight="1">
      <c r="A1109" s="1" t="s">
        <v>2926</v>
      </c>
      <c r="B1109" s="1" t="s">
        <v>18</v>
      </c>
      <c r="C1109" s="1" t="s">
        <v>2925</v>
      </c>
      <c r="D1109" s="1" t="s">
        <v>2925</v>
      </c>
      <c r="E1109" s="2">
        <v>45838.0</v>
      </c>
      <c r="F1109" s="1" t="s">
        <v>21</v>
      </c>
      <c r="G1109" s="1" t="s">
        <v>58</v>
      </c>
      <c r="H1109" s="1" t="s">
        <v>147</v>
      </c>
      <c r="I1109" s="1">
        <v>350.0</v>
      </c>
      <c r="J1109" s="1" t="s">
        <v>24</v>
      </c>
      <c r="K1109" s="1">
        <v>350.0</v>
      </c>
      <c r="L1109" s="1">
        <v>329.0</v>
      </c>
      <c r="M1109" s="1">
        <v>21.0</v>
      </c>
      <c r="N1109" s="1">
        <v>21.0</v>
      </c>
      <c r="O1109" s="1" t="s">
        <v>1822</v>
      </c>
      <c r="P1109" s="3" t="str">
        <f>HYPERLINK("https://icf.clappia.com/app/SOM165486/submission/EZC79482883/ICF247370-SOM165486-64d842k302ka00000000/SIG-20250630_130511j85j.jpeg", "SIG-20250630_130511j85j.jpeg")</f>
        <v>SIG-20250630_130511j85j.jpeg</v>
      </c>
      <c r="Q1109" s="3" t="str">
        <f>HYPERLINK("https://www.google.com/maps/place/7.8852287%2C-11.785319", "7.8852287,-11.785319")</f>
        <v>7.8852287,-11.785319</v>
      </c>
    </row>
    <row r="1110" ht="15.75" customHeight="1">
      <c r="A1110" s="1" t="s">
        <v>2927</v>
      </c>
      <c r="B1110" s="1" t="s">
        <v>18</v>
      </c>
      <c r="C1110" s="1" t="s">
        <v>2925</v>
      </c>
      <c r="D1110" s="1" t="s">
        <v>2925</v>
      </c>
      <c r="E1110" s="2">
        <v>45838.0</v>
      </c>
      <c r="F1110" s="1" t="s">
        <v>21</v>
      </c>
      <c r="G1110" s="1" t="s">
        <v>275</v>
      </c>
      <c r="H1110" s="1" t="s">
        <v>1220</v>
      </c>
      <c r="I1110" s="1">
        <v>250.0</v>
      </c>
      <c r="J1110" s="1" t="s">
        <v>24</v>
      </c>
      <c r="K1110" s="1">
        <v>250.0</v>
      </c>
      <c r="L1110" s="1">
        <v>130.0</v>
      </c>
      <c r="M1110" s="1">
        <v>120.0</v>
      </c>
      <c r="N1110" s="1">
        <v>120.0</v>
      </c>
      <c r="O1110" s="1" t="s">
        <v>2341</v>
      </c>
      <c r="P1110" s="3" t="str">
        <f>HYPERLINK("https://icf.clappia.com/app/SOM165486/submission/FQA06016641/ICF247370-SOM165486-4pn3ag9p95go00000000/SIG-20250630_130443eeh.jpeg", "SIG-20250630_130443eeh.jpeg")</f>
        <v>SIG-20250630_130443eeh.jpeg</v>
      </c>
      <c r="Q1110" s="3" t="str">
        <f>HYPERLINK("https://www.google.com/maps/place/7.6526967%2C-11.9638831", "7.6526967,-11.9638831")</f>
        <v>7.6526967,-11.9638831</v>
      </c>
    </row>
    <row r="1111" ht="15.75" customHeight="1">
      <c r="A1111" s="1" t="s">
        <v>2928</v>
      </c>
      <c r="B1111" s="1" t="s">
        <v>18</v>
      </c>
      <c r="C1111" s="1" t="s">
        <v>2929</v>
      </c>
      <c r="D1111" s="1" t="s">
        <v>2929</v>
      </c>
      <c r="E1111" s="2">
        <v>45838.0</v>
      </c>
      <c r="F1111" s="1" t="s">
        <v>68</v>
      </c>
      <c r="G1111" s="1" t="s">
        <v>592</v>
      </c>
      <c r="H1111" s="1" t="s">
        <v>593</v>
      </c>
      <c r="I1111" s="1">
        <v>150.0</v>
      </c>
      <c r="J1111" s="1" t="s">
        <v>24</v>
      </c>
      <c r="K1111" s="1">
        <v>150.0</v>
      </c>
      <c r="L1111" s="1">
        <v>122.0</v>
      </c>
      <c r="M1111" s="1">
        <v>28.0</v>
      </c>
      <c r="N1111" s="1">
        <v>28.0</v>
      </c>
      <c r="O1111" s="1" t="s">
        <v>2930</v>
      </c>
      <c r="P1111" s="3" t="str">
        <f>HYPERLINK("https://icf.clappia.com/app/SOM165486/submission/SVK11995554/ICF247370-SOM165486-5h7do2onikmc00000000/SIG-20250630_1302hkgbp.jpeg", "SIG-20250630_1302hkgbp.jpeg")</f>
        <v>SIG-20250630_1302hkgbp.jpeg</v>
      </c>
      <c r="Q1111" s="3" t="str">
        <f>HYPERLINK("https://www.google.com/maps/place/8.9197033%2C-12.03111", "8.9197033,-12.03111")</f>
        <v>8.9197033,-12.03111</v>
      </c>
    </row>
    <row r="1112" ht="15.75" customHeight="1">
      <c r="A1112" s="1" t="s">
        <v>2931</v>
      </c>
      <c r="B1112" s="1" t="s">
        <v>18</v>
      </c>
      <c r="C1112" s="1" t="s">
        <v>2932</v>
      </c>
      <c r="D1112" s="1" t="s">
        <v>2933</v>
      </c>
      <c r="E1112" s="2">
        <v>45838.0</v>
      </c>
      <c r="F1112" s="1" t="s">
        <v>21</v>
      </c>
      <c r="G1112" s="1" t="s">
        <v>781</v>
      </c>
      <c r="H1112" s="1" t="s">
        <v>1910</v>
      </c>
      <c r="I1112" s="1">
        <v>200.0</v>
      </c>
      <c r="J1112" s="1" t="s">
        <v>24</v>
      </c>
      <c r="K1112" s="1">
        <v>200.0</v>
      </c>
      <c r="L1112" s="1">
        <v>200.0</v>
      </c>
      <c r="M1112" s="1" t="s">
        <v>24</v>
      </c>
      <c r="N1112" s="1" t="s">
        <v>24</v>
      </c>
      <c r="O1112" s="1" t="s">
        <v>2934</v>
      </c>
      <c r="P1112" s="3" t="str">
        <f>HYPERLINK("https://icf.clappia.com/app/SOM165486/submission/XDF01020129/ICF247370-SOM165486-3pp2a293k62i00000000/SIG-20250630_1301oo1le.jpeg", "SIG-20250630_1301oo1le.jpeg")</f>
        <v>SIG-20250630_1301oo1le.jpeg</v>
      </c>
      <c r="Q1112" s="3" t="str">
        <f>HYPERLINK("https://www.google.com/maps/place/7.9282901%2C-11.4415451", "7.9282901,-11.4415451")</f>
        <v>7.9282901,-11.4415451</v>
      </c>
    </row>
    <row r="1113" ht="15.75" customHeight="1">
      <c r="A1113" s="1" t="s">
        <v>2935</v>
      </c>
      <c r="B1113" s="1" t="s">
        <v>18</v>
      </c>
      <c r="C1113" s="1" t="s">
        <v>2936</v>
      </c>
      <c r="D1113" s="1" t="s">
        <v>2936</v>
      </c>
      <c r="E1113" s="2">
        <v>45838.0</v>
      </c>
      <c r="F1113" s="1" t="s">
        <v>21</v>
      </c>
      <c r="G1113" s="1" t="s">
        <v>781</v>
      </c>
      <c r="H1113" s="1" t="s">
        <v>1910</v>
      </c>
      <c r="I1113" s="1">
        <v>200.0</v>
      </c>
      <c r="J1113" s="1" t="s">
        <v>24</v>
      </c>
      <c r="K1113" s="1">
        <v>200.0</v>
      </c>
      <c r="L1113" s="1">
        <v>200.0</v>
      </c>
      <c r="M1113" s="1" t="s">
        <v>24</v>
      </c>
      <c r="N1113" s="1" t="s">
        <v>24</v>
      </c>
      <c r="O1113" s="1" t="s">
        <v>2937</v>
      </c>
      <c r="P1113" s="3" t="str">
        <f>HYPERLINK("https://icf.clappia.com/app/SOM165486/submission/IVW12595020/ICF247370-SOM165486-4n3kdn60mg7e00000000/SIG-20250630_124916ihgm.jpeg", "SIG-20250630_124916ihgm.jpeg")</f>
        <v>SIG-20250630_124916ihgm.jpeg</v>
      </c>
      <c r="Q1113" s="3" t="str">
        <f>HYPERLINK("https://www.google.com/maps/place/7.9286051%2C-11.4422549", "7.9286051,-11.4422549")</f>
        <v>7.9286051,-11.4422549</v>
      </c>
    </row>
    <row r="1114" ht="15.75" customHeight="1">
      <c r="A1114" s="1" t="s">
        <v>2938</v>
      </c>
      <c r="B1114" s="1" t="s">
        <v>18</v>
      </c>
      <c r="C1114" s="1" t="s">
        <v>2939</v>
      </c>
      <c r="D1114" s="1" t="s">
        <v>2939</v>
      </c>
      <c r="E1114" s="2">
        <v>45838.0</v>
      </c>
      <c r="F1114" s="1" t="s">
        <v>21</v>
      </c>
      <c r="G1114" s="1" t="s">
        <v>1331</v>
      </c>
      <c r="H1114" s="1" t="s">
        <v>1332</v>
      </c>
      <c r="I1114" s="1">
        <v>105.0</v>
      </c>
      <c r="J1114" s="1" t="s">
        <v>24</v>
      </c>
      <c r="K1114" s="1">
        <v>105.0</v>
      </c>
      <c r="L1114" s="1">
        <v>105.0</v>
      </c>
      <c r="M1114" s="1" t="s">
        <v>24</v>
      </c>
      <c r="N1114" s="1" t="s">
        <v>24</v>
      </c>
      <c r="O1114" s="1" t="s">
        <v>1866</v>
      </c>
      <c r="P1114" s="3" t="str">
        <f>HYPERLINK("https://icf.clappia.com/app/SOM165486/submission/YKA17767405/ICF247370-SOM165486-jge8ekp8558k0000000/SIG-20250630_1250l9a9o.jpeg", "SIG-20250630_1250l9a9o.jpeg")</f>
        <v>SIG-20250630_1250l9a9o.jpeg</v>
      </c>
      <c r="Q1114" s="3" t="str">
        <f>HYPERLINK("https://www.google.com/maps/place/8.1289421%2C-11.6521843", "8.1289421,-11.6521843")</f>
        <v>8.1289421,-11.6521843</v>
      </c>
    </row>
    <row r="1115" ht="15.75" customHeight="1">
      <c r="A1115" s="1" t="s">
        <v>2940</v>
      </c>
      <c r="B1115" s="1" t="s">
        <v>18</v>
      </c>
      <c r="C1115" s="1" t="s">
        <v>2941</v>
      </c>
      <c r="D1115" s="1" t="s">
        <v>2942</v>
      </c>
      <c r="E1115" s="2">
        <v>45838.0</v>
      </c>
      <c r="F1115" s="1" t="s">
        <v>21</v>
      </c>
      <c r="G1115" s="1" t="s">
        <v>95</v>
      </c>
      <c r="H1115" s="1" t="s">
        <v>369</v>
      </c>
      <c r="I1115" s="1">
        <v>157.0</v>
      </c>
      <c r="J1115" s="1" t="s">
        <v>24</v>
      </c>
      <c r="K1115" s="1">
        <v>157.0</v>
      </c>
      <c r="L1115" s="1">
        <v>157.0</v>
      </c>
      <c r="M1115" s="1" t="s">
        <v>24</v>
      </c>
      <c r="N1115" s="1" t="s">
        <v>24</v>
      </c>
      <c r="O1115" s="1" t="s">
        <v>2943</v>
      </c>
      <c r="P1115" s="3" t="str">
        <f>HYPERLINK("https://icf.clappia.com/app/SOM165486/submission/VUO40709374/ICF247370-SOM165486-4ke8423495ma00000000/SIG-20250630_1246k97c1.jpeg", "SIG-20250630_1246k97c1.jpeg")</f>
        <v>SIG-20250630_1246k97c1.jpeg</v>
      </c>
      <c r="Q1115" s="3" t="str">
        <f>HYPERLINK("https://www.google.com/maps/place/7.9250831%2C-11.7233767", "7.9250831,-11.7233767")</f>
        <v>7.9250831,-11.7233767</v>
      </c>
    </row>
    <row r="1116" ht="15.75" customHeight="1">
      <c r="A1116" s="1" t="s">
        <v>2944</v>
      </c>
      <c r="B1116" s="1" t="s">
        <v>18</v>
      </c>
      <c r="C1116" s="1" t="s">
        <v>2945</v>
      </c>
      <c r="D1116" s="1" t="s">
        <v>2945</v>
      </c>
      <c r="E1116" s="2">
        <v>45838.0</v>
      </c>
      <c r="F1116" s="1" t="s">
        <v>68</v>
      </c>
      <c r="G1116" s="1" t="s">
        <v>88</v>
      </c>
      <c r="H1116" s="1" t="s">
        <v>881</v>
      </c>
      <c r="I1116" s="1">
        <v>150.0</v>
      </c>
      <c r="J1116" s="1" t="s">
        <v>24</v>
      </c>
      <c r="K1116" s="1">
        <v>150.0</v>
      </c>
      <c r="L1116" s="1">
        <v>73.0</v>
      </c>
      <c r="M1116" s="1">
        <v>77.0</v>
      </c>
      <c r="N1116" s="1">
        <v>77.0</v>
      </c>
      <c r="O1116" s="1" t="s">
        <v>1269</v>
      </c>
      <c r="P1116" s="3" t="str">
        <f>HYPERLINK("https://icf.clappia.com/app/SOM165486/submission/HBE67325037/ICF247370-SOM165486-5823pnh0a2gk00000000/SIG-20250630_12472p50.jpeg", "SIG-20250630_12472p50.jpeg")</f>
        <v>SIG-20250630_12472p50.jpeg</v>
      </c>
      <c r="Q1116" s="3" t="str">
        <f>HYPERLINK("https://www.google.com/maps/place/8.8778589%2C-12.0498153", "8.8778589,-12.0498153")</f>
        <v>8.8778589,-12.0498153</v>
      </c>
    </row>
    <row r="1117" ht="15.75" customHeight="1">
      <c r="A1117" s="1" t="s">
        <v>2946</v>
      </c>
      <c r="B1117" s="1" t="s">
        <v>18</v>
      </c>
      <c r="C1117" s="1" t="s">
        <v>2945</v>
      </c>
      <c r="D1117" s="1" t="s">
        <v>2945</v>
      </c>
      <c r="E1117" s="2">
        <v>45838.0</v>
      </c>
      <c r="F1117" s="1" t="s">
        <v>68</v>
      </c>
      <c r="G1117" s="1" t="s">
        <v>69</v>
      </c>
      <c r="H1117" s="1" t="s">
        <v>70</v>
      </c>
      <c r="I1117" s="1">
        <v>200.0</v>
      </c>
      <c r="J1117" s="1" t="s">
        <v>24</v>
      </c>
      <c r="K1117" s="1">
        <v>200.0</v>
      </c>
      <c r="L1117" s="1">
        <v>100.0</v>
      </c>
      <c r="M1117" s="1">
        <v>100.0</v>
      </c>
      <c r="N1117" s="1">
        <v>100.0</v>
      </c>
      <c r="O1117" s="1" t="s">
        <v>2234</v>
      </c>
      <c r="P1117" s="3" t="str">
        <f>HYPERLINK("https://icf.clappia.com/app/SOM165486/submission/ODF10200783/ICF247370-SOM165486-52hb7fg77kgm00000000/SIG-20250630_1247bjh5g.jpeg", "SIG-20250630_1247bjh5g.jpeg")</f>
        <v>SIG-20250630_1247bjh5g.jpeg</v>
      </c>
      <c r="Q1117" s="3" t="str">
        <f>HYPERLINK("https://www.google.com/maps/place/8.877495%2C-12.1082183", "8.877495,-12.1082183")</f>
        <v>8.877495,-12.1082183</v>
      </c>
    </row>
    <row r="1118" ht="15.75" customHeight="1">
      <c r="A1118" s="1" t="s">
        <v>2947</v>
      </c>
      <c r="B1118" s="1" t="s">
        <v>18</v>
      </c>
      <c r="C1118" s="1" t="s">
        <v>2948</v>
      </c>
      <c r="D1118" s="1" t="s">
        <v>2948</v>
      </c>
      <c r="E1118" s="2">
        <v>45838.0</v>
      </c>
      <c r="F1118" s="1" t="s">
        <v>68</v>
      </c>
      <c r="G1118" s="1" t="s">
        <v>69</v>
      </c>
      <c r="H1118" s="1" t="s">
        <v>70</v>
      </c>
      <c r="I1118" s="1">
        <v>150.0</v>
      </c>
      <c r="J1118" s="1" t="s">
        <v>24</v>
      </c>
      <c r="K1118" s="1">
        <v>150.0</v>
      </c>
      <c r="L1118" s="1">
        <v>140.0</v>
      </c>
      <c r="M1118" s="1">
        <v>10.0</v>
      </c>
      <c r="N1118" s="1">
        <v>10.0</v>
      </c>
      <c r="O1118" s="1" t="s">
        <v>1932</v>
      </c>
      <c r="P1118" s="3" t="str">
        <f>HYPERLINK("https://icf.clappia.com/app/SOM165486/submission/HET02859170/ICF247370-SOM165486-8p67532gijc40000000/SIG-20250630_124519db3e.jpeg", "SIG-20250630_124519db3e.jpeg")</f>
        <v>SIG-20250630_124519db3e.jpeg</v>
      </c>
      <c r="Q1118" s="3" t="str">
        <f>HYPERLINK("https://www.google.com/maps/place/8.8769683%2C-12.10781", "8.8769683,-12.10781")</f>
        <v>8.8769683,-12.10781</v>
      </c>
    </row>
    <row r="1119" ht="15.75" customHeight="1">
      <c r="A1119" s="1" t="s">
        <v>2949</v>
      </c>
      <c r="B1119" s="1" t="s">
        <v>18</v>
      </c>
      <c r="C1119" s="1" t="s">
        <v>2950</v>
      </c>
      <c r="D1119" s="1" t="s">
        <v>2951</v>
      </c>
      <c r="E1119" s="2">
        <v>45838.0</v>
      </c>
      <c r="F1119" s="1" t="s">
        <v>68</v>
      </c>
      <c r="G1119" s="1" t="s">
        <v>83</v>
      </c>
      <c r="H1119" s="1" t="s">
        <v>2595</v>
      </c>
      <c r="I1119" s="1">
        <v>200.0</v>
      </c>
      <c r="J1119" s="1">
        <v>100.0</v>
      </c>
      <c r="K1119" s="1">
        <v>300.0</v>
      </c>
      <c r="L1119" s="1">
        <v>297.0</v>
      </c>
      <c r="M1119" s="1">
        <v>3.0</v>
      </c>
      <c r="N1119" s="1">
        <v>3.0</v>
      </c>
      <c r="O1119" s="1" t="s">
        <v>2596</v>
      </c>
      <c r="P1119" s="3" t="str">
        <f>HYPERLINK("https://icf.clappia.com/app/SOM165486/submission/RDT34356920/ICF247370-SOM165486-5h6f3gd7d4ki00000000/SIG-20250630_123712jnb.jpeg", "SIG-20250630_123712jnb.jpeg")</f>
        <v>SIG-20250630_123712jnb.jpeg</v>
      </c>
    </row>
    <row r="1120" ht="15.75" customHeight="1">
      <c r="A1120" s="1" t="s">
        <v>2952</v>
      </c>
      <c r="B1120" s="1" t="s">
        <v>18</v>
      </c>
      <c r="C1120" s="1" t="s">
        <v>2953</v>
      </c>
      <c r="D1120" s="1" t="s">
        <v>2953</v>
      </c>
      <c r="E1120" s="2">
        <v>45838.0</v>
      </c>
      <c r="F1120" s="1" t="s">
        <v>21</v>
      </c>
      <c r="G1120" s="1" t="s">
        <v>77</v>
      </c>
      <c r="H1120" s="1" t="s">
        <v>2954</v>
      </c>
      <c r="I1120" s="1">
        <v>169.0</v>
      </c>
      <c r="J1120" s="1" t="s">
        <v>24</v>
      </c>
      <c r="K1120" s="1">
        <v>169.0</v>
      </c>
      <c r="L1120" s="1">
        <v>169.0</v>
      </c>
      <c r="M1120" s="1" t="s">
        <v>24</v>
      </c>
      <c r="N1120" s="1" t="s">
        <v>24</v>
      </c>
      <c r="O1120" s="1" t="s">
        <v>2471</v>
      </c>
      <c r="P1120" s="3" t="str">
        <f>HYPERLINK("https://icf.clappia.com/app/SOM165486/submission/AYG18298354/ICF247370-SOM165486-2b90an96n93fg0000000/SIG-20250630_12381gadd.jpeg", "SIG-20250630_12381gadd.jpeg")</f>
        <v>SIG-20250630_12381gadd.jpeg</v>
      </c>
      <c r="Q1120" s="3" t="str">
        <f>HYPERLINK("https://www.google.com/maps/place/7.936955%2C-11.7495167", "7.936955,-11.7495167")</f>
        <v>7.936955,-11.7495167</v>
      </c>
    </row>
    <row r="1121" ht="15.75" customHeight="1">
      <c r="A1121" s="1" t="s">
        <v>2955</v>
      </c>
      <c r="B1121" s="1" t="s">
        <v>18</v>
      </c>
      <c r="C1121" s="1" t="s">
        <v>2953</v>
      </c>
      <c r="D1121" s="1" t="s">
        <v>2953</v>
      </c>
      <c r="E1121" s="2">
        <v>45838.0</v>
      </c>
      <c r="F1121" s="1" t="s">
        <v>21</v>
      </c>
      <c r="G1121" s="1" t="s">
        <v>331</v>
      </c>
      <c r="H1121" s="1" t="s">
        <v>1322</v>
      </c>
      <c r="I1121" s="1">
        <v>357.0</v>
      </c>
      <c r="J1121" s="1" t="s">
        <v>24</v>
      </c>
      <c r="K1121" s="1">
        <v>357.0</v>
      </c>
      <c r="L1121" s="1">
        <v>357.0</v>
      </c>
      <c r="M1121" s="1" t="s">
        <v>24</v>
      </c>
      <c r="N1121" s="1" t="s">
        <v>24</v>
      </c>
      <c r="O1121" s="1" t="s">
        <v>2156</v>
      </c>
      <c r="P1121" s="3" t="str">
        <f>HYPERLINK("https://icf.clappia.com/app/SOM165486/submission/SIH99503342/ICF247370-SOM165486-2h681kmbk48800000000/SIG-20250630_124010n6kg.jpeg", "SIG-20250630_124010n6kg.jpeg")</f>
        <v>SIG-20250630_124010n6kg.jpeg</v>
      </c>
      <c r="Q1121" s="3" t="str">
        <f>HYPERLINK("https://www.google.com/maps/place/7.765025%2C-11.4729833", "7.765025,-11.4729833")</f>
        <v>7.765025,-11.4729833</v>
      </c>
    </row>
    <row r="1122" ht="15.75" customHeight="1">
      <c r="A1122" s="1" t="s">
        <v>2956</v>
      </c>
      <c r="B1122" s="1" t="s">
        <v>18</v>
      </c>
      <c r="C1122" s="1" t="s">
        <v>2950</v>
      </c>
      <c r="D1122" s="1" t="s">
        <v>2950</v>
      </c>
      <c r="E1122" s="2">
        <v>45838.0</v>
      </c>
      <c r="F1122" s="1" t="s">
        <v>21</v>
      </c>
      <c r="G1122" s="1" t="s">
        <v>58</v>
      </c>
      <c r="H1122" s="1" t="s">
        <v>152</v>
      </c>
      <c r="I1122" s="1">
        <v>358.0</v>
      </c>
      <c r="J1122" s="1" t="s">
        <v>24</v>
      </c>
      <c r="K1122" s="1">
        <v>358.0</v>
      </c>
      <c r="L1122" s="1">
        <v>269.0</v>
      </c>
      <c r="M1122" s="1">
        <v>89.0</v>
      </c>
      <c r="N1122" s="1">
        <v>89.0</v>
      </c>
      <c r="O1122" s="1" t="s">
        <v>2957</v>
      </c>
      <c r="P1122" s="3" t="str">
        <f>HYPERLINK("https://icf.clappia.com/app/SOM165486/submission/RAL11803033/ICF247370-SOM165486-2gkbb61b45mc00000000/SIG-20250630_1236le78f.jpeg", "SIG-20250630_1236le78f.jpeg")</f>
        <v>SIG-20250630_1236le78f.jpeg</v>
      </c>
      <c r="Q1122" s="3" t="str">
        <f>HYPERLINK("https://www.google.com/maps/place/7.8637302%2C-11.7066515", "7.8637302,-11.7066515")</f>
        <v>7.8637302,-11.7066515</v>
      </c>
    </row>
    <row r="1123" ht="15.75" customHeight="1">
      <c r="A1123" s="1" t="s">
        <v>2958</v>
      </c>
      <c r="B1123" s="1" t="s">
        <v>18</v>
      </c>
      <c r="C1123" s="1" t="s">
        <v>2959</v>
      </c>
      <c r="D1123" s="1" t="s">
        <v>2960</v>
      </c>
      <c r="E1123" s="2">
        <v>45838.0</v>
      </c>
      <c r="F1123" s="1" t="s">
        <v>21</v>
      </c>
      <c r="G1123" s="1" t="s">
        <v>331</v>
      </c>
      <c r="H1123" s="1" t="s">
        <v>1322</v>
      </c>
      <c r="I1123" s="1">
        <v>357.0</v>
      </c>
      <c r="J1123" s="1" t="s">
        <v>24</v>
      </c>
      <c r="K1123" s="1">
        <v>357.0</v>
      </c>
      <c r="L1123" s="1">
        <v>357.0</v>
      </c>
      <c r="M1123" s="1" t="s">
        <v>24</v>
      </c>
      <c r="N1123" s="1" t="s">
        <v>24</v>
      </c>
      <c r="O1123" s="1" t="s">
        <v>2156</v>
      </c>
      <c r="P1123" s="3" t="str">
        <f>HYPERLINK("https://icf.clappia.com/app/SOM165486/submission/ZSB76491357/ICF247370-SOM165486-668n2a1bcle000000000/SIG-20250630_1110a4812.jpeg", "SIG-20250630_1110a4812.jpeg")</f>
        <v>SIG-20250630_1110a4812.jpeg</v>
      </c>
      <c r="Q1123" s="3" t="str">
        <f>HYPERLINK("https://www.google.com/maps/place/7.7647817%2C-11.4730483", "7.7647817,-11.4730483")</f>
        <v>7.7647817,-11.4730483</v>
      </c>
    </row>
    <row r="1124" ht="15.75" customHeight="1">
      <c r="A1124" s="1" t="s">
        <v>2961</v>
      </c>
      <c r="B1124" s="1" t="s">
        <v>18</v>
      </c>
      <c r="C1124" s="1" t="s">
        <v>2962</v>
      </c>
      <c r="D1124" s="1" t="s">
        <v>2963</v>
      </c>
      <c r="E1124" s="2">
        <v>45838.0</v>
      </c>
      <c r="F1124" s="1" t="s">
        <v>21</v>
      </c>
      <c r="G1124" s="1" t="s">
        <v>35</v>
      </c>
      <c r="H1124" s="1" t="s">
        <v>972</v>
      </c>
      <c r="I1124" s="1">
        <v>100.0</v>
      </c>
      <c r="J1124" s="1" t="s">
        <v>24</v>
      </c>
      <c r="K1124" s="1">
        <v>100.0</v>
      </c>
      <c r="L1124" s="1">
        <v>98.0</v>
      </c>
      <c r="M1124" s="1">
        <v>2.0</v>
      </c>
      <c r="N1124" s="1">
        <v>2.0</v>
      </c>
      <c r="O1124" s="1" t="s">
        <v>2964</v>
      </c>
      <c r="P1124" s="3" t="str">
        <f>HYPERLINK("https://icf.clappia.com/app/SOM165486/submission/LJQ24469402/ICF247370-SOM165486-4figji59ooli00000000/SIG-20250630_122195oo1.jpeg", "SIG-20250630_122195oo1.jpeg")</f>
        <v>SIG-20250630_122195oo1.jpeg</v>
      </c>
      <c r="Q1124" s="3" t="str">
        <f>HYPERLINK("https://www.google.com/maps/place/8.17793%2C-11.6882083", "8.17793,-11.6882083")</f>
        <v>8.17793,-11.6882083</v>
      </c>
    </row>
    <row r="1125" ht="15.75" customHeight="1">
      <c r="A1125" s="1" t="s">
        <v>2965</v>
      </c>
      <c r="B1125" s="1" t="s">
        <v>18</v>
      </c>
      <c r="C1125" s="1" t="s">
        <v>2966</v>
      </c>
      <c r="D1125" s="1" t="s">
        <v>2966</v>
      </c>
      <c r="E1125" s="2">
        <v>45838.0</v>
      </c>
      <c r="F1125" s="1" t="s">
        <v>68</v>
      </c>
      <c r="G1125" s="1" t="s">
        <v>83</v>
      </c>
      <c r="H1125" s="1" t="s">
        <v>1142</v>
      </c>
      <c r="I1125" s="1">
        <v>300.0</v>
      </c>
      <c r="J1125" s="1">
        <v>300242.0</v>
      </c>
      <c r="K1125" s="1">
        <v>300542.0</v>
      </c>
      <c r="L1125" s="1">
        <v>260.0</v>
      </c>
      <c r="M1125" s="1">
        <v>300282.0</v>
      </c>
      <c r="N1125" s="1">
        <v>40.0</v>
      </c>
      <c r="O1125" s="1" t="s">
        <v>2967</v>
      </c>
      <c r="P1125" s="3" t="str">
        <f>HYPERLINK("https://icf.clappia.com/app/SOM165486/submission/NFG44905220/ICF247370-SOM165486-37lhph8b31e000000000/SIG-20250630_121913af33.jpeg", "SIG-20250630_121913af33.jpeg")</f>
        <v>SIG-20250630_121913af33.jpeg</v>
      </c>
      <c r="Q1125" s="3" t="str">
        <f>HYPERLINK("https://www.google.com/maps/place/8.8111324%2C-12.0416613", "8.8111324,-12.0416613")</f>
        <v>8.8111324,-12.0416613</v>
      </c>
    </row>
    <row r="1126" ht="15.75" customHeight="1">
      <c r="A1126" s="1" t="s">
        <v>2968</v>
      </c>
      <c r="B1126" s="1" t="s">
        <v>283</v>
      </c>
      <c r="C1126" s="1" t="s">
        <v>2959</v>
      </c>
      <c r="D1126" s="1" t="s">
        <v>2959</v>
      </c>
      <c r="E1126" s="2">
        <v>45838.0</v>
      </c>
      <c r="F1126" s="1" t="s">
        <v>68</v>
      </c>
      <c r="G1126" s="1" t="s">
        <v>286</v>
      </c>
      <c r="H1126" s="1" t="s">
        <v>320</v>
      </c>
      <c r="I1126" s="1">
        <v>200.0</v>
      </c>
      <c r="J1126" s="1" t="s">
        <v>24</v>
      </c>
      <c r="K1126" s="1">
        <v>200.0</v>
      </c>
      <c r="L1126" s="1">
        <v>165.0</v>
      </c>
      <c r="M1126" s="1">
        <v>35.0</v>
      </c>
      <c r="N1126" s="1">
        <v>35.0</v>
      </c>
      <c r="O1126" s="1" t="s">
        <v>707</v>
      </c>
      <c r="P1126" s="3" t="str">
        <f>HYPERLINK("https://icf.clappia.com/app/SOM165486/submission/KQS28472881/ICF247370-SOM165486-1f4c794nk84p60000000/SIG-20250630_1146mfcgm.jpeg", "SIG-20250630_1146mfcgm.jpeg")</f>
        <v>SIG-20250630_1146mfcgm.jpeg</v>
      </c>
      <c r="Q1126" s="3" t="str">
        <f>HYPERLINK("https://www.google.com/maps/place/9.0122133%2C-12.1427267", "9.0122133,-12.1427267")</f>
        <v>9.0122133,-12.1427267</v>
      </c>
    </row>
    <row r="1127" ht="15.75" customHeight="1">
      <c r="A1127" s="1" t="s">
        <v>2969</v>
      </c>
      <c r="B1127" s="1" t="s">
        <v>18</v>
      </c>
      <c r="C1127" s="1" t="s">
        <v>2970</v>
      </c>
      <c r="D1127" s="1" t="s">
        <v>2970</v>
      </c>
      <c r="E1127" s="2">
        <v>45838.0</v>
      </c>
      <c r="F1127" s="1" t="s">
        <v>68</v>
      </c>
      <c r="G1127" s="1" t="s">
        <v>672</v>
      </c>
      <c r="H1127" s="1" t="s">
        <v>1459</v>
      </c>
      <c r="I1127" s="1">
        <v>165.0</v>
      </c>
      <c r="J1127" s="1" t="s">
        <v>24</v>
      </c>
      <c r="K1127" s="1">
        <v>165.0</v>
      </c>
      <c r="L1127" s="1">
        <v>149.0</v>
      </c>
      <c r="M1127" s="1">
        <v>16.0</v>
      </c>
      <c r="N1127" s="1">
        <v>16.0</v>
      </c>
      <c r="O1127" s="1" t="s">
        <v>2971</v>
      </c>
      <c r="P1127" s="3" t="str">
        <f>HYPERLINK("https://icf.clappia.com/app/SOM165486/submission/OWF99499295/ICF247370-SOM165486-5i5l1m1n8bck00000000/SIG-20250630_121118fb65.jpeg", "SIG-20250630_121118fb65.jpeg")</f>
        <v>SIG-20250630_121118fb65.jpeg</v>
      </c>
      <c r="Q1127" s="3" t="str">
        <f>HYPERLINK("https://www.google.com/maps/place/9.0178717%2C-12.0441833", "9.0178717,-12.0441833")</f>
        <v>9.0178717,-12.0441833</v>
      </c>
    </row>
    <row r="1128" ht="15.75" customHeight="1">
      <c r="A1128" s="1" t="s">
        <v>2972</v>
      </c>
      <c r="B1128" s="1" t="s">
        <v>18</v>
      </c>
      <c r="C1128" s="1" t="s">
        <v>2973</v>
      </c>
      <c r="D1128" s="1" t="s">
        <v>2973</v>
      </c>
      <c r="E1128" s="2">
        <v>45838.0</v>
      </c>
      <c r="F1128" s="1" t="s">
        <v>21</v>
      </c>
      <c r="G1128" s="1" t="s">
        <v>58</v>
      </c>
      <c r="H1128" s="1" t="s">
        <v>152</v>
      </c>
      <c r="I1128" s="1">
        <v>154.0</v>
      </c>
      <c r="J1128" s="1" t="s">
        <v>24</v>
      </c>
      <c r="K1128" s="1">
        <v>154.0</v>
      </c>
      <c r="L1128" s="1">
        <v>154.0</v>
      </c>
      <c r="M1128" s="1" t="s">
        <v>24</v>
      </c>
      <c r="N1128" s="1" t="s">
        <v>24</v>
      </c>
      <c r="O1128" s="1" t="s">
        <v>153</v>
      </c>
      <c r="P1128" s="3" t="str">
        <f>HYPERLINK("https://icf.clappia.com/app/SOM165486/submission/EHM07257899/ICF247370-SOM165486-1l3kecajai70e0000000/SIG-20250630_09547gabk.jpeg", "SIG-20250630_09547gabk.jpeg")</f>
        <v>SIG-20250630_09547gabk.jpeg</v>
      </c>
      <c r="Q1128" s="3" t="str">
        <f>HYPERLINK("https://www.google.com/maps/place/7.8657383%2C-11.7067083", "7.8657383,-11.7067083")</f>
        <v>7.8657383,-11.7067083</v>
      </c>
    </row>
    <row r="1129" ht="15.75" customHeight="1">
      <c r="A1129" s="1" t="s">
        <v>2974</v>
      </c>
      <c r="B1129" s="1" t="s">
        <v>18</v>
      </c>
      <c r="C1129" s="1" t="s">
        <v>2975</v>
      </c>
      <c r="D1129" s="1" t="s">
        <v>2975</v>
      </c>
      <c r="E1129" s="2">
        <v>45838.0</v>
      </c>
      <c r="F1129" s="1" t="s">
        <v>21</v>
      </c>
      <c r="G1129" s="1" t="s">
        <v>1331</v>
      </c>
      <c r="H1129" s="1" t="s">
        <v>1812</v>
      </c>
      <c r="I1129" s="1">
        <v>200.0</v>
      </c>
      <c r="J1129" s="1" t="s">
        <v>24</v>
      </c>
      <c r="K1129" s="1">
        <v>200.0</v>
      </c>
      <c r="L1129" s="1">
        <v>112.0</v>
      </c>
      <c r="M1129" s="1">
        <v>88.0</v>
      </c>
      <c r="N1129" s="1">
        <v>20.0</v>
      </c>
      <c r="O1129" s="1" t="s">
        <v>2976</v>
      </c>
      <c r="P1129" s="3" t="str">
        <f>HYPERLINK("https://icf.clappia.com/app/SOM165486/submission/LFI56671635/ICF247370-SOM165486-1gf2fi48123360000000/SIG-20250630_120316nol0.jpeg", "SIG-20250630_120316nol0.jpeg")</f>
        <v>SIG-20250630_120316nol0.jpeg</v>
      </c>
      <c r="Q1129" s="3" t="str">
        <f>HYPERLINK("https://www.google.com/maps/place/8.15523%2C-11.5999567", "8.15523,-11.5999567")</f>
        <v>8.15523,-11.5999567</v>
      </c>
    </row>
    <row r="1130" ht="15.75" customHeight="1">
      <c r="A1130" s="1" t="s">
        <v>2977</v>
      </c>
      <c r="B1130" s="1" t="s">
        <v>18</v>
      </c>
      <c r="C1130" s="1" t="s">
        <v>2978</v>
      </c>
      <c r="D1130" s="1" t="s">
        <v>2978</v>
      </c>
      <c r="E1130" s="2">
        <v>45838.0</v>
      </c>
      <c r="F1130" s="1" t="s">
        <v>68</v>
      </c>
      <c r="G1130" s="1" t="s">
        <v>672</v>
      </c>
      <c r="H1130" s="1" t="s">
        <v>1862</v>
      </c>
      <c r="I1130" s="1">
        <v>150.0</v>
      </c>
      <c r="J1130" s="1" t="s">
        <v>24</v>
      </c>
      <c r="K1130" s="1">
        <v>150.0</v>
      </c>
      <c r="L1130" s="1">
        <v>150.0</v>
      </c>
      <c r="M1130" s="1" t="s">
        <v>24</v>
      </c>
      <c r="N1130" s="1" t="s">
        <v>24</v>
      </c>
      <c r="O1130" s="1" t="s">
        <v>2601</v>
      </c>
      <c r="P1130" s="3" t="str">
        <f>HYPERLINK("https://icf.clappia.com/app/SOM165486/submission/YRC79302673/ICF247370-SOM165486-30gfnfe9kgb000000000/SIG-20250630_1207bi04l.jpeg", "SIG-20250630_1207bi04l.jpeg")</f>
        <v>SIG-20250630_1207bi04l.jpeg</v>
      </c>
      <c r="Q1130" s="3" t="str">
        <f>HYPERLINK("https://www.google.com/maps/place/8.9861333%2C-11.97971", "8.9861333,-11.97971")</f>
        <v>8.9861333,-11.97971</v>
      </c>
    </row>
    <row r="1131" ht="15.75" customHeight="1">
      <c r="A1131" s="1" t="s">
        <v>2979</v>
      </c>
      <c r="B1131" s="1" t="s">
        <v>18</v>
      </c>
      <c r="C1131" s="1" t="s">
        <v>2978</v>
      </c>
      <c r="D1131" s="1" t="s">
        <v>2978</v>
      </c>
      <c r="E1131" s="2">
        <v>45838.0</v>
      </c>
      <c r="F1131" s="1" t="s">
        <v>21</v>
      </c>
      <c r="G1131" s="1" t="s">
        <v>1331</v>
      </c>
      <c r="H1131" s="1" t="s">
        <v>1332</v>
      </c>
      <c r="I1131" s="1">
        <v>178.0</v>
      </c>
      <c r="J1131" s="1" t="s">
        <v>24</v>
      </c>
      <c r="K1131" s="1">
        <v>178.0</v>
      </c>
      <c r="L1131" s="1">
        <v>158.0</v>
      </c>
      <c r="M1131" s="1">
        <v>20.0</v>
      </c>
      <c r="N1131" s="1">
        <v>20.0</v>
      </c>
      <c r="O1131" s="1" t="s">
        <v>1333</v>
      </c>
      <c r="P1131" s="3" t="str">
        <f>HYPERLINK("https://icf.clappia.com/app/SOM165486/submission/XAI79543587/ICF247370-SOM165486-1he4k38eecg000000000/SIG-20250630_1206j54m9.jpeg", "SIG-20250630_1206j54m9.jpeg")</f>
        <v>SIG-20250630_1206j54m9.jpeg</v>
      </c>
      <c r="Q1131" s="3" t="str">
        <f>HYPERLINK("https://www.google.com/maps/place/8.127165%2C-11.652855", "8.127165,-11.652855")</f>
        <v>8.127165,-11.652855</v>
      </c>
    </row>
    <row r="1132" ht="15.75" customHeight="1">
      <c r="A1132" s="1" t="s">
        <v>2980</v>
      </c>
      <c r="B1132" s="1" t="s">
        <v>18</v>
      </c>
      <c r="C1132" s="1" t="s">
        <v>2981</v>
      </c>
      <c r="D1132" s="1" t="s">
        <v>2981</v>
      </c>
      <c r="E1132" s="2">
        <v>45838.0</v>
      </c>
      <c r="F1132" s="1" t="s">
        <v>21</v>
      </c>
      <c r="G1132" s="1" t="s">
        <v>58</v>
      </c>
      <c r="H1132" s="1" t="s">
        <v>152</v>
      </c>
      <c r="I1132" s="1">
        <v>260.0</v>
      </c>
      <c r="J1132" s="1" t="s">
        <v>24</v>
      </c>
      <c r="K1132" s="1">
        <v>260.0</v>
      </c>
      <c r="L1132" s="1">
        <v>210.0</v>
      </c>
      <c r="M1132" s="1">
        <v>50.0</v>
      </c>
      <c r="N1132" s="1">
        <v>50.0</v>
      </c>
      <c r="O1132" s="1" t="s">
        <v>1225</v>
      </c>
      <c r="P1132" s="3" t="str">
        <f>HYPERLINK("https://icf.clappia.com/app/SOM165486/submission/WGN13851465/ICF247370-SOM165486-66n6mjdedjg000000000/SIG-20250630_1204pfp42.jpeg", "SIG-20250630_1204pfp42.jpeg")</f>
        <v>SIG-20250630_1204pfp42.jpeg</v>
      </c>
      <c r="Q1132" s="3" t="str">
        <f>HYPERLINK("https://www.google.com/maps/place/7.865185%2C-11.7043217", "7.865185,-11.7043217")</f>
        <v>7.865185,-11.7043217</v>
      </c>
    </row>
    <row r="1133" ht="15.75" customHeight="1">
      <c r="A1133" s="1" t="s">
        <v>2982</v>
      </c>
      <c r="B1133" s="1" t="s">
        <v>18</v>
      </c>
      <c r="C1133" s="1" t="s">
        <v>2983</v>
      </c>
      <c r="D1133" s="1" t="s">
        <v>2983</v>
      </c>
      <c r="E1133" s="2">
        <v>45838.0</v>
      </c>
      <c r="F1133" s="1" t="s">
        <v>68</v>
      </c>
      <c r="G1133" s="1" t="s">
        <v>597</v>
      </c>
      <c r="H1133" s="1" t="s">
        <v>598</v>
      </c>
      <c r="I1133" s="1">
        <v>100.0</v>
      </c>
      <c r="J1133" s="1">
        <v>100.0</v>
      </c>
      <c r="K1133" s="1">
        <v>200.0</v>
      </c>
      <c r="L1133" s="1">
        <v>133.0</v>
      </c>
      <c r="M1133" s="1">
        <v>67.0</v>
      </c>
      <c r="N1133" s="1">
        <v>67.0</v>
      </c>
      <c r="O1133" s="1" t="s">
        <v>2984</v>
      </c>
      <c r="P1133" s="3" t="str">
        <f>HYPERLINK("https://icf.clappia.com/app/SOM165486/submission/DNT23584428/ICF247370-SOM165486-4jjhk2alpda400000000/SIG-20250630_1154loice.jpeg", "SIG-20250630_1154loice.jpeg")</f>
        <v>SIG-20250630_1154loice.jpeg</v>
      </c>
      <c r="Q1133" s="3" t="str">
        <f>HYPERLINK("https://www.google.com/maps/place/8.663395%2C-12.2130617", "8.663395,-12.2130617")</f>
        <v>8.663395,-12.2130617</v>
      </c>
    </row>
    <row r="1134" ht="15.75" customHeight="1">
      <c r="A1134" s="1" t="s">
        <v>2985</v>
      </c>
      <c r="B1134" s="1" t="s">
        <v>18</v>
      </c>
      <c r="C1134" s="1" t="s">
        <v>2986</v>
      </c>
      <c r="D1134" s="1" t="s">
        <v>2986</v>
      </c>
      <c r="E1134" s="2">
        <v>45838.0</v>
      </c>
      <c r="F1134" s="1" t="s">
        <v>21</v>
      </c>
      <c r="G1134" s="1" t="s">
        <v>275</v>
      </c>
      <c r="H1134" s="1" t="s">
        <v>1220</v>
      </c>
      <c r="I1134" s="1">
        <v>250.0</v>
      </c>
      <c r="J1134" s="1" t="s">
        <v>24</v>
      </c>
      <c r="K1134" s="1">
        <v>250.0</v>
      </c>
      <c r="L1134" s="1">
        <v>130.0</v>
      </c>
      <c r="M1134" s="1">
        <v>120.0</v>
      </c>
      <c r="N1134" s="1">
        <v>120.0</v>
      </c>
      <c r="O1134" s="1" t="s">
        <v>2341</v>
      </c>
      <c r="P1134" s="3" t="str">
        <f>HYPERLINK("https://icf.clappia.com/app/SOM165486/submission/TJY29094201/ICF247370-SOM165486-4k1d5bk9blcg00000000/SIG-20250630_115810klgh.jpeg", "SIG-20250630_115810klgh.jpeg")</f>
        <v>SIG-20250630_115810klgh.jpeg</v>
      </c>
      <c r="Q1134" s="3" t="str">
        <f>HYPERLINK("https://www.google.com/maps/place/7.6486%2C-11.9541467", "7.6486,-11.9541467")</f>
        <v>7.6486,-11.9541467</v>
      </c>
    </row>
    <row r="1135" ht="15.75" customHeight="1">
      <c r="A1135" s="1" t="s">
        <v>2987</v>
      </c>
      <c r="B1135" s="1" t="s">
        <v>18</v>
      </c>
      <c r="C1135" s="1" t="s">
        <v>2988</v>
      </c>
      <c r="D1135" s="1" t="s">
        <v>2986</v>
      </c>
      <c r="E1135" s="2">
        <v>45838.0</v>
      </c>
      <c r="F1135" s="1" t="s">
        <v>68</v>
      </c>
      <c r="G1135" s="1" t="s">
        <v>83</v>
      </c>
      <c r="H1135" s="1" t="s">
        <v>431</v>
      </c>
      <c r="I1135" s="1">
        <v>250.0</v>
      </c>
      <c r="J1135" s="1" t="s">
        <v>24</v>
      </c>
      <c r="K1135" s="1">
        <v>250.0</v>
      </c>
      <c r="L1135" s="1">
        <v>247.0</v>
      </c>
      <c r="M1135" s="1">
        <v>3.0</v>
      </c>
      <c r="N1135" s="1">
        <v>3.0</v>
      </c>
      <c r="O1135" s="1" t="s">
        <v>432</v>
      </c>
      <c r="P1135" s="3" t="str">
        <f>HYPERLINK("https://icf.clappia.com/app/SOM165486/submission/LJP56690155/ICF247370-SOM165486-je1p2ihogkn20000000/SIG-20250630_1157o76hp.jpeg", "SIG-20250630_1157o76hp.jpeg")</f>
        <v>SIG-20250630_1157o76hp.jpeg</v>
      </c>
      <c r="Q1135" s="3" t="str">
        <f>HYPERLINK("https://www.google.com/maps/place/8.7364633%2C-12.08556", "8.7364633,-12.08556")</f>
        <v>8.7364633,-12.08556</v>
      </c>
    </row>
    <row r="1136" ht="15.75" customHeight="1">
      <c r="A1136" s="1" t="s">
        <v>2989</v>
      </c>
      <c r="B1136" s="1" t="s">
        <v>18</v>
      </c>
      <c r="C1136" s="1" t="s">
        <v>2990</v>
      </c>
      <c r="D1136" s="1" t="s">
        <v>2990</v>
      </c>
      <c r="E1136" s="2">
        <v>45838.0</v>
      </c>
      <c r="F1136" s="1" t="s">
        <v>21</v>
      </c>
      <c r="G1136" s="1" t="s">
        <v>77</v>
      </c>
      <c r="H1136" s="1" t="s">
        <v>568</v>
      </c>
      <c r="I1136" s="1">
        <v>100.0</v>
      </c>
      <c r="J1136" s="1" t="s">
        <v>24</v>
      </c>
      <c r="K1136" s="1">
        <v>100.0</v>
      </c>
      <c r="L1136" s="1">
        <v>100.0</v>
      </c>
      <c r="M1136" s="1" t="s">
        <v>24</v>
      </c>
      <c r="N1136" s="1" t="s">
        <v>24</v>
      </c>
      <c r="O1136" s="1" t="s">
        <v>569</v>
      </c>
      <c r="P1136" s="3" t="str">
        <f>HYPERLINK("https://icf.clappia.com/app/SOM165486/submission/PWD28171361/ICF247370-SOM165486-1034do9d5a7fe0000000/SIG-20250630_114718dm0f.jpeg", "SIG-20250630_114718dm0f.jpeg")</f>
        <v>SIG-20250630_114718dm0f.jpeg</v>
      </c>
      <c r="Q1136" s="3" t="str">
        <f>HYPERLINK("https://www.google.com/maps/place/7.9642912%2C-11.7205297", "7.9642912,-11.7205297")</f>
        <v>7.9642912,-11.7205297</v>
      </c>
    </row>
    <row r="1137" ht="15.75" customHeight="1">
      <c r="A1137" s="1" t="s">
        <v>2991</v>
      </c>
      <c r="B1137" s="1" t="s">
        <v>18</v>
      </c>
      <c r="C1137" s="1" t="s">
        <v>2992</v>
      </c>
      <c r="D1137" s="1" t="s">
        <v>2992</v>
      </c>
      <c r="E1137" s="2">
        <v>45838.0</v>
      </c>
      <c r="F1137" s="1" t="s">
        <v>21</v>
      </c>
      <c r="G1137" s="1" t="s">
        <v>58</v>
      </c>
      <c r="H1137" s="1" t="s">
        <v>1548</v>
      </c>
      <c r="I1137" s="1">
        <v>192.0</v>
      </c>
      <c r="J1137" s="1" t="s">
        <v>24</v>
      </c>
      <c r="K1137" s="1">
        <v>192.0</v>
      </c>
      <c r="L1137" s="1">
        <v>149.0</v>
      </c>
      <c r="M1137" s="1">
        <v>43.0</v>
      </c>
      <c r="N1137" s="1">
        <v>43.0</v>
      </c>
      <c r="O1137" s="1" t="s">
        <v>1897</v>
      </c>
      <c r="P1137" s="3" t="str">
        <f>HYPERLINK("https://icf.clappia.com/app/SOM165486/submission/BRQ35207913/ICF247370-SOM165486-31e99a4407d000000000/SIG-20250630_113530gnn.jpeg", "SIG-20250630_113530gnn.jpeg")</f>
        <v>SIG-20250630_113530gnn.jpeg</v>
      </c>
      <c r="Q1137" s="3" t="str">
        <f>HYPERLINK("https://www.google.com/maps/place/7.9506176%2C-11.7660916", "7.9506176,-11.7660916")</f>
        <v>7.9506176,-11.7660916</v>
      </c>
    </row>
    <row r="1138" ht="15.75" customHeight="1">
      <c r="A1138" s="1" t="s">
        <v>2993</v>
      </c>
      <c r="B1138" s="1" t="s">
        <v>18</v>
      </c>
      <c r="C1138" s="1" t="s">
        <v>2994</v>
      </c>
      <c r="D1138" s="1" t="s">
        <v>2994</v>
      </c>
      <c r="E1138" s="2">
        <v>45838.0</v>
      </c>
      <c r="F1138" s="1" t="s">
        <v>21</v>
      </c>
      <c r="G1138" s="1" t="s">
        <v>58</v>
      </c>
      <c r="H1138" s="1" t="s">
        <v>1548</v>
      </c>
      <c r="I1138" s="1">
        <v>192.0</v>
      </c>
      <c r="J1138" s="1" t="s">
        <v>24</v>
      </c>
      <c r="K1138" s="1">
        <v>192.0</v>
      </c>
      <c r="L1138" s="1">
        <v>149.0</v>
      </c>
      <c r="M1138" s="1">
        <v>43.0</v>
      </c>
      <c r="N1138" s="1">
        <v>43.0</v>
      </c>
      <c r="O1138" s="1" t="s">
        <v>1897</v>
      </c>
      <c r="P1138" s="3" t="str">
        <f>HYPERLINK("https://icf.clappia.com/app/SOM165486/submission/OJW80096312/ICF247370-SOM165486-26i1eb0flppeo0000000/SIG-20250630_1133edg02.jpeg", "SIG-20250630_1133edg02.jpeg")</f>
        <v>SIG-20250630_1133edg02.jpeg</v>
      </c>
      <c r="Q1138" s="3" t="str">
        <f>HYPERLINK("https://www.google.com/maps/place/7.9517567%2C-11.76667", "7.9517567,-11.76667")</f>
        <v>7.9517567,-11.76667</v>
      </c>
    </row>
    <row r="1139" ht="15.75" customHeight="1">
      <c r="A1139" s="1" t="s">
        <v>2995</v>
      </c>
      <c r="B1139" s="1" t="s">
        <v>18</v>
      </c>
      <c r="C1139" s="1" t="s">
        <v>2996</v>
      </c>
      <c r="D1139" s="1" t="s">
        <v>2997</v>
      </c>
      <c r="E1139" s="2">
        <v>45838.0</v>
      </c>
      <c r="F1139" s="1" t="s">
        <v>21</v>
      </c>
      <c r="G1139" s="1" t="s">
        <v>781</v>
      </c>
      <c r="H1139" s="1" t="s">
        <v>1355</v>
      </c>
      <c r="I1139" s="1">
        <v>300.0</v>
      </c>
      <c r="J1139" s="1" t="s">
        <v>24</v>
      </c>
      <c r="K1139" s="1">
        <v>300.0</v>
      </c>
      <c r="L1139" s="1">
        <v>255.0</v>
      </c>
      <c r="M1139" s="1">
        <v>45.0</v>
      </c>
      <c r="N1139" s="1">
        <v>45.0</v>
      </c>
      <c r="O1139" s="1" t="s">
        <v>1356</v>
      </c>
      <c r="P1139" s="3" t="str">
        <f>HYPERLINK("https://icf.clappia.com/app/SOM165486/submission/ROI03155380/ICF247370-SOM165486-3olcl0cl192800000000/SIG-20250630_11185m6pn.jpeg", "SIG-20250630_11185m6pn.jpeg")</f>
        <v>SIG-20250630_11185m6pn.jpeg</v>
      </c>
      <c r="Q1139" s="3" t="str">
        <f>HYPERLINK("https://www.google.com/maps/place/7.856625%2C-11.543735", "7.856625,-11.543735")</f>
        <v>7.856625,-11.543735</v>
      </c>
    </row>
    <row r="1140" ht="15.75" customHeight="1">
      <c r="A1140" s="1" t="s">
        <v>2998</v>
      </c>
      <c r="B1140" s="1" t="s">
        <v>18</v>
      </c>
      <c r="C1140" s="1" t="s">
        <v>2999</v>
      </c>
      <c r="D1140" s="1" t="s">
        <v>2999</v>
      </c>
      <c r="E1140" s="2">
        <v>45838.0</v>
      </c>
      <c r="F1140" s="1" t="s">
        <v>21</v>
      </c>
      <c r="G1140" s="1" t="s">
        <v>58</v>
      </c>
      <c r="H1140" s="1" t="s">
        <v>1548</v>
      </c>
      <c r="I1140" s="1">
        <v>192.0</v>
      </c>
      <c r="J1140" s="1" t="s">
        <v>24</v>
      </c>
      <c r="K1140" s="1">
        <v>192.0</v>
      </c>
      <c r="L1140" s="1">
        <v>149.0</v>
      </c>
      <c r="M1140" s="1">
        <v>43.0</v>
      </c>
      <c r="N1140" s="1">
        <v>43.0</v>
      </c>
      <c r="O1140" s="1" t="s">
        <v>1897</v>
      </c>
      <c r="P1140" s="3" t="str">
        <f>HYPERLINK("https://icf.clappia.com/app/SOM165486/submission/IFR19483398/ICF247370-SOM165486-251hh41phmg2c0000000/SIG-20250630_1128g00ae.jpeg", "SIG-20250630_1128g00ae.jpeg")</f>
        <v>SIG-20250630_1128g00ae.jpeg</v>
      </c>
      <c r="Q1140" s="3" t="str">
        <f>HYPERLINK("https://www.google.com/maps/place/7.9506176%2C-11.7660916", "7.9506176,-11.7660916")</f>
        <v>7.9506176,-11.7660916</v>
      </c>
    </row>
    <row r="1141" ht="15.75" customHeight="1">
      <c r="A1141" s="1" t="s">
        <v>3000</v>
      </c>
      <c r="B1141" s="1" t="s">
        <v>18</v>
      </c>
      <c r="C1141" s="1" t="s">
        <v>3001</v>
      </c>
      <c r="D1141" s="1" t="s">
        <v>3001</v>
      </c>
      <c r="E1141" s="2">
        <v>45838.0</v>
      </c>
      <c r="F1141" s="1" t="s">
        <v>68</v>
      </c>
      <c r="G1141" s="1" t="s">
        <v>69</v>
      </c>
      <c r="H1141" s="1" t="s">
        <v>806</v>
      </c>
      <c r="I1141" s="1">
        <v>145.0</v>
      </c>
      <c r="J1141" s="1" t="s">
        <v>24</v>
      </c>
      <c r="K1141" s="1">
        <v>145.0</v>
      </c>
      <c r="L1141" s="1">
        <v>140.0</v>
      </c>
      <c r="M1141" s="1">
        <v>5.0</v>
      </c>
      <c r="N1141" s="1" t="s">
        <v>24</v>
      </c>
      <c r="O1141" s="1" t="s">
        <v>807</v>
      </c>
      <c r="P1141" s="3" t="str">
        <f>HYPERLINK("https://icf.clappia.com/app/SOM165486/submission/EJB73933566/ICF247370-SOM165486-4n04gebc1gb40000000/SIG-20250630_1109amm6a.jpeg", "SIG-20250630_1109amm6a.jpeg")</f>
        <v>SIG-20250630_1109amm6a.jpeg</v>
      </c>
      <c r="Q1141" s="3" t="str">
        <f>HYPERLINK("https://www.google.com/maps/place/8.8802742%2C-12.1098607", "8.8802742,-12.1098607")</f>
        <v>8.8802742,-12.1098607</v>
      </c>
    </row>
    <row r="1142" ht="15.75" customHeight="1">
      <c r="A1142" s="1" t="s">
        <v>3002</v>
      </c>
      <c r="B1142" s="1" t="s">
        <v>18</v>
      </c>
      <c r="C1142" s="1" t="s">
        <v>3003</v>
      </c>
      <c r="D1142" s="1" t="s">
        <v>3003</v>
      </c>
      <c r="E1142" s="2">
        <v>45838.0</v>
      </c>
      <c r="F1142" s="1" t="s">
        <v>68</v>
      </c>
      <c r="G1142" s="1" t="s">
        <v>69</v>
      </c>
      <c r="H1142" s="1" t="s">
        <v>806</v>
      </c>
      <c r="I1142" s="1">
        <v>144.0</v>
      </c>
      <c r="J1142" s="1" t="s">
        <v>24</v>
      </c>
      <c r="K1142" s="1">
        <v>144.0</v>
      </c>
      <c r="L1142" s="1">
        <v>140.0</v>
      </c>
      <c r="M1142" s="1">
        <v>4.0</v>
      </c>
      <c r="N1142" s="1" t="s">
        <v>24</v>
      </c>
      <c r="O1142" s="1" t="s">
        <v>1627</v>
      </c>
      <c r="P1142" s="3" t="str">
        <f>HYPERLINK("https://icf.clappia.com/app/SOM165486/submission/YMY78411421/ICF247370-SOM165486-547ec9ggndgg00000000/SIG-20250630_1112770j.jpeg", "SIG-20250630_1112770j.jpeg")</f>
        <v>SIG-20250630_1112770j.jpeg</v>
      </c>
      <c r="Q1142" s="3" t="str">
        <f>HYPERLINK("https://www.google.com/maps/place/8.8863368%2C-12.3204467", "8.8863368,-12.3204467")</f>
        <v>8.8863368,-12.3204467</v>
      </c>
    </row>
    <row r="1143" ht="15.75" customHeight="1">
      <c r="A1143" s="1" t="s">
        <v>3004</v>
      </c>
      <c r="B1143" s="1" t="s">
        <v>18</v>
      </c>
      <c r="C1143" s="1" t="s">
        <v>3005</v>
      </c>
      <c r="D1143" s="1" t="s">
        <v>3006</v>
      </c>
      <c r="E1143" s="2">
        <v>45838.0</v>
      </c>
      <c r="F1143" s="1" t="s">
        <v>21</v>
      </c>
      <c r="G1143" s="1" t="s">
        <v>781</v>
      </c>
      <c r="H1143" s="1" t="s">
        <v>1355</v>
      </c>
      <c r="I1143" s="1">
        <v>300.0</v>
      </c>
      <c r="J1143" s="1" t="s">
        <v>24</v>
      </c>
      <c r="K1143" s="1">
        <v>300.0</v>
      </c>
      <c r="L1143" s="1">
        <v>254.0</v>
      </c>
      <c r="M1143" s="1">
        <v>46.0</v>
      </c>
      <c r="N1143" s="1">
        <v>46.0</v>
      </c>
      <c r="O1143" s="1" t="s">
        <v>1356</v>
      </c>
      <c r="P1143" s="3" t="str">
        <f>HYPERLINK("https://icf.clappia.com/app/SOM165486/submission/GGD53642699/ICF247370-SOM165486-4b8kc6kdodo000000000/SIG-20250630_10431a4j3h.jpeg", "SIG-20250630_10431a4j3h.jpeg")</f>
        <v>SIG-20250630_10431a4j3h.jpeg</v>
      </c>
      <c r="Q1143" s="3" t="str">
        <f>HYPERLINK("https://www.google.com/maps/place/7.8562483%2C-11.54388", "7.8562483,-11.54388")</f>
        <v>7.8562483,-11.54388</v>
      </c>
    </row>
    <row r="1144" ht="15.75" customHeight="1">
      <c r="A1144" s="1" t="s">
        <v>3007</v>
      </c>
      <c r="B1144" s="1" t="s">
        <v>18</v>
      </c>
      <c r="C1144" s="1" t="s">
        <v>199</v>
      </c>
      <c r="D1144" s="1" t="s">
        <v>199</v>
      </c>
      <c r="E1144" s="2">
        <v>45838.0</v>
      </c>
      <c r="F1144" s="1" t="s">
        <v>21</v>
      </c>
      <c r="G1144" s="1" t="s">
        <v>77</v>
      </c>
      <c r="H1144" s="1" t="s">
        <v>568</v>
      </c>
      <c r="I1144" s="1">
        <v>50.0</v>
      </c>
      <c r="J1144" s="1" t="s">
        <v>24</v>
      </c>
      <c r="K1144" s="1">
        <v>50.0</v>
      </c>
      <c r="L1144" s="1">
        <v>23.0</v>
      </c>
      <c r="M1144" s="1">
        <v>27.0</v>
      </c>
      <c r="N1144" s="1">
        <v>27.0</v>
      </c>
      <c r="O1144" s="1" t="s">
        <v>690</v>
      </c>
      <c r="P1144" s="3" t="str">
        <f>HYPERLINK("https://icf.clappia.com/app/SOM165486/submission/KGV51386057/ICF247370-SOM165486-59m0bbob6oec00000000/SIG-20250630_105410i0gm.jpeg", "SIG-20250630_105410i0gm.jpeg")</f>
        <v>SIG-20250630_105410i0gm.jpeg</v>
      </c>
      <c r="Q1144" s="3" t="str">
        <f>HYPERLINK("https://www.google.com/maps/place/7.972485%2C-11.71612", "7.972485,-11.71612")</f>
        <v>7.972485,-11.71612</v>
      </c>
    </row>
    <row r="1145" ht="15.75" customHeight="1">
      <c r="A1145" s="1" t="s">
        <v>3008</v>
      </c>
      <c r="B1145" s="1" t="s">
        <v>18</v>
      </c>
      <c r="C1145" s="1" t="s">
        <v>3009</v>
      </c>
      <c r="D1145" s="1" t="s">
        <v>3009</v>
      </c>
      <c r="E1145" s="2">
        <v>45838.0</v>
      </c>
      <c r="F1145" s="1" t="s">
        <v>21</v>
      </c>
      <c r="G1145" s="1" t="s">
        <v>58</v>
      </c>
      <c r="H1145" s="1" t="s">
        <v>3010</v>
      </c>
      <c r="I1145" s="1">
        <v>100.0</v>
      </c>
      <c r="J1145" s="1">
        <v>33.0</v>
      </c>
      <c r="K1145" s="1">
        <v>133.0</v>
      </c>
      <c r="L1145" s="1">
        <v>133.0</v>
      </c>
      <c r="M1145" s="1" t="s">
        <v>24</v>
      </c>
      <c r="N1145" s="1" t="s">
        <v>24</v>
      </c>
      <c r="O1145" s="1" t="s">
        <v>3011</v>
      </c>
      <c r="P1145" s="3" t="str">
        <f>HYPERLINK("https://icf.clappia.com/app/SOM165486/submission/KBK15779659/ICF247370-SOM165486-144fa5e213jnm0000000/SIG-20250630_1046oepl2.jpeg", "SIG-20250630_1046oepl2.jpeg")</f>
        <v>SIG-20250630_1046oepl2.jpeg</v>
      </c>
      <c r="Q1145" s="3" t="str">
        <f>HYPERLINK("https://www.google.com/maps/place/7.9430301%2C-11.7895416", "7.9430301,-11.7895416")</f>
        <v>7.9430301,-11.7895416</v>
      </c>
    </row>
    <row r="1146" ht="15.75" customHeight="1">
      <c r="A1146" s="1" t="s">
        <v>3012</v>
      </c>
      <c r="B1146" s="1" t="s">
        <v>18</v>
      </c>
      <c r="C1146" s="1" t="s">
        <v>3009</v>
      </c>
      <c r="D1146" s="1" t="s">
        <v>3009</v>
      </c>
      <c r="E1146" s="2">
        <v>45838.0</v>
      </c>
      <c r="F1146" s="1" t="s">
        <v>21</v>
      </c>
      <c r="G1146" s="1" t="s">
        <v>275</v>
      </c>
      <c r="H1146" s="1" t="s">
        <v>3013</v>
      </c>
      <c r="I1146" s="1">
        <v>198.0</v>
      </c>
      <c r="J1146" s="1">
        <v>198.0</v>
      </c>
      <c r="K1146" s="1">
        <v>396.0</v>
      </c>
      <c r="L1146" s="1">
        <v>198.0</v>
      </c>
      <c r="M1146" s="1">
        <v>198.0</v>
      </c>
      <c r="N1146" s="1" t="s">
        <v>24</v>
      </c>
      <c r="O1146" s="1" t="s">
        <v>3014</v>
      </c>
      <c r="P1146" s="3" t="str">
        <f>HYPERLINK("https://icf.clappia.com/app/SOM165486/submission/PZH39048894/ICF247370-SOM165486-6b5djfh9mknm00000000/SIG-20250630_1034a7f51.jpeg", "SIG-20250630_1034a7f51.jpeg")</f>
        <v>SIG-20250630_1034a7f51.jpeg</v>
      </c>
      <c r="Q1146" s="3" t="str">
        <f>HYPERLINK("https://www.google.com/maps/place/7.68057%2C-11.9210134", "7.68057,-11.9210134")</f>
        <v>7.68057,-11.9210134</v>
      </c>
    </row>
    <row r="1147" ht="15.75" customHeight="1">
      <c r="A1147" s="1" t="s">
        <v>3015</v>
      </c>
      <c r="B1147" s="1" t="s">
        <v>283</v>
      </c>
      <c r="C1147" s="1" t="s">
        <v>3005</v>
      </c>
      <c r="D1147" s="1" t="s">
        <v>3005</v>
      </c>
      <c r="E1147" s="2">
        <v>45838.0</v>
      </c>
      <c r="F1147" s="1" t="s">
        <v>68</v>
      </c>
      <c r="G1147" s="1" t="s">
        <v>69</v>
      </c>
      <c r="H1147" s="1" t="s">
        <v>584</v>
      </c>
      <c r="I1147" s="1">
        <v>100.0</v>
      </c>
      <c r="J1147" s="1" t="s">
        <v>24</v>
      </c>
      <c r="K1147" s="1">
        <v>100.0</v>
      </c>
      <c r="L1147" s="1">
        <v>100.0</v>
      </c>
      <c r="M1147" s="1" t="s">
        <v>24</v>
      </c>
      <c r="N1147" s="1" t="s">
        <v>24</v>
      </c>
      <c r="O1147" s="1" t="s">
        <v>585</v>
      </c>
      <c r="P1147" s="3" t="str">
        <f>HYPERLINK("https://icf.clappia.com/app/SOM165486/submission/ZQS07012105/ICF247370-SOM165486-5n5ol7gk4n0000000000/SIG-20250630_1043h73fn.jpeg", "SIG-20250630_1043h73fn.jpeg")</f>
        <v>SIG-20250630_1043h73fn.jpeg</v>
      </c>
      <c r="Q1147" s="3" t="str">
        <f>HYPERLINK("https://www.google.com/maps/place/8.76494%2C-12.1962267", "8.76494,-12.1962267")</f>
        <v>8.76494,-12.1962267</v>
      </c>
    </row>
    <row r="1148" ht="15.75" customHeight="1">
      <c r="A1148" s="1" t="s">
        <v>3016</v>
      </c>
      <c r="B1148" s="1" t="s">
        <v>18</v>
      </c>
      <c r="C1148" s="1" t="s">
        <v>3017</v>
      </c>
      <c r="D1148" s="1" t="s">
        <v>3017</v>
      </c>
      <c r="E1148" s="2">
        <v>45838.0</v>
      </c>
      <c r="F1148" s="1" t="s">
        <v>21</v>
      </c>
      <c r="G1148" s="1" t="s">
        <v>77</v>
      </c>
      <c r="H1148" s="1" t="s">
        <v>561</v>
      </c>
      <c r="I1148" s="1">
        <v>172.0</v>
      </c>
      <c r="J1148" s="1" t="s">
        <v>24</v>
      </c>
      <c r="K1148" s="1">
        <v>172.0</v>
      </c>
      <c r="L1148" s="1">
        <v>172.0</v>
      </c>
      <c r="M1148" s="1" t="s">
        <v>24</v>
      </c>
      <c r="N1148" s="1" t="s">
        <v>24</v>
      </c>
      <c r="O1148" s="1" t="s">
        <v>3018</v>
      </c>
      <c r="P1148" s="3" t="str">
        <f>HYPERLINK("https://icf.clappia.com/app/SOM165486/submission/TJV26415488/ICF247370-SOM165486-12102p2ii90he0000000/SIG-20250630_10271ah977.jpeg", "SIG-20250630_10271ah977.jpeg")</f>
        <v>SIG-20250630_10271ah977.jpeg</v>
      </c>
      <c r="Q1148" s="3" t="str">
        <f>HYPERLINK("https://www.google.com/maps/place/7.9641667%2C-11.7477083", "7.9641667,-11.7477083")</f>
        <v>7.9641667,-11.7477083</v>
      </c>
    </row>
    <row r="1149" ht="15.75" customHeight="1">
      <c r="A1149" s="1" t="s">
        <v>3019</v>
      </c>
      <c r="B1149" s="1" t="s">
        <v>18</v>
      </c>
      <c r="C1149" s="1" t="s">
        <v>3020</v>
      </c>
      <c r="D1149" s="1" t="s">
        <v>3020</v>
      </c>
      <c r="E1149" s="2">
        <v>45838.0</v>
      </c>
      <c r="F1149" s="1" t="s">
        <v>21</v>
      </c>
      <c r="G1149" s="1" t="s">
        <v>275</v>
      </c>
      <c r="H1149" s="1" t="s">
        <v>3013</v>
      </c>
      <c r="I1149" s="1">
        <v>198.0</v>
      </c>
      <c r="J1149" s="1" t="s">
        <v>24</v>
      </c>
      <c r="K1149" s="1">
        <v>198.0</v>
      </c>
      <c r="L1149" s="1">
        <v>198.0</v>
      </c>
      <c r="M1149" s="1" t="s">
        <v>24</v>
      </c>
      <c r="N1149" s="1" t="s">
        <v>24</v>
      </c>
      <c r="O1149" s="1" t="s">
        <v>3014</v>
      </c>
      <c r="P1149" s="3" t="str">
        <f>HYPERLINK("https://icf.clappia.com/app/SOM165486/submission/QEP81278900/ICF247370-SOM165486-2cobeg8dm5ge00000000/SIG-20250630_103010i0nk.jpeg", "SIG-20250630_103010i0nk.jpeg")</f>
        <v>SIG-20250630_103010i0nk.jpeg</v>
      </c>
      <c r="Q1149" s="3" t="str">
        <f>HYPERLINK("https://www.google.com/maps/place/7.6823604%2C-11.9218837", "7.6823604,-11.9218837")</f>
        <v>7.6823604,-11.9218837</v>
      </c>
    </row>
    <row r="1150" ht="15.75" customHeight="1">
      <c r="A1150" s="1" t="s">
        <v>3021</v>
      </c>
      <c r="B1150" s="1" t="s">
        <v>18</v>
      </c>
      <c r="C1150" s="1" t="s">
        <v>3022</v>
      </c>
      <c r="D1150" s="1" t="s">
        <v>3023</v>
      </c>
      <c r="E1150" s="2">
        <v>45838.0</v>
      </c>
      <c r="F1150" s="1" t="s">
        <v>21</v>
      </c>
      <c r="G1150" s="1" t="s">
        <v>77</v>
      </c>
      <c r="H1150" s="1" t="s">
        <v>568</v>
      </c>
      <c r="I1150" s="1">
        <v>50.0</v>
      </c>
      <c r="J1150" s="1" t="s">
        <v>24</v>
      </c>
      <c r="K1150" s="1">
        <v>50.0</v>
      </c>
      <c r="L1150" s="1">
        <v>23.0</v>
      </c>
      <c r="M1150" s="1">
        <v>27.0</v>
      </c>
      <c r="N1150" s="1">
        <v>27.0</v>
      </c>
      <c r="O1150" s="1" t="s">
        <v>690</v>
      </c>
      <c r="P1150" s="3" t="str">
        <f>HYPERLINK("https://icf.clappia.com/app/SOM165486/submission/NSM83731525/ICF247370-SOM165486-5m9889ck64c600000000/SIG-20250630_10234e99e.jpeg", "SIG-20250630_10234e99e.jpeg")</f>
        <v>SIG-20250630_10234e99e.jpeg</v>
      </c>
      <c r="Q1150" s="3" t="str">
        <f>HYPERLINK("https://www.google.com/maps/place/7.9741967%2C-11.7148667", "7.9741967,-11.7148667")</f>
        <v>7.9741967,-11.7148667</v>
      </c>
    </row>
    <row r="1151" ht="15.75" customHeight="1">
      <c r="A1151" s="1" t="s">
        <v>3024</v>
      </c>
      <c r="B1151" s="1" t="s">
        <v>283</v>
      </c>
      <c r="C1151" s="1" t="s">
        <v>3025</v>
      </c>
      <c r="D1151" s="1" t="s">
        <v>3025</v>
      </c>
      <c r="E1151" s="2">
        <v>45838.0</v>
      </c>
      <c r="F1151" s="1" t="s">
        <v>68</v>
      </c>
      <c r="G1151" s="1" t="s">
        <v>69</v>
      </c>
      <c r="H1151" s="1" t="s">
        <v>584</v>
      </c>
      <c r="I1151" s="1">
        <v>100.0</v>
      </c>
      <c r="J1151" s="1" t="s">
        <v>24</v>
      </c>
      <c r="K1151" s="1">
        <v>100.0</v>
      </c>
      <c r="L1151" s="1">
        <v>100.0</v>
      </c>
      <c r="M1151" s="1" t="s">
        <v>24</v>
      </c>
      <c r="N1151" s="1" t="s">
        <v>24</v>
      </c>
      <c r="O1151" s="1" t="s">
        <v>3026</v>
      </c>
      <c r="P1151" s="3" t="str">
        <f>HYPERLINK("https://icf.clappia.com/app/SOM165486/submission/NSB11995717/ICF247370-SOM165486-34jccng6d20i00000000/SIG-20250630_10211898gm.jpeg", "SIG-20250630_10211898gm.jpeg")</f>
        <v>SIG-20250630_10211898gm.jpeg</v>
      </c>
      <c r="Q1151" s="3" t="str">
        <f>HYPERLINK("https://www.google.com/maps/place/8.7663158%2C-12.1968578", "8.7663158,-12.1968578")</f>
        <v>8.7663158,-12.1968578</v>
      </c>
    </row>
    <row r="1152" ht="15.75" customHeight="1">
      <c r="A1152" s="1" t="s">
        <v>3027</v>
      </c>
      <c r="B1152" s="1" t="s">
        <v>18</v>
      </c>
      <c r="C1152" s="1" t="s">
        <v>3028</v>
      </c>
      <c r="D1152" s="1" t="s">
        <v>3028</v>
      </c>
      <c r="E1152" s="2">
        <v>45838.0</v>
      </c>
      <c r="F1152" s="1" t="s">
        <v>68</v>
      </c>
      <c r="G1152" s="1" t="s">
        <v>83</v>
      </c>
      <c r="H1152" s="1" t="s">
        <v>84</v>
      </c>
      <c r="I1152" s="1">
        <v>100.0</v>
      </c>
      <c r="J1152" s="1" t="s">
        <v>24</v>
      </c>
      <c r="K1152" s="1">
        <v>100.0</v>
      </c>
      <c r="L1152" s="1">
        <v>100.0</v>
      </c>
      <c r="M1152" s="1" t="s">
        <v>24</v>
      </c>
      <c r="N1152" s="1" t="s">
        <v>24</v>
      </c>
      <c r="O1152" s="1" t="s">
        <v>3029</v>
      </c>
      <c r="P1152" s="3" t="str">
        <f>HYPERLINK("https://icf.clappia.com/app/SOM165486/submission/ICG33417085/ICF247370-SOM165486-2delb03ji4he00000000/SIG-20250630_0950ghdk6.jpeg", "SIG-20250630_0950ghdk6.jpeg")</f>
        <v>SIG-20250630_0950ghdk6.jpeg</v>
      </c>
    </row>
  </sheetData>
  <drawing r:id="rId1"/>
</worksheet>
</file>