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/>
  </bookViews>
  <sheets>
    <sheet name="Sheet 1" sheetId="1" r:id="rId1"/>
  </sheets>
  <calcPr/>
</workbook>
</file>

<file path=xl/calcChain.xml><?xml version="1.0" encoding="utf-8"?>
<calcChain xmlns="http://schemas.openxmlformats.org/spreadsheetml/2006/main">
  <c i="1" l="1" r="AQ2"/>
  <c r="AS6"/>
  <c r="AV6"/>
  <c r="AV7"/>
  <c r="AS8"/>
  <c r="AV8"/>
  <c r="AV9"/>
  <c r="AU10"/>
  <c r="AS11"/>
  <c r="AS12"/>
  <c r="AS13"/>
  <c r="AS14"/>
  <c r="AS15"/>
  <c r="AS122"/>
  <c r="AV122"/>
  <c r="AQ123"/>
  <c r="AU123"/>
  <c r="AQ124"/>
  <c r="AS124"/>
  <c r="AV124"/>
  <c r="AQ125"/>
  <c r="AU125"/>
  <c r="AQ126"/>
  <c r="AU126"/>
  <c r="AQ127"/>
  <c r="AV127"/>
  <c r="AU128"/>
  <c r="AS129"/>
  <c r="AV129"/>
  <c r="AU130"/>
  <c r="AS131"/>
  <c r="AS132"/>
  <c r="AQ133"/>
  <c r="AU133"/>
  <c r="AQ134"/>
  <c r="AU134"/>
  <c r="AQ135"/>
  <c r="AU135"/>
  <c r="AQ136"/>
  <c r="AV136"/>
  <c r="AS137"/>
  <c r="AS138"/>
  <c r="AQ139"/>
  <c r="AV139"/>
  <c r="AS140"/>
  <c r="AQ141"/>
  <c r="AU141"/>
  <c r="AV144"/>
  <c r="AU145"/>
  <c r="AQ146"/>
  <c r="AU146"/>
  <c r="AQ148"/>
  <c r="AS143"/>
  <c r="AU148"/>
  <c r="AS3"/>
  <c r="AV5"/>
  <c r="AQ8"/>
  <c r="AQ11"/>
  <c r="AQ14"/>
  <c r="AS16"/>
  <c r="AQ18"/>
  <c r="AV19"/>
  <c r="AU21"/>
  <c r="AU22"/>
  <c r="AS24"/>
  <c r="AV26"/>
  <c r="AV27"/>
  <c r="AQ28"/>
  <c r="AV28"/>
  <c r="AV31"/>
  <c r="AV32"/>
  <c r="AU33"/>
  <c r="AQ34"/>
  <c r="AQ37"/>
  <c r="AQ38"/>
  <c r="AQ39"/>
  <c r="AS41"/>
  <c r="AS42"/>
  <c r="AQ43"/>
  <c r="AS45"/>
  <c r="AS46"/>
  <c r="AQ47"/>
  <c r="AQ49"/>
  <c r="AS49"/>
  <c r="AQ50"/>
  <c r="AU52"/>
  <c r="AU53"/>
  <c r="AQ55"/>
  <c r="AU56"/>
  <c r="AQ58"/>
  <c r="AS62"/>
  <c r="AU63"/>
  <c r="AS66"/>
  <c r="AQ68"/>
  <c r="AS69"/>
  <c r="AU71"/>
  <c r="AV74"/>
  <c r="AQ76"/>
  <c r="AV79"/>
  <c r="AV82"/>
  <c r="AV84"/>
  <c r="AU87"/>
  <c r="AS90"/>
  <c r="AS91"/>
  <c r="AV91"/>
  <c r="AU93"/>
  <c r="AU94"/>
  <c r="AQ95"/>
  <c r="AU96"/>
  <c r="AS97"/>
  <c r="AV97"/>
  <c r="AS98"/>
  <c r="AQ99"/>
  <c r="AU99"/>
  <c r="AQ100"/>
  <c r="AV100"/>
  <c r="AQ101"/>
  <c r="AV101"/>
  <c r="AS102"/>
  <c r="AQ103"/>
  <c r="AV103"/>
  <c r="AU104"/>
  <c r="AS105"/>
  <c r="AS106"/>
  <c r="AQ107"/>
  <c r="AQ108"/>
  <c r="AS109"/>
  <c r="AU110"/>
  <c r="AS112"/>
  <c r="AS144"/>
  <c r="AQ149"/>
  <c r="AU6"/>
  <c r="AQ10"/>
  <c r="AU16"/>
  <c r="AU20"/>
  <c r="AS26"/>
  <c r="AQ30"/>
  <c r="AQ35"/>
  <c r="AS38"/>
  <c r="AU41"/>
  <c r="AV43"/>
  <c r="AQ46"/>
  <c r="AV48"/>
  <c r="AU51"/>
  <c r="AV55"/>
  <c r="AV57"/>
  <c r="AU61"/>
  <c r="AQ64"/>
  <c r="AU66"/>
  <c r="AQ70"/>
  <c r="AV71"/>
  <c r="AQ75"/>
  <c r="AQ78"/>
  <c r="AQ87"/>
  <c r="AU138"/>
  <c r="AU136"/>
  <c r="AV147"/>
  <c r="AQ9"/>
  <c r="AV14"/>
  <c r="AQ20"/>
  <c r="AU24"/>
  <c r="AS28"/>
  <c r="AU32"/>
  <c r="AV37"/>
  <c r="AV110"/>
  <c r="AU112"/>
  <c r="AV113"/>
  <c r="AQ115"/>
  <c r="AQ116"/>
  <c r="AQ117"/>
  <c r="AQ118"/>
  <c r="AS119"/>
  <c r="AS120"/>
  <c r="AS121"/>
  <c r="AV123"/>
  <c r="AS127"/>
  <c r="AQ130"/>
  <c r="AQ3"/>
  <c r="AU57"/>
  <c r="AS59"/>
  <c r="AU60"/>
  <c r="AU62"/>
  <c r="AU68"/>
  <c r="AV69"/>
  <c r="AS70"/>
  <c r="AU73"/>
  <c r="AS75"/>
  <c r="AS77"/>
  <c r="AV85"/>
  <c r="AV87"/>
  <c r="AU88"/>
  <c r="AU89"/>
  <c r="AS92"/>
  <c r="AV92"/>
  <c r="AV93"/>
  <c r="AU3"/>
  <c r="AS126"/>
  <c r="AU127"/>
  <c r="AS128"/>
  <c r="AQ129"/>
  <c r="AU129"/>
  <c r="AS130"/>
  <c r="AV130"/>
  <c r="AU131"/>
  <c r="AQ132"/>
  <c r="AV132"/>
  <c r="AS133"/>
  <c r="AV133"/>
  <c r="AS134"/>
  <c r="AV134"/>
  <c r="AS135"/>
  <c r="AV135"/>
  <c r="AS136"/>
  <c r="AQ137"/>
  <c r="AV137"/>
  <c r="AQ138"/>
  <c r="AV138"/>
  <c r="AU139"/>
  <c r="AQ140"/>
  <c r="AU140"/>
  <c r="AS141"/>
  <c r="AQ142"/>
  <c r="AQ145"/>
  <c r="AV145"/>
  <c r="AV146"/>
  <c r="AV142"/>
  <c r="AU147"/>
  <c r="AU2"/>
  <c r="AS4"/>
  <c r="AQ7"/>
  <c r="AU8"/>
  <c r="AS10"/>
  <c r="AQ12"/>
  <c r="AQ15"/>
  <c r="AQ17"/>
  <c r="AV18"/>
  <c r="AS20"/>
  <c r="AS22"/>
  <c r="AV23"/>
  <c r="AS25"/>
  <c r="AQ27"/>
  <c r="AQ29"/>
  <c r="AV29"/>
  <c r="AV30"/>
  <c r="AU34"/>
  <c r="AV34"/>
  <c r="AV35"/>
  <c r="AS36"/>
  <c r="AU40"/>
  <c r="AV41"/>
  <c r="AU42"/>
  <c r="AU43"/>
  <c r="AV45"/>
  <c r="AV46"/>
  <c r="AU47"/>
  <c r="AU49"/>
  <c r="AU50"/>
  <c r="AQ51"/>
  <c r="AQ52"/>
  <c r="AS54"/>
  <c r="AU54"/>
  <c r="AQ56"/>
  <c r="AV58"/>
  <c r="AQ60"/>
  <c r="AV61"/>
  <c r="AU64"/>
  <c r="AQ66"/>
  <c r="AU67"/>
  <c r="AU70"/>
  <c r="AU72"/>
  <c r="AU74"/>
  <c r="AV75"/>
  <c r="AV78"/>
  <c r="AV81"/>
  <c r="AV83"/>
  <c r="AS86"/>
  <c r="AQ89"/>
  <c r="AQ90"/>
  <c r="AV90"/>
  <c r="AQ93"/>
  <c r="AS94"/>
  <c r="AV94"/>
  <c r="AU102"/>
  <c r="AV104"/>
  <c r="AU105"/>
  <c r="AV107"/>
  <c r="AU108"/>
  <c r="AU109"/>
  <c r="AS110"/>
  <c r="AU111"/>
  <c r="AQ144"/>
  <c r="AV148"/>
  <c r="AQ4"/>
  <c r="AV11"/>
  <c r="AU14"/>
  <c r="AS17"/>
  <c r="AS21"/>
  <c r="AV24"/>
  <c r="AU27"/>
  <c r="AQ32"/>
  <c r="AS37"/>
  <c r="AV39"/>
  <c r="AS43"/>
  <c r="AV44"/>
  <c r="AS47"/>
  <c r="AV50"/>
  <c r="AV52"/>
  <c r="AQ54"/>
  <c r="AS57"/>
  <c r="AV59"/>
  <c r="AQ62"/>
  <c r="AV65"/>
  <c r="AS68"/>
  <c r="AV68"/>
  <c r="AV70"/>
  <c r="AV72"/>
  <c r="AV73"/>
  <c r="AS74"/>
  <c r="AS76"/>
  <c r="AU78"/>
  <c r="AU86"/>
  <c r="AS149"/>
  <c r="AQ147"/>
  <c r="AU149"/>
  <c r="AU7"/>
  <c r="AV13"/>
  <c r="AV16"/>
  <c r="AU18"/>
  <c r="AV21"/>
  <c r="AV25"/>
  <c r="AS31"/>
  <c r="AQ36"/>
  <c r="AS40"/>
  <c r="AQ112"/>
  <c r="AU113"/>
  <c r="AQ114"/>
  <c r="AS115"/>
  <c r="AS116"/>
  <c r="AS117"/>
  <c r="AS118"/>
  <c r="AQ119"/>
  <c r="AQ120"/>
  <c r="AQ121"/>
  <c r="AQ122"/>
  <c r="AS123"/>
  <c r="AV125"/>
  <c r="AV128"/>
  <c r="AU132"/>
  <c r="AU4"/>
  <c r="AV140"/>
  <c r="AV141"/>
  <c r="AS145"/>
  <c r="AS146"/>
  <c r="AS147"/>
  <c r="AS148"/>
  <c r="AQ5"/>
  <c r="AS9"/>
  <c r="AU11"/>
  <c r="AQ13"/>
  <c r="AV15"/>
  <c r="AV17"/>
  <c r="AS19"/>
  <c r="AQ21"/>
  <c r="AS23"/>
  <c r="AQ25"/>
  <c r="AQ26"/>
  <c r="AS30"/>
  <c r="AU31"/>
  <c r="AS32"/>
  <c r="AU37"/>
  <c r="AU38"/>
  <c r="AU39"/>
  <c r="AQ40"/>
  <c r="AS44"/>
  <c r="AU44"/>
  <c r="AQ45"/>
  <c r="AV47"/>
  <c r="AS48"/>
  <c r="AU48"/>
  <c r="AS51"/>
  <c r="AV51"/>
  <c r="AQ53"/>
  <c r="AV53"/>
  <c r="AU55"/>
  <c r="AV56"/>
  <c r="AS58"/>
  <c r="AV60"/>
  <c r="AQ63"/>
  <c r="AV63"/>
  <c r="AU65"/>
  <c r="AQ67"/>
  <c r="AV67"/>
  <c r="AQ69"/>
  <c r="AQ71"/>
  <c r="AQ72"/>
  <c r="AS73"/>
  <c r="AU76"/>
  <c r="AU77"/>
  <c r="AV77"/>
  <c r="AS78"/>
  <c r="AS87"/>
  <c r="AQ88"/>
  <c r="AS89"/>
  <c r="AQ91"/>
  <c r="AU91"/>
  <c r="AQ92"/>
  <c r="AS95"/>
  <c r="AU95"/>
  <c r="AV95"/>
  <c r="AQ96"/>
  <c r="AS96"/>
  <c r="AQ97"/>
  <c r="AU97"/>
  <c r="AQ98"/>
  <c r="AU98"/>
  <c r="AV98"/>
  <c r="AS99"/>
  <c r="AV99"/>
  <c r="AS100"/>
  <c r="AU100"/>
  <c r="AS101"/>
  <c r="AU101"/>
  <c r="AQ102"/>
  <c r="AV102"/>
  <c r="AS103"/>
  <c r="AU103"/>
  <c r="AQ104"/>
  <c r="AQ105"/>
  <c r="AV105"/>
  <c r="AV106"/>
  <c r="AS107"/>
  <c r="AS108"/>
  <c r="AV108"/>
  <c r="AQ110"/>
  <c r="AV112"/>
  <c r="AU143"/>
  <c r="AS2"/>
  <c r="AU9"/>
  <c r="AU13"/>
  <c r="AQ19"/>
  <c r="AQ22"/>
  <c r="AQ24"/>
  <c r="AU28"/>
  <c r="AQ31"/>
  <c r="AV33"/>
  <c r="AU35"/>
  <c r="AV38"/>
  <c r="AV40"/>
  <c r="AQ44"/>
  <c r="AU46"/>
  <c r="AV49"/>
  <c r="AS53"/>
  <c r="AS55"/>
  <c r="AQ59"/>
  <c r="AQ61"/>
  <c r="AS63"/>
  <c r="AQ86"/>
  <c r="AS88"/>
  <c r="AQ143"/>
  <c r="AS142"/>
  <c r="AV2"/>
  <c r="AV4"/>
  <c r="AV10"/>
  <c r="AU17"/>
  <c r="AV20"/>
  <c r="AU23"/>
  <c r="AU26"/>
  <c r="AU29"/>
  <c r="AS34"/>
  <c r="AS39"/>
  <c r="AV42"/>
  <c r="AQ113"/>
  <c r="AU114"/>
  <c r="AU115"/>
  <c r="AU116"/>
  <c r="AU117"/>
  <c r="AU118"/>
  <c r="AU119"/>
  <c r="AV120"/>
  <c r="AV121"/>
  <c r="AU124"/>
  <c r="AV126"/>
  <c r="AQ131"/>
  <c r="AV149"/>
  <c r="AU5"/>
  <c r="AQ57"/>
  <c r="AU59"/>
  <c r="AS61"/>
  <c r="AS64"/>
  <c r="AV64"/>
  <c r="AQ65"/>
  <c r="AV66"/>
  <c r="AS72"/>
  <c r="AQ74"/>
  <c r="AQ77"/>
  <c r="AV86"/>
  <c r="AV88"/>
  <c r="AV89"/>
  <c r="AU90"/>
  <c r="AU92"/>
  <c r="AS93"/>
  <c r="AQ94"/>
  <c r="AS104"/>
  <c r="AQ106"/>
  <c r="AU106"/>
  <c r="AU107"/>
  <c r="AQ109"/>
  <c r="AV109"/>
  <c r="AQ111"/>
  <c r="AV111"/>
  <c r="AV143"/>
  <c r="AU144"/>
  <c r="AS5"/>
  <c r="AS7"/>
  <c r="AU12"/>
  <c r="AU15"/>
  <c r="AS18"/>
  <c r="AQ23"/>
  <c r="AU25"/>
  <c r="AS29"/>
  <c r="AQ33"/>
  <c r="AU36"/>
  <c r="AQ42"/>
  <c r="AU45"/>
  <c r="AQ48"/>
  <c r="AS50"/>
  <c r="AS52"/>
  <c r="AV54"/>
  <c r="AS56"/>
  <c r="AU58"/>
  <c r="AS60"/>
  <c r="AV62"/>
  <c r="AS65"/>
  <c r="AS67"/>
  <c r="AU69"/>
  <c r="AS71"/>
  <c r="AQ73"/>
  <c r="AU75"/>
  <c r="AV76"/>
  <c r="AV80"/>
  <c r="AS139"/>
  <c r="AU137"/>
  <c r="AV3"/>
  <c r="AQ6"/>
  <c r="AV12"/>
  <c r="AQ16"/>
  <c r="AU19"/>
  <c r="AV22"/>
  <c r="AS27"/>
  <c r="AU30"/>
  <c r="AS33"/>
  <c r="AV36"/>
  <c r="AQ41"/>
  <c r="AS111"/>
  <c r="AS113"/>
  <c r="AS114"/>
  <c r="AV114"/>
  <c r="AV115"/>
  <c r="AV116"/>
  <c r="AV117"/>
  <c r="AV118"/>
  <c r="AV119"/>
  <c r="AU120"/>
  <c r="AU121"/>
  <c r="AU122"/>
  <c r="AS125"/>
  <c r="AQ128"/>
  <c r="AV131"/>
  <c r="AU142"/>
  <c r="AS35"/>
  <c r="AV96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<sst xmlns="http://schemas.openxmlformats.org/spreadsheetml/2006/main">
  <si>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Submission Id</t>
  </si>
  <si>
    <t>Owner</t>
  </si>
  <si>
    <t>Created At</t>
  </si>
  <si>
    <t>Last Updated At</t>
  </si>
  <si>
    <t>Scan the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</si>
  <si>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</si>
  <si>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</si>
  <si>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</si>
  <si>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</si>
  <si>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</si>
  <si>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</si>
  <si>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</si>
  <si>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</si>
  <si>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</si>
  <si>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</si>
  <si>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</si>
  <si>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</si>
  <si>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</si>
  <si>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</si>
  <si>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</si>
  <si>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</si>
  <si>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</si>
  <si>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</si>
  <si>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</si>
  <si>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</si>
  <si>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</si>
  <si>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</si>
  <si>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</si>
  <si>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</si>
  <si>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</si>
  <si>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</si>
  <si>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</si>
  <si>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</si>
  <si>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</si>
  <si>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</si>
  <si>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</si>
  <si>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</si>
  <si>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</si>
  <si>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</si>
  <si>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</si>
  <si>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</si>
  <si>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</si>
  <si>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</si>
  <si>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</si>
  <si>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</si>
  <si>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HFJ22794410</t>
  </si>
  <si>
    <t>training@clappia.com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</si>
  <si>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</si>
  <si>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</si>
  <si>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>Private</t>
  </si>
  <si>
    <t>Class 1</t>
  </si>
  <si>
    <t>Class 2</t>
  </si>
  <si>
    <t>Class 3</t>
  </si>
  <si>
    <t>Class 4</t>
  </si>
  <si>
    <t>Class 5</t>
  </si>
  <si>
    <t>0</t>
  </si>
  <si>
    <t xml:space="preserve">Sento N Kargbo </t>
  </si>
  <si>
    <t xml:space="preserve">Alice conteh </t>
  </si>
  <si>
    <t xml:space="preserve">Adorah Alfred Kamara </t>
  </si>
  <si>
    <t>XEY73100732</t>
  </si>
  <si>
    <t>kakua@clappia.com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</si>
  <si>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</si>
  <si>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</si>
  <si>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</si>
  <si>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>Public</t>
  </si>
  <si>
    <t xml:space="preserve">Henry Edwards </t>
  </si>
  <si>
    <t xml:space="preserve">Patricia Lucida lahai </t>
  </si>
  <si>
    <t xml:space="preserve">Kevin I Conteh </t>
  </si>
  <si>
    <t>YRY11174129</t>
  </si>
  <si>
    <t>Makenicity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</si>
  <si>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</si>
  <si>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 xml:space="preserve">Fatmata Bangura </t>
  </si>
  <si>
    <t xml:space="preserve">Mohamed Tarawalie </t>
  </si>
  <si>
    <t xml:space="preserve">Fatmata Kamara </t>
  </si>
  <si>
    <t>XCN67989682</t>
  </si>
  <si>
    <t>Biriwa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</si>
  <si>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</si>
  <si>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</si>
  <si>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</si>
  <si>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 xml:space="preserve">Mohamed  G  Mansaray</t>
  </si>
  <si>
    <t>Mattu Sillah</t>
  </si>
  <si>
    <t>ZOM52930135</t>
  </si>
  <si>
    <t>baoma@clappia.com</t>
  </si>
  <si>
    <t>District: Bo
Chiefdom: Baoma
PHU name: Baoma CHP
Community name: Baoma Station
Name of school: Ansarul Islamic Primary School
Enrollment: 318</t>
  </si>
  <si>
    <t>AGNES SAMA</t>
  </si>
  <si>
    <t>Alex..maada..kowa</t>
  </si>
  <si>
    <t>Miriama Kaimapo</t>
  </si>
  <si>
    <t>TSG59452380</t>
  </si>
  <si>
    <t>gbo@clappia.com</t>
  </si>
  <si>
    <t>30-06-2025 07:39 AM</t>
  </si>
  <si>
    <t>District: Bo
Chiefdom: Gbo
PHU name: Gbaiima Songa CHC
Community name: Mokebbie
Name of school: Peevic Aviation Primary School
Enrollment: 138</t>
  </si>
  <si>
    <t>Josephine Faith Fannah</t>
  </si>
  <si>
    <t>Fatmata c Vandy</t>
  </si>
  <si>
    <t xml:space="preserve">Benjamin s  sesaymmo</t>
  </si>
  <si>
    <t>XWH86274748</t>
  </si>
  <si>
    <t>30-06-2025 07:35 AM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</si>
  <si>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</si>
  <si>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Fatmata Amie Gbla </t>
  </si>
  <si>
    <t xml:space="preserve">Rugiatu kargbo </t>
  </si>
  <si>
    <t xml:space="preserve">Fatmata Gibril Kalokoh </t>
  </si>
  <si>
    <t>CCE58524124</t>
  </si>
  <si>
    <t>bocity@clappia.com</t>
  </si>
  <si>
    <t>30-06-2025 07:34 AM</t>
  </si>
  <si>
    <t>District: Bo
Chiefdom: Bo City
PHU name: Morning Star CHP
Community name: C-Line Sewa Road
Name of school: R C Madonna Primary School
Enrollment: 196</t>
  </si>
  <si>
    <t>Elizabeth B M'brewah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</si>
  <si>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</si>
  <si>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</si>
  <si>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</si>
  <si>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</si>
  <si>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</si>
  <si>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 xml:space="preserve">Lydia Thomas </t>
  </si>
  <si>
    <t xml:space="preserve">Augusta Rogers </t>
  </si>
  <si>
    <t xml:space="preserve">Jamiru Ibrahim </t>
  </si>
  <si>
    <t>HVD62101551</t>
  </si>
  <si>
    <t>Ngowahun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</si>
  <si>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</si>
  <si>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</si>
  <si>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</si>
  <si>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</si>
  <si>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</si>
  <si>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</si>
  <si>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</si>
  <si>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</si>
  <si>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</si>
  <si>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 xml:space="preserve">Fatmata W Jalloh </t>
  </si>
  <si>
    <t>Phelix A. Kainwo</t>
  </si>
  <si>
    <t>ZFJ65860817</t>
  </si>
  <si>
    <t>bargbo@clappia.com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</si>
  <si>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</si>
  <si>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</si>
  <si>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</si>
  <si>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</si>
  <si>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 xml:space="preserve"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</si>
  <si>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</si>
  <si>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</si>
  <si>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</si>
  <si>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Ramatu Barrie </t>
  </si>
  <si>
    <t xml:space="preserve">Kadiatu Sesay 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</si>
  <si>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</si>
  <si>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</si>
  <si>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</si>
  <si>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</si>
  <si>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</si>
  <si>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</si>
  <si>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</si>
  <si>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</si>
  <si>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Safroko Limba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</si>
  <si>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</si>
  <si>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</si>
  <si>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</si>
  <si>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 xml:space="preserve">Christiana Laundeh </t>
  </si>
  <si>
    <t>Alex.A .T Bangurah</t>
  </si>
  <si>
    <t>UOJ36407166</t>
  </si>
  <si>
    <t>Makaria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</si>
  <si>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</si>
  <si>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Isata T Bangura </t>
  </si>
  <si>
    <t xml:space="preserve">Alpha Kargbo </t>
  </si>
  <si>
    <t>Sallay Bundu</t>
  </si>
  <si>
    <t>IAB95995918</t>
  </si>
  <si>
    <t>Tinkoko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</si>
  <si>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</si>
  <si>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</si>
  <si>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</si>
  <si>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</si>
  <si>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</si>
  <si>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</si>
  <si>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</si>
  <si>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</si>
  <si>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</si>
  <si>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</si>
  <si>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</si>
  <si>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</si>
  <si>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</si>
  <si>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 xml:space="preserve">Mariama Yilla </t>
  </si>
  <si>
    <t xml:space="preserve">Bernadette J George </t>
  </si>
  <si>
    <t>Saidu moigua</t>
  </si>
  <si>
    <t>MTO06577109</t>
  </si>
  <si>
    <t>Gbendembu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</si>
  <si>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</si>
  <si>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Beatrice Alice. Lebbie</t>
  </si>
  <si>
    <t>Sulaiman Bah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</si>
  <si>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</si>
  <si>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</si>
  <si>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</si>
  <si>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</si>
  <si>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</si>
  <si>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</si>
  <si>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</si>
  <si>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</si>
  <si>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</si>
  <si>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</si>
  <si>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</si>
  <si>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</si>
  <si>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</si>
  <si>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</si>
  <si>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</si>
  <si>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</si>
  <si>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</si>
  <si>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</si>
  <si>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</si>
  <si>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</si>
  <si>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</si>
  <si>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</si>
  <si>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>Saito A marah</t>
  </si>
  <si>
    <t xml:space="preserve">Issa Koroma </t>
  </si>
  <si>
    <t>PWC02903528</t>
  </si>
  <si>
    <t>BombaliShebora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</si>
  <si>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</si>
  <si>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</si>
  <si>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</si>
  <si>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</si>
  <si>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</si>
  <si>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</si>
  <si>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</si>
  <si>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</si>
  <si>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</si>
  <si>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</si>
  <si>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</si>
  <si>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</si>
  <si>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 xml:space="preserve">Modu  T Mansaray</t>
  </si>
  <si>
    <t>Seibatu H Yokie</t>
  </si>
  <si>
    <t>Justina T Momodu</t>
  </si>
  <si>
    <t>EXH27204622</t>
  </si>
  <si>
    <t>niawalenga@clappia.com</t>
  </si>
  <si>
    <t>30-06-2025 06:44 AM</t>
  </si>
  <si>
    <t>District: Bo
Chiefdom: Niawa Lenga
PHU name: Nemgbema CHP
Community name: Mbellebu
Name of school: B D E C Primary School
Enrollment: 105</t>
  </si>
  <si>
    <t xml:space="preserve">Foday Francis Kargbo </t>
  </si>
  <si>
    <t xml:space="preserve">Edmond Bangalie </t>
  </si>
  <si>
    <t xml:space="preserve">Warah Conteh 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</si>
  <si>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</si>
  <si>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</si>
  <si>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</si>
  <si>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</si>
  <si>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</si>
  <si>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Bettymvonjoe</t>
  </si>
  <si>
    <t>LMG35734104</t>
  </si>
  <si>
    <t>30-06-2025 06:41 AM</t>
  </si>
  <si>
    <t>District: Bo
Chiefdom: Niawa Lenga
PHU name: Nemgbema CHP
Community name: Tondorya
Name of school: B D E C Primary School
Enrollment: 178</t>
  </si>
  <si>
    <t>Ibrahim Gamanga</t>
  </si>
  <si>
    <t>Juliana v Allieu</t>
  </si>
  <si>
    <t xml:space="preserve">David Johnny </t>
  </si>
  <si>
    <t>BXU62986863</t>
  </si>
  <si>
    <t>lugbu@clappia.com</t>
  </si>
  <si>
    <t>30-06-2025 06:40 AM</t>
  </si>
  <si>
    <t>District: Bo
Chiefdom: Lugbu
PHU name: Bontiwo MCHP
Community name: Bontiwo
Name of school: I C S Primary School
Enrollment: 247</t>
  </si>
  <si>
    <t>Lucy .M Sam</t>
  </si>
  <si>
    <t xml:space="preserve">Wuyata  Mannah</t>
  </si>
  <si>
    <t xml:space="preserve">Alhaji  Nyambeh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</si>
  <si>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</si>
  <si>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</si>
  <si>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</si>
  <si>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Margaret kabia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</si>
  <si>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</si>
  <si>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</si>
  <si>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</si>
  <si>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</si>
  <si>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</si>
  <si>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Hindowa Alie</t>
  </si>
  <si>
    <t>Sheku koroma</t>
  </si>
  <si>
    <t>Harun K Kanneh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</si>
  <si>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</si>
  <si>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</si>
  <si>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</si>
  <si>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</si>
  <si>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</si>
  <si>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</si>
  <si>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</si>
  <si>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</si>
  <si>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</si>
  <si>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Marian I Sandy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</si>
  <si>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</si>
  <si>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</si>
  <si>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</si>
  <si>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</si>
  <si>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</si>
  <si>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</si>
  <si>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Mariama Gbanda</t>
  </si>
  <si>
    <t>OAH65104744</t>
  </si>
  <si>
    <t>30-06-2025 06:23 AM</t>
  </si>
  <si>
    <t>District: Bo
Chiefdom: Tinkoko
PHU name: Zion CHP
Community name: Bandawa
Name of school: Zion Ministry Pri Sch
Enrollment: 100</t>
  </si>
  <si>
    <t>Rebecca M Sandy</t>
  </si>
  <si>
    <t>Yeabu B Kanu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</si>
  <si>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</si>
  <si>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</si>
  <si>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</si>
  <si>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</si>
  <si>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</si>
  <si>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 xml:space="preserve">Ibrahim Blackie </t>
  </si>
  <si>
    <t xml:space="preserve">Jonathan Bangura 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</si>
  <si>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</si>
  <si>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</si>
  <si>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</si>
  <si>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 xml:space="preserve">Marie Koroma 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</si>
  <si>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</si>
  <si>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</si>
  <si>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</si>
  <si>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</si>
  <si>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</si>
  <si>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</si>
  <si>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>Tiangay Allen</t>
  </si>
  <si>
    <t xml:space="preserve">Sutta Kamara </t>
  </si>
  <si>
    <t>WNH89904360</t>
  </si>
  <si>
    <t>26-06-2025 11:36 AM</t>
  </si>
  <si>
    <t>30-06-2025 06:01 AM</t>
  </si>
  <si>
    <t>District: Bo
Chiefdom: Bo City
PHU name: SLRCS CHC
Community name: Batiama (Bo Town)
Name of school: Solima Primary School (4191-2-06219)(Batiama (Bo Town), SLRCS CHC)
Enrollment: 64</t>
  </si>
  <si>
    <t xml:space="preserve">Millicent Nancy Bundu </t>
  </si>
  <si>
    <t xml:space="preserve">Amie Yancey </t>
  </si>
  <si>
    <t xml:space="preserve">Fantastic day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</si>
  <si>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</si>
  <si>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</si>
  <si>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</si>
  <si>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 xml:space="preserve">Amadu Alhaji Barrie 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</si>
  <si>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</si>
  <si>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</si>
  <si>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</si>
  <si>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</si>
  <si>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</si>
  <si>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</si>
  <si>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</si>
  <si>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</si>
  <si>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</si>
  <si>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</si>
  <si>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</si>
  <si>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</si>
  <si>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Veronica Gborie</t>
  </si>
  <si>
    <t>Josephine S Simbo</t>
  </si>
  <si>
    <t>Mohamed Lamin Ngegba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</si>
  <si>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</si>
  <si>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</si>
  <si>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</si>
  <si>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</si>
  <si>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 xml:space="preserve">Christiana  Kangayo</t>
  </si>
  <si>
    <t>Isata Mabel saffa</t>
  </si>
  <si>
    <t xml:space="preserve"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</si>
  <si>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</si>
  <si>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</si>
  <si>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</si>
  <si>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</si>
  <si>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</si>
  <si>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</si>
  <si>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OSP37744528</t>
  </si>
  <si>
    <t>26-06-2025 01:14 PM</t>
  </si>
  <si>
    <t>30-06-2025 05:03 AM</t>
  </si>
  <si>
    <t>District: Bo
Chiefdom: Bo City
PHU name: Agape CHC
Community name: Baiima Road (Bo Town)
Name of school: Joy Academy Primary (4191-2-06205)(Baiima Road (Bo Town), Agape CHC)
Enrollment: 75</t>
  </si>
  <si>
    <t xml:space="preserve">Ibrahim Ndanema </t>
  </si>
  <si>
    <t xml:space="preserve">Jonathan Foday </t>
  </si>
  <si>
    <t>Mary Abu</t>
  </si>
  <si>
    <t>RCA53649040</t>
  </si>
  <si>
    <t>26-06-2025 11:40 AM</t>
  </si>
  <si>
    <t>30-06-2025 04:44 AM</t>
  </si>
  <si>
    <t>District: Bombali
Chiefdom: Makarie 
PHU name: Thonkoba CHP
Community name: Mabuya (Makari)
Name of school: Roman Catholic Primary School (2108-2-04372)(Mabuya (Makari), Thonkoba CHP)
Enrollment: 289</t>
  </si>
  <si>
    <t>Sia</t>
  </si>
  <si>
    <t>Fatima</t>
  </si>
  <si>
    <t>Abu</t>
  </si>
  <si>
    <t>DPO26002393</t>
  </si>
  <si>
    <t>26-06-2025 11:22 AM</t>
  </si>
  <si>
    <t>30-06-2025 04:43 AM</t>
  </si>
  <si>
    <t>District: Bombali
Chiefdom: Makarie 
PHU name: Makarie CHP
Community name: Kerefay Lol (Makari)
Name of school: Child In Need Primary School (2108-2-04336)(Kerefay Lol (Makari), Makarie CHP)
Enrollment: 254</t>
  </si>
  <si>
    <t>Fatu</t>
  </si>
  <si>
    <t>John</t>
  </si>
  <si>
    <t>HIA74571525</t>
  </si>
  <si>
    <t>26-06-2025 11:46 AM</t>
  </si>
  <si>
    <t>30-06-2025 04:14 AM</t>
  </si>
  <si>
    <t>District: Bombali
Chiefdom: Makarie 
PHU name: Yainkassa CHP
Community name: Yankasa (Makari)
Name of school: District Education Committee Primary School (2108-2-04380)(Yankasa (Makari), Yainkassa CHP)
Enrollment: 187</t>
  </si>
  <si>
    <t xml:space="preserve">Mbalu </t>
  </si>
  <si>
    <t xml:space="preserve">Simi </t>
  </si>
  <si>
    <t>Kkkky</t>
  </si>
  <si>
    <t>ULC43177483</t>
  </si>
  <si>
    <t>26-06-2025 11:23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</si>
  <si>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</si>
  <si>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Princess </t>
  </si>
  <si>
    <t xml:space="preserve">Kadiatu </t>
  </si>
  <si>
    <t>Matu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</si>
  <si>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</si>
  <si>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</si>
  <si>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</si>
  <si>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</si>
  <si>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</si>
  <si>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KFJ41094362</t>
  </si>
  <si>
    <t>26-06-2025 11:42 AM</t>
  </si>
  <si>
    <t>30-06-2025 02:06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</si>
  <si>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</si>
  <si>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Augustine kanessie </t>
  </si>
  <si>
    <t xml:space="preserve">Adamsay j kamara </t>
  </si>
  <si>
    <t xml:space="preserve">Francis kamara </t>
  </si>
  <si>
    <t>ZHE54358058</t>
  </si>
  <si>
    <t>26-06-2025 11:16 AM</t>
  </si>
  <si>
    <t>30-06-2025 02:05 AM</t>
  </si>
  <si>
    <t>District: Bombali
Chiefdom: Kamaranka 
PHU name: Kamaranka CHC
Community name: Makassa (Kamaranka)
Name of school: Roman Catholic Primary School (2106-2-04296)(Makassa (Kamaranka), Kamaranka CHC)
Enrollment: 346</t>
  </si>
  <si>
    <t>NCU68027621</t>
  </si>
  <si>
    <t>29-06-2025 07:55 PM</t>
  </si>
  <si>
    <t>29-06-2025 07:57 PM</t>
  </si>
  <si>
    <t>District: Bombali
Chiefdom: Safroko Limba Chiefdom
PHU name: Kabombeh MCHP
Community name: KABOMEH (SAFROKO LIMBA)
Name of school: ROMAN CATHOLIC PRIMARY SCHOOL (2112-2-04700)</t>
  </si>
  <si>
    <t>Fsfh</t>
  </si>
  <si>
    <t>Ghdyj</t>
  </si>
  <si>
    <t>Gshj</t>
  </si>
  <si>
    <t>LRJ63816451</t>
  </si>
  <si>
    <t>29-06-2025 07:41 PM</t>
  </si>
  <si>
    <t>29-06-2025 07:45 PM</t>
  </si>
  <si>
    <t>District: Bombali
Chiefdom: Safroko Limba Chiefdom
PHU name: Kagbankona MCHP
Community name: MAKOROMBO (SAFROKO LIMBA)
Name of school: WESLEYAN CHURCH OF SIERRA LEONE PRIMARY (2112-2-04703)</t>
  </si>
  <si>
    <t>Fafh</t>
  </si>
  <si>
    <t>Hfdyu</t>
  </si>
  <si>
    <t>Ggdg</t>
  </si>
  <si>
    <t>DOI24479303</t>
  </si>
  <si>
    <t>29-06-2025 07:06 PM</t>
  </si>
  <si>
    <t>29-06-2025 07:20 PM</t>
  </si>
  <si>
    <t>District: Bombali
Chiefdom: Safroko Limba Chiefdom
PHU name: Kagbankona MCHP
Community name: KADANDA (SAFROKO LIMBA)
Name of school: COMMUNITY PRIMARY SCHOOL (2112-2-04687)</t>
  </si>
  <si>
    <t xml:space="preserve">Foday Turay </t>
  </si>
  <si>
    <t>Marye kai</t>
  </si>
  <si>
    <t xml:space="preserve">Zainab Kamara </t>
  </si>
  <si>
    <t>QDB64927795</t>
  </si>
  <si>
    <t>29-06-2025 06:50 PM</t>
  </si>
  <si>
    <t>29-06-2025 06:51 PM</t>
  </si>
  <si>
    <t>District: Bombali
Chiefdom: Safroko Limba Chiefdom
PHU name: Kagbankona MCHP
Community name: KASENGBEH (SAFROKO LIMBA)
Name of school: KASENGBEH COMMUNITY PRIMARY SCHOOL (2112-2-04696)</t>
  </si>
  <si>
    <t>Salamatu Vandi</t>
  </si>
  <si>
    <t>Binta Bag</t>
  </si>
  <si>
    <t>VUJ55661574</t>
  </si>
  <si>
    <t>29-06-2025 06:42 PM</t>
  </si>
  <si>
    <t>29-06-2025 06:43 PM</t>
  </si>
  <si>
    <t>District: Bombali
Chiefdom: Safroko Limba Chiefdom
PHU name: Kayasie CHP
Community name: KABARAY (SAFROKO LIMBA)
Name of school: ROMAN CATHOLIC COMMUNITY PRIMARY SCHOOL (2112-2-12045)</t>
  </si>
  <si>
    <t xml:space="preserve">Foday Sankoh </t>
  </si>
  <si>
    <t>Mary Conteh</t>
  </si>
  <si>
    <t>Francess kalokoh</t>
  </si>
  <si>
    <t>CGP16745569</t>
  </si>
  <si>
    <t>29-06-2025 06:35 PM</t>
  </si>
  <si>
    <t>District: Bo
Chiefdom: Niawa Lenga
PHU name: Ngogbebu MCHP
Community name: Kowa
Name of school: Ansarul Primary School(Kowa, Ngogbebu MCHP)
Enrollment: 159</t>
  </si>
  <si>
    <t>Musa Kamara</t>
  </si>
  <si>
    <t>Lucy Kargbo</t>
  </si>
  <si>
    <t>Fatu Jalloh</t>
  </si>
  <si>
    <t>OJU22103975</t>
  </si>
  <si>
    <t>29-06-2025 06:23 PM</t>
  </si>
  <si>
    <t>29-06-2025 06:24 PM</t>
  </si>
  <si>
    <t>District: Bombali
Chiefdom: Safroko Limba Chiefdom
PHU name: Maselleh MCHP
Community name: MAKARAY (SAFROKO LIMBA)
Name of school: MAKARAY COMMUNITY PRIMARY SCHOOL (2112-2-04685)</t>
  </si>
  <si>
    <t>Fatmata koroma</t>
  </si>
  <si>
    <t xml:space="preserve">Zainab Jalloh </t>
  </si>
  <si>
    <t>Alimammy Conteh</t>
  </si>
  <si>
    <t>AVA76835465</t>
  </si>
  <si>
    <t>29-06-2025 05:59 PM</t>
  </si>
  <si>
    <t>29-06-2025 06:01 PM</t>
  </si>
  <si>
    <t>District: Bombali
Chiefdom: Safroko Limba Chiefdom
PHU name: Maselleh MCHP
Community name: KATHANKINA (SAFROKO LIMBA)
Name of school: COMMUNITY PRIMARY SCHOOL (2112-2-12046)</t>
  </si>
  <si>
    <t>Isatu Sankoh</t>
  </si>
  <si>
    <t>Francess kawa</t>
  </si>
  <si>
    <t>OPD18026172</t>
  </si>
  <si>
    <t>29-06-2025 05:50 PM</t>
  </si>
  <si>
    <t>29-06-2025 05:54 PM</t>
  </si>
  <si>
    <t>District: Bombali
Chiefdom: Safroko Limba Chiefdom
PHU name: Maselleh MCHP
Community name: KAYASIE (SAFROKO LIMBA)
Name of school: ROMAN CATHOLIC PRIMARY SCHOOL (2112-2-04688)</t>
  </si>
  <si>
    <t>Abdul sankoh</t>
  </si>
  <si>
    <t xml:space="preserve">Danika </t>
  </si>
  <si>
    <t>Musa</t>
  </si>
  <si>
    <t>HHK34332895</t>
  </si>
  <si>
    <t>29-06-2025 04:07 PM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</si>
  <si>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</si>
  <si>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Fhkjy</t>
  </si>
  <si>
    <t>Fggf</t>
  </si>
  <si>
    <t xml:space="preserve">Fluff drafts </t>
  </si>
  <si>
    <t>ECC57364881</t>
  </si>
  <si>
    <t>26-06-2025 11:38 AM</t>
  </si>
  <si>
    <t>29-06-2025 03:24 PM</t>
  </si>
  <si>
    <t>District: Bombali
Chiefdom: Makarie 
PHU name: Magbenteh Community Hospital
Community name: Magbenteh Makari
Name of school: Sierra Experimental Primary School (2108-2-13794)(Magbenteh Makari, Magbenteh Community Hospital)
Enrollment: 229</t>
  </si>
  <si>
    <t>Neneh</t>
  </si>
  <si>
    <t xml:space="preserve">Alusine </t>
  </si>
  <si>
    <t>SUM89873295</t>
  </si>
  <si>
    <t>26-06-2025 11:19 AM</t>
  </si>
  <si>
    <t>29-06-2025 03:23 PM</t>
  </si>
  <si>
    <t>District: Bombali
Chiefdom: Mara 
PHU name: Mara CHC
Community name: Mara
Name of school: Ansarul Islamic Primary School (2109-2-04576)(Mara, Mara CHC)
Enrollment: 274</t>
  </si>
  <si>
    <t>Mohamed</t>
  </si>
  <si>
    <t>POD20490845</t>
  </si>
  <si>
    <t>26-06-2025 11:39 AM</t>
  </si>
  <si>
    <t>29-06-2025 03:02 PM</t>
  </si>
  <si>
    <t>District: Bombali
Chiefdom: Makarie 
PHU name: Masongbo (Makarie) CHC
Community name: Masongbo Makari
Name of school: As-Sabiqoon Islamic Primary School (2018-2-14945)(Masongbo Makari, Masongbo (Makarie) CHC)
Enrollment: 0</t>
  </si>
  <si>
    <t>Jay</t>
  </si>
  <si>
    <t>Abibatu</t>
  </si>
  <si>
    <t>James</t>
  </si>
  <si>
    <t>FAM47558271</t>
  </si>
  <si>
    <t>26-06-2025 11:14 AM</t>
  </si>
  <si>
    <t>29-06-2025 03:00 PM</t>
  </si>
  <si>
    <t>District: Bombali
Chiefdom: Makarie 
PHU name: Makarie CHP
Community name: Worreh (Makari)
Name of school: Kasangha Islamic Primary School (2108-2-04365)(Worreh (Makari), Makarie CHP)
Enrollment: 167</t>
  </si>
  <si>
    <t>John Bangura</t>
  </si>
  <si>
    <t>Abukarr</t>
  </si>
  <si>
    <t>ZYN23200169</t>
  </si>
  <si>
    <t>28-06-2025 10:40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</si>
  <si>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</si>
  <si>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Yealie Turay </t>
  </si>
  <si>
    <t>Abu sesay</t>
  </si>
  <si>
    <t>RBN84256299</t>
  </si>
  <si>
    <t>28-06-2025 10:32 AM</t>
  </si>
  <si>
    <t>Adama samura</t>
  </si>
  <si>
    <t>Adama</t>
  </si>
  <si>
    <t>JCG67356494</t>
  </si>
  <si>
    <t>District: Bombali
Chiefdom: Gbanti (Bombali) 
PHU name: Stocco CHP
Community name: Mabanta (Gbanti)
Name of school: Wesleyan Church Of Sierra Leone Primary School (2104-2-04182)(Mabanta (Gbanti), Stocco CHP)
Enrollment: 354</t>
  </si>
  <si>
    <t>Ad</t>
  </si>
  <si>
    <t>Sg</t>
  </si>
  <si>
    <t>Ty</t>
  </si>
  <si>
    <t>TZG46070735</t>
  </si>
  <si>
    <t>26-06-2025 11:44 AM</t>
  </si>
  <si>
    <t>28-06-2025 09:49 AM</t>
  </si>
  <si>
    <t>District: Bombali
Chiefdom: Makarie 
PHU name: Masongbo (Makarie) CHC
Community name: Rogbesseh (Makari)
Name of school: Rogbesseh Community Primary School (2108-2-04332)(Rogbesseh (Makari), Masongbo (Makarie) CHC)
Enrollment: 80</t>
  </si>
  <si>
    <t>Margaret gatu sesay</t>
  </si>
  <si>
    <t>Juliet a conteh</t>
  </si>
  <si>
    <t>Foday kargbo</t>
  </si>
  <si>
    <t>PVX72257142</t>
  </si>
  <si>
    <t>District: Bombali
Chiefdom: Gbanti (Bombali) 
PHU name: Stocco CHP
Community name: Forestry Road
Name of school: New Beginning Baptist Academy(Forestry Road, Stocco CHP)
Enrollment: 0</t>
  </si>
  <si>
    <t>NUW14482274</t>
  </si>
  <si>
    <t>28-06-2025 09:48 AM</t>
  </si>
  <si>
    <t>District: Bombali
Chiefdom: Makarie 
PHU name: Thonkoba CHP
Community name: Mabaibana (Makari)
Name of school: Evangelical Model Priimary School (2108-2-04369)(Mabaibana (Makari), Thonkoba CHP)
Enrollment: 286</t>
  </si>
  <si>
    <t>Umu</t>
  </si>
  <si>
    <t>Binta</t>
  </si>
  <si>
    <t>Hawa</t>
  </si>
  <si>
    <t>PZW90379542</t>
  </si>
  <si>
    <t>26-06-2025 11:25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</si>
  <si>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</si>
  <si>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Alie</t>
  </si>
  <si>
    <t>Brima</t>
  </si>
  <si>
    <t>QBS68243521</t>
  </si>
  <si>
    <t>Sajeed Islam Kanu</t>
  </si>
  <si>
    <t>28-06-2025 05:43 AM</t>
  </si>
  <si>
    <t>District: Bo
Chiefdom: Baoma
PHU name: Foindu MCHP
Community name: Ndema
Name of school: Ansarul Islamic Primary School
Enrollment: 278</t>
  </si>
  <si>
    <t xml:space="preserve">Fatmata Mansaray </t>
  </si>
  <si>
    <t>Augustine Musa</t>
  </si>
  <si>
    <t>Jenneh Sesay</t>
  </si>
  <si>
    <t>GOE36688458</t>
  </si>
  <si>
    <t>27-06-2025 02:26 PM</t>
  </si>
  <si>
    <t>District: Bo
Chiefdom: Kakua
PHU name: SLRCS CHC
Community name: Njai Town (Bo Town)
Name of school: District Education Committee Primary School (Upper)(Njai Town (Bo Town), SLRCS CHC)
Enrollment: 95</t>
  </si>
  <si>
    <t xml:space="preserve">Ashmaru Mansaray </t>
  </si>
  <si>
    <t xml:space="preserve">Mary J Ngobeh </t>
  </si>
  <si>
    <t xml:space="preserve">Alpha Kappa </t>
  </si>
  <si>
    <t>PWU30882671</t>
  </si>
  <si>
    <t>10-06-2025 06:58 AM</t>
  </si>
  <si>
    <t>27-06-2025 06:59 AM</t>
  </si>
  <si>
    <t>District: Bo
Chiefdom: Tinkoko
PHU name: Tikonko CHC
Community name: Gbalehun
Name of school: R C Primary School</t>
  </si>
  <si>
    <t>MMT31991368</t>
  </si>
  <si>
    <t>10-06-2025 05:54 AM</t>
  </si>
  <si>
    <t>District: Bo
Chiefdom: Selenga
PHU name: Damballa CHC
Community name: Gbumbeh
Name of school: S D A Gbumpeh</t>
  </si>
  <si>
    <t>CFH04556676</t>
  </si>
  <si>
    <t>10-06-2025 05:51 AM</t>
  </si>
  <si>
    <t>27-06-2025 06:58 AM</t>
  </si>
  <si>
    <t>District: Bo
Chiefdom: Selenga
PHU name: Damballa CHC
Community name: Sembehun
Name of school: S D A Primary school</t>
  </si>
  <si>
    <t>YHV40658680</t>
  </si>
  <si>
    <t>09-06-2025 08:41 AM</t>
  </si>
  <si>
    <t>District: Bombali
Chiefdom: Makeni City
PHU name: Teko Barracks CHP
Community name: AZZOLINE HIGH WAY MAKENI (MAKENI CITY)
Name of school: SAINT FRANCIS PRIMARY SCHOOL , MAKENI (2191-2-04500)</t>
  </si>
  <si>
    <t>LLW34385752</t>
  </si>
  <si>
    <t>09-06-2025 08:40 AM</t>
  </si>
  <si>
    <t>District: Bombali
Chiefdom: Makeni City
PHU name: Teko Barracks CHP
Community name: CONGO TOWN (MAKENI CITY)
Name of school: ANSARUL ISLAMIC PRIMARY SCHOOL , II (2191-2-04425)</t>
  </si>
  <si>
    <t>MCM22873152</t>
  </si>
  <si>
    <t>District: Bombali
Chiefdom: Makeni City
PHU name: Teko Barracks CHP
Community name: AZZOLINE HIGH WAY MAKENI (MAKENI CITY)
Name of school: HERITAGE PRIMARY SCHOOL (2191-2-12158)</t>
  </si>
  <si>
    <t>BEM67089172</t>
  </si>
  <si>
    <t>09-06-2025 08:37 AM</t>
  </si>
  <si>
    <t>District: Bombali
Chiefdom: Makeni City
PHU name: Teko Barracks CHP
Community name: WUSU STREET MAKENI (MAKENI CITY)
Name of school: KHULAFAI RASHIDEEN PRIMARY SCHOOL (2191-2-04543)</t>
  </si>
  <si>
    <t>SZZ95875707</t>
  </si>
  <si>
    <t>26-06-2025 12:33 PM</t>
  </si>
  <si>
    <t>District: Bombali
Chiefdom: Biriwa
PHU name: Kamathudgu MCHP
Community name: Kakayon (Biriwa)
Name of school: Nanda Theresa Roman Catholic Primary School (2101-2-04048)(Kakayon (Biriwa), Kamathudgu MCHP)
Enrollment: 0</t>
  </si>
  <si>
    <t>Joseph kamara</t>
  </si>
  <si>
    <t>Isatu Sesay</t>
  </si>
  <si>
    <t>Abu Koroma</t>
  </si>
  <si>
    <t>PUO91249947</t>
  </si>
  <si>
    <t>26-06-2025 12:22 PM</t>
  </si>
  <si>
    <t>District: Bo
Chiefdom: Kakua
PHU name: Bo School Bay CHP
Community name: Niagorehun (Bo Town)
Name of school: Kindom Carriers (4191-2-13219)(Niagorehun (Bo Town), Bo School Bay CHP)
Enrollment: 250</t>
  </si>
  <si>
    <t xml:space="preserve">Hannah Fortune </t>
  </si>
  <si>
    <t xml:space="preserve">Zainab Yorkie Kamara </t>
  </si>
  <si>
    <t xml:space="preserve">Mamie Kallon </t>
  </si>
  <si>
    <t>ZFW57520300</t>
  </si>
  <si>
    <t>26-06-2025 12:14 PM</t>
  </si>
  <si>
    <t>District: Bo
Chiefdom: Kakua
PHU name: Kandeh Town CHP
Community name: Back Of P S Office Tinkoko Road
Name of school: Nwumba Education And Cultural Primary School (Back Of P S Office Tinkoko Road, Kandeh Town CHP)
Enrollment: 131</t>
  </si>
  <si>
    <t xml:space="preserve">Ishaka sheriff </t>
  </si>
  <si>
    <t xml:space="preserve">Fatmata mansaray </t>
  </si>
  <si>
    <t>NRZ54025659</t>
  </si>
  <si>
    <t>26-06-2025 12:12 PM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</si>
  <si>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</si>
  <si>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Mattu Kondeh </t>
  </si>
  <si>
    <t xml:space="preserve">Mohamed kamara </t>
  </si>
  <si>
    <t xml:space="preserve">Samuel S Bangura </t>
  </si>
  <si>
    <t>JYA72489348</t>
  </si>
  <si>
    <t>26-06-2025 11:18 AM</t>
  </si>
  <si>
    <t>26-06-2025 12:11 PM</t>
  </si>
  <si>
    <t>District: Bombali
Chiefdom: Ngowahun 
PHU name: Kalangba (Ngowahun) CHC
Community name: Mangua (N'Gowahun)
Name of school: Community Primary School (2110-2-04589)(Mangua (N'Gowahun), Kalangba (Ngowahun) CHC)
Enrollment: 237</t>
  </si>
  <si>
    <t>DJQ60337448</t>
  </si>
  <si>
    <t>26-06-2025 12:09 PM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</si>
  <si>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</si>
  <si>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Fatmata koroma </t>
  </si>
  <si>
    <t>Kadiatu</t>
  </si>
  <si>
    <t>MUW97274653</t>
  </si>
  <si>
    <t>26-06-2025 12:05 PM</t>
  </si>
  <si>
    <t>District: Bo
Chiefdom: Kakua
PHU name: Gbongboma CHP
Community name: Kortugbuma (Bo Town)
Name of school: National Pentecostal Primary School(Kortugbuma (Bo Town), Gbongboma CHP)
Enrollment: 273</t>
  </si>
  <si>
    <t xml:space="preserve">Fatmata sesay </t>
  </si>
  <si>
    <t>Lucia Feika</t>
  </si>
  <si>
    <t>Abie</t>
  </si>
  <si>
    <t>GXU70452053</t>
  </si>
  <si>
    <t>26-06-2025 12:03 PM</t>
  </si>
  <si>
    <t>District: Bo
Chiefdom: Bo City
PHU name: Mercy Hospital
Community name: Bumpewo (Bo Town)
Name of school: Sierra Leone Muslim Brotherhood Primary School(Bumpewo (Bo Town), Mercy Hospital)
Enrollment: 447</t>
  </si>
  <si>
    <t>07</t>
  </si>
  <si>
    <t>08</t>
  </si>
  <si>
    <t>05</t>
  </si>
  <si>
    <t>Musa kamara</t>
  </si>
  <si>
    <t>Hawa foday</t>
  </si>
  <si>
    <t>Kadie swaray</t>
  </si>
  <si>
    <t>RYS98744362</t>
  </si>
  <si>
    <t>26-06-2025 12:02 PM</t>
  </si>
  <si>
    <t>District: Bo
Chiefdom: Kakua
PHU name: Gender MCHP
Community name: Ngolala (Kakua)
Name of school: Ummatul Islamic Primary School (4109-2-06784)(Ngolala (Kakua), Gender MCHP)
Enrollment: 78</t>
  </si>
  <si>
    <t>Ibrahim Sesay</t>
  </si>
  <si>
    <t>Idrissa Sesay</t>
  </si>
  <si>
    <t>Mohammed Sesay</t>
  </si>
  <si>
    <t>BMF39098878</t>
  </si>
  <si>
    <t>26-06-2025 11:56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</si>
  <si>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</si>
  <si>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Barnard sow</t>
  </si>
  <si>
    <t xml:space="preserve">Isatu kamara </t>
  </si>
  <si>
    <t xml:space="preserve">Abdul Rashid Turay </t>
  </si>
  <si>
    <t>DEE55383725</t>
  </si>
  <si>
    <t>26-06-2025 11:55 AM</t>
  </si>
  <si>
    <t>District: Bombali
Chiefdom: Magbaimba Ndohahun 
PHU name: Hunduwa MCHP
Community name: Yana (Magbaimba Ndorwahun)
Name of school: Community Primary School (2107-2-04322)(Yana (Magbaimba Ndorwahun), Hunduwa MCHP)
Enrollment: 153</t>
  </si>
  <si>
    <t xml:space="preserve">Victoria Bangura </t>
  </si>
  <si>
    <t>YSE59877837</t>
  </si>
  <si>
    <t>District: Bombali
Chiefdom: Ngowahun 
PHU name: Tambiama CHP
Community name: Mayatta (N'Gowahun)
Name of school: Education Hope Academy Primary School (2110-2-04610)(Mayatta (N'Gowahun), Tambiama CHP)
Enrollment: 242</t>
  </si>
  <si>
    <t>Kadiatu Sesay</t>
  </si>
  <si>
    <t>GJX17399454</t>
  </si>
  <si>
    <t>26-06-2025 11:51 AM</t>
  </si>
  <si>
    <t>District: Bombali
Chiefdom: Kamaranka 
PHU name: Royeama CHP
Community name: Royeama (Kamaranka)
Name of school: Roman Catholic Primary School (2106-2-04292)(Royeama (Kamaranka), Royeama CHP)
Enrollment: 375</t>
  </si>
  <si>
    <t xml:space="preserve">Kadiatu sesay </t>
  </si>
  <si>
    <t>Adama conteh</t>
  </si>
  <si>
    <t xml:space="preserve">Susan Turay </t>
  </si>
  <si>
    <t>YAD86243671</t>
  </si>
  <si>
    <t>26-06-2025 11:49 AM</t>
  </si>
  <si>
    <t>https://www.xender.com/web2gp.html?nm=AndroidShare_3840&amp;pw=0bf285d50940&amp;i=43&amp;p=19638464&amp;b=1&amp;d=1</t>
  </si>
  <si>
    <t xml:space="preserve">Augusta Komma </t>
  </si>
  <si>
    <t>Susan Sam</t>
  </si>
  <si>
    <t>Mary Abdul</t>
  </si>
  <si>
    <t>WAS34196021</t>
  </si>
  <si>
    <t>26-06-2025 11:37 AM</t>
  </si>
  <si>
    <t>26-06-2025 11:48 AM</t>
  </si>
  <si>
    <t>District: Bo
Chiefdom: Bo City
PHU name: Simbo Town CHP
Community name: Kennedy (Bo Town)
Name of school: Aladura Primary (4191-2-06355)(Kennedy (Bo Town), Simbo Town CHP)
Enrollment: 294</t>
  </si>
  <si>
    <t>Gfjfjhj</t>
  </si>
  <si>
    <t>Rufuj</t>
  </si>
  <si>
    <t>Fish hhhj</t>
  </si>
  <si>
    <t>CYO25860710</t>
  </si>
  <si>
    <t>District: Bombali
Chiefdom: Makarie 
PHU name: Makarie CHP
Community name: Makeh (Makari)
Name of school: Kankaylay Islamic Primary School (2108-2-04341)(Makeh (Makari), Makarie CHP)
Enrollment: 143</t>
  </si>
  <si>
    <t>Usif sesay</t>
  </si>
  <si>
    <t>Dauda</t>
  </si>
  <si>
    <t>VRX89344853</t>
  </si>
  <si>
    <t>26-06-2025 10:55 AM</t>
  </si>
  <si>
    <t>District: Bo
Chiefdom: Bo City
PHU name: Gbanja Town CHP
Community name: Tengbewabu (Bo Town)
Name of school: Jefferson Baptist Primary School (4191-2-06565)(Tengbewabu (Bo Town), Gbanja Town CHP)
Enrollment: 279</t>
  </si>
  <si>
    <t>Karimu Kargbo</t>
  </si>
  <si>
    <t>Joe kpana</t>
  </si>
  <si>
    <t>Hawa Koroma</t>
  </si>
  <si>
    <t>UCS78393403</t>
  </si>
  <si>
    <t>District: Bo
Chiefdom: Kakua
PHU name: Rescue Health Clinic CHP
Community name: Borborkombo (Bo Town)
Name of school: Therenisa Memorial Primary School (4191-2-06265)(Borborkombo (Bo Town), Rescue Health Clinic CHP)
Enrollment: 223</t>
  </si>
  <si>
    <t xml:space="preserve">Hawa John </t>
  </si>
  <si>
    <t xml:space="preserve">Massah Momoh </t>
  </si>
  <si>
    <t xml:space="preserve">John Turay </t>
  </si>
  <si>
    <t>IHM61374785</t>
  </si>
  <si>
    <t>26-06-2025 11:26 AM</t>
  </si>
  <si>
    <t>26-06-2025 11:47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</si>
  <si>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</si>
  <si>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 xml:space="preserve">Abu </t>
  </si>
  <si>
    <t xml:space="preserve">DAUDA </t>
  </si>
  <si>
    <t>LFQ72855440</t>
  </si>
  <si>
    <t>District: Bo
Chiefdom: Kakua
PHU name: New Police Barracks CHC
Community name: Sheriff Town (Kakua)
Name of school: Grace Academy Primary School Sheriff Town (4109-2-06866)(Sheriff Town (Kakua), New Police Barracks CHC)
Enrollment: 79</t>
  </si>
  <si>
    <t xml:space="preserve">Ibrahim Massaquoi </t>
  </si>
  <si>
    <t xml:space="preserve">Isata Kamara </t>
  </si>
  <si>
    <t xml:space="preserve">Abu Sesay </t>
  </si>
  <si>
    <t>PEB59500750</t>
  </si>
  <si>
    <t>District: Bombali
Chiefdom: Makarie 
PHU name: Fullah Town 1 CHP
Community name: Madina Tabai (Makari)
Name of school: Holy Family Community Primary (2108-2-04337)(Madina Tabai (Makari), Fullah Town 1 CHP)
Enrollment: 249</t>
  </si>
  <si>
    <t>Sorie kanu</t>
  </si>
  <si>
    <t xml:space="preserve">Sento thoronka </t>
  </si>
  <si>
    <t>Robert Sesay WA</t>
  </si>
  <si>
    <t>UYQ78483978</t>
  </si>
  <si>
    <t>District: Bombali
Chiefdom: Makarie 
PHU name: Masongbo (Makarie) CHC
Community name: Mayorba (Makari)
Name of school: Kansangha Islamic Primary School (2108-2-04356)(Mayorba (Makari), Masongbo (Makarie) CHC)
Enrollment: 167</t>
  </si>
  <si>
    <t xml:space="preserve">Mabinty sankoh </t>
  </si>
  <si>
    <t xml:space="preserve">Mabinty Lamin kamara </t>
  </si>
  <si>
    <t xml:space="preserve">Catherine turay </t>
  </si>
  <si>
    <t>OFR19223087</t>
  </si>
  <si>
    <t>26-06-2025 11:45 AM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</si>
  <si>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</si>
  <si>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 xml:space="preserve">Ramatu kuyateh </t>
  </si>
  <si>
    <t xml:space="preserve">Isatu Kamara </t>
  </si>
  <si>
    <t xml:space="preserve">Ibrahim Kamara </t>
  </si>
  <si>
    <t>GPQ38223127</t>
  </si>
  <si>
    <t>District: Bombali
Chiefdom: Kamaranka 
PHU name: Royeama CHP
Community name: Rowullah (Kamaranka)
Name of school: Roman Catholic Primary School (2106-2-04288)(Rowullah (Kamaranka), Royeama CHP)
Enrollment: 260</t>
  </si>
  <si>
    <t>00</t>
  </si>
  <si>
    <t>U jay</t>
  </si>
  <si>
    <t>Zk</t>
  </si>
  <si>
    <t>Ben</t>
  </si>
  <si>
    <t>VZP00556040</t>
  </si>
  <si>
    <t>District: Bombali
Chiefdom: Gbanti (Bombali) 
PHU name: Panlap CHP
Community name: Panlap (Gbanti)
Name of school: Roman Catholic Primary School (2104-2-04235)(Panlap (Gbanti), Panlap CHP)
Enrollment: 240</t>
  </si>
  <si>
    <t>Ant bee</t>
  </si>
  <si>
    <t>MPB79082938</t>
  </si>
  <si>
    <t>26-06-2025 11:43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</si>
  <si>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</si>
  <si>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Mamusu</t>
  </si>
  <si>
    <t>Jesmark</t>
  </si>
  <si>
    <t>Mapy</t>
  </si>
  <si>
    <t>DSV72909191</t>
  </si>
  <si>
    <t>District: Bombali
Chiefdom: Kamaranka 
PHU name: Royeama CHP
Community name: Makapr (Kamaranka)
Name of school: Wesleyan Church Of Sierra Leone Primary (2106-2-04286)(Makapr (Kamaranka), Royeama CHP)
Enrollment: 405</t>
  </si>
  <si>
    <t xml:space="preserve">Alpha umaro kanu </t>
  </si>
  <si>
    <t>Aminata sesay</t>
  </si>
  <si>
    <t>Mohamed kanu</t>
  </si>
  <si>
    <t>ZCX38394625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</si>
  <si>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</si>
  <si>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John D.Conteh</t>
  </si>
  <si>
    <t>Mohamed A. Kamara</t>
  </si>
  <si>
    <t xml:space="preserve">Abu sesay </t>
  </si>
  <si>
    <t>SHU84387575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</si>
  <si>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</si>
  <si>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Flatmata Turay </t>
  </si>
  <si>
    <t xml:space="preserve">Isata koroma </t>
  </si>
  <si>
    <t>Kanda A Turay</t>
  </si>
  <si>
    <t>WYC29499980</t>
  </si>
  <si>
    <t>District: Bombali
Chiefdom: Makarie 
PHU name: Fullah Town 1 CHP
Community name: Makoth (Makari)
Name of school: Church Of God Primary School (2108-2-04342)(Makoth (Makari), Fullah Town 1 CHP)
Enrollment: 0</t>
  </si>
  <si>
    <t>Amadu k</t>
  </si>
  <si>
    <t xml:space="preserve">Hawa </t>
  </si>
  <si>
    <t>DOQ35980125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</si>
  <si>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</si>
  <si>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 xml:space="preserve">Humu sankoh </t>
  </si>
  <si>
    <t xml:space="preserve">Aminata koroma </t>
  </si>
  <si>
    <t>UOT03448807</t>
  </si>
  <si>
    <t>District: Bo
Chiefdom: Kakua
PHU name: Yemoh Town CHC
Community name: Kennedy (Bo Town)
Name of school: Tianbett International Christian Primary (4191-2-06360)(Kennedy (Bo Town), Yemoh Town CHC)
Enrollment: 119</t>
  </si>
  <si>
    <t xml:space="preserve">Zainab k sei </t>
  </si>
  <si>
    <t xml:space="preserve">Jattu Abdulia </t>
  </si>
  <si>
    <t>Daniel jumu</t>
  </si>
  <si>
    <t>YKC08602168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</si>
  <si>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</si>
  <si>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Adama Mansaray </t>
  </si>
  <si>
    <t xml:space="preserve">Zainab Bangura </t>
  </si>
  <si>
    <t>Marie tholley</t>
  </si>
  <si>
    <t>DAW51102374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</si>
  <si>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</si>
  <si>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 xml:space="preserve">Momoh fornah </t>
  </si>
  <si>
    <t xml:space="preserve">Aminata bangura </t>
  </si>
  <si>
    <t>Hassanatu n kamara</t>
  </si>
  <si>
    <t>AOW26399354</t>
  </si>
  <si>
    <t>District: Bo
Chiefdom: Kakua
PHU name: MCH Static CHC
Community name: Coronation Field (Bo Town)
Name of school: Mukeh Tiwah Primary School (4191-2-06276)(Coronation Field (Bo Town), MCH Static CHC)
Enrollment: 251</t>
  </si>
  <si>
    <t>Mariama A mansaray</t>
  </si>
  <si>
    <t xml:space="preserve">Mariama jusu </t>
  </si>
  <si>
    <t>Mattia bokarrie</t>
  </si>
  <si>
    <t>LTB83762644</t>
  </si>
  <si>
    <t>26-06-2025 11:33 AM</t>
  </si>
  <si>
    <t xml:space="preserve">District: Bo
Chiefdom: Kakua
PHU name: Nafaya MCHP
Community name: Kowama (Bo Town)
Name of school: American Calvary  Baptist  Church ,  Bo (4191-2-06406)(Kowama (Bo Town), Nafaya MCHP)
Enrollment: 191</t>
  </si>
  <si>
    <t xml:space="preserve">Kadiatu Bunduka </t>
  </si>
  <si>
    <t>Bintu conteh</t>
  </si>
  <si>
    <t>Fatu conteh</t>
  </si>
  <si>
    <t>SGT61156767</t>
  </si>
  <si>
    <t>26-06-2025 11:32 AM</t>
  </si>
  <si>
    <t>District: Bo
Chiefdom: Kakua
PHU name: Rescue Health Clinic CHP
Community name: Johnny Layout (Bo Town)
Name of school: The Islamic Priamry School Kulafai Mission. (Johnny Layout (Bo Town), Rescue Health Clinic CHP)
Enrollment: 161</t>
  </si>
  <si>
    <t xml:space="preserve">Ashmaru G Feika </t>
  </si>
  <si>
    <t>Mary J Ngobeh</t>
  </si>
  <si>
    <t xml:space="preserve">Amidu Kamara </t>
  </si>
  <si>
    <t>AZY88432850</t>
  </si>
  <si>
    <t>26-06-2025 11:30 AM</t>
  </si>
  <si>
    <t>District: Bombali
Chiefdom: Gbanti (Bombali) 
PHU name: Stocco CHP
Community name: Looking Town Makeni (Gbanti)
Name of school: Al-Harrkan Islamic Primary School (2104-2-04228)(Looking Town Makeni (Gbanti), Stocco CHP)
Enrollment: 431</t>
  </si>
  <si>
    <t>Fatima kanu</t>
  </si>
  <si>
    <t>RRN47461632</t>
  </si>
  <si>
    <t>District: Bombali
Chiefdom: Gbanti (Bombali) 
PHU name: Stocco CHP
Community name: Gibrilla Street
Name of school: Debora Academy Primary School(Gibrilla Street, Stocco CHP)
Enrollment: 0</t>
  </si>
  <si>
    <t>Umu kamara</t>
  </si>
  <si>
    <t>Marie O conteh</t>
  </si>
  <si>
    <t>Momoh r koroma</t>
  </si>
  <si>
    <t>GBW75806042</t>
  </si>
  <si>
    <t>26-06-2025 11:27 AM</t>
  </si>
  <si>
    <t>District: Bombali
Chiefdom: Gbanti (Bombali) 
PHU name: Panlap CHP
Community name: Mabap (Gbanti)
Name of school: Fatima Amputee Primary School (2104-2-04166)(Mabap (Gbanti), Panlap CHP)
Enrollment: 204</t>
  </si>
  <si>
    <t xml:space="preserve">Martha kamara </t>
  </si>
  <si>
    <t xml:space="preserve">Rachael Sawyer </t>
  </si>
  <si>
    <t>Saito Kanu</t>
  </si>
  <si>
    <t>IPK13682449</t>
  </si>
  <si>
    <t>26-06-2025 11:24 AM</t>
  </si>
  <si>
    <t>District: Bombali
Chiefdom: Paki Masabong 
PHU name: Mapaki CHC
Community name: Mapaki Town (Paki Masabong)
Name of school: Roman Catholic Primary School (2111-2-04628)(Mapaki Town (Paki Masabong), Mapaki CHC)
Enrollment: 229</t>
  </si>
  <si>
    <t xml:space="preserve">Hassan conteh </t>
  </si>
  <si>
    <t xml:space="preserve">Mattu  Sillah </t>
  </si>
  <si>
    <t>Fatmata Abdul</t>
  </si>
  <si>
    <t>MZY35756360</t>
  </si>
  <si>
    <t>District: Bombali
Chiefdom: Gbanti (Bombali) 
PHU name: Stocco CHP
Community name: Mathinka (Makari)
Name of school: District Education Committee Primary School (2104-2-04192)(Mathinka (Makari), Stocco CHP)
Enrollment: 324</t>
  </si>
  <si>
    <t xml:space="preserve">Margaret kabia </t>
  </si>
  <si>
    <t>Kadiatu sesay</t>
  </si>
  <si>
    <t xml:space="preserve">Alpha kabia </t>
  </si>
  <si>
    <t>SQZ00008360</t>
  </si>
  <si>
    <t>District: Bombali
Chiefdom: Ngowahun 
PHU name: Masongbo Loko CHP
Community name: Kagberay (N'Gowahun)
Name of school: Kagberay Community Primary School (2110-2-04601)(Kagberay (N'Gowahun), Masongbo Loko CHP)
Enrollment: 198</t>
  </si>
  <si>
    <t>Mabinty sankoh</t>
  </si>
  <si>
    <t>Mabinty Lamin kamara</t>
  </si>
  <si>
    <t>WEO06356331</t>
  </si>
  <si>
    <t>26-06-2025 11:15 AM</t>
  </si>
  <si>
    <t>26-06-2025 11:21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</si>
  <si>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</si>
  <si>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Hannah Sesay </t>
  </si>
  <si>
    <t>Abdul Ba</t>
  </si>
  <si>
    <t>Sorie d</t>
  </si>
  <si>
    <t>WAV18273517</t>
  </si>
  <si>
    <t>26-06-2025 11:20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</si>
  <si>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</si>
  <si>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John D. conteh</t>
  </si>
  <si>
    <t>MTU05124037</t>
  </si>
  <si>
    <t>District: Bombali
Chiefdom: Gbanti (Bombali) 
PHU name: Panlap CHP
Community name: Rosint (Gbanti)
Name of school: Rosint Community Primary School (2104-2-04237)(Rosint (Gbanti), Panlap CHP)
Enrollment: 173</t>
  </si>
  <si>
    <t xml:space="preserve">Sarah </t>
  </si>
  <si>
    <t xml:space="preserve">Aminata </t>
  </si>
  <si>
    <t xml:space="preserve">Mariama </t>
  </si>
  <si>
    <t>HFT43822083</t>
  </si>
  <si>
    <t>District: Bombali
Chiefdom: Makarie 
PHU name: Makarie CHP
Community name: Mankneh Bana (Makari)
Name of school: Roman Catholic Primary School (2108-2-04343)(Mankneh Bana (Makari), Makarie CHP)
Enrollment: 355</t>
  </si>
  <si>
    <t xml:space="preserve">Osman </t>
  </si>
  <si>
    <t xml:space="preserve">Isatu </t>
  </si>
  <si>
    <t>GPF87912724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</si>
  <si>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</si>
  <si>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 xml:space="preserve">Kanda A Turay </t>
  </si>
  <si>
    <t>IMK02682622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</si>
  <si>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</si>
  <si>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 xml:space="preserve">Abu saccoh </t>
  </si>
  <si>
    <t xml:space="preserve">John Y Sesay </t>
  </si>
  <si>
    <t xml:space="preserve">Alpha Koroma </t>
  </si>
  <si>
    <t>PJD95333060</t>
  </si>
  <si>
    <t>District: Bombali
Chiefdom: Gbanti (Bombali) 
PHU name: Stocco CHP
Community name: Conteh U Drive (Gbanti)
Name of school: Ramatulai Memorial School (2104-2-12032)(Conteh U Drive (Gbanti), Stocco CHP)
Enrollment: 189</t>
  </si>
  <si>
    <t>ORU54467526</t>
  </si>
  <si>
    <t>District: Bombali
Chiefdom: Gbanti (Bombali) 
PHU name: Panlap CHP
Community name: Gbasia Village (Gbanti)
Name of school: Gbasia Community Primary School (2104-2-04165)(Gbasia Village (Gbanti), Panlap CHP)
Enrollment: 45</t>
  </si>
  <si>
    <t>DFG98550531</t>
  </si>
  <si>
    <t>26-06-2025 11:17 AM</t>
  </si>
  <si>
    <t>District: Bombali
Chiefdom: Kamaranka 
PHU name: Kamaranka CHC
Community name: Kamba (Kamaranka)
Name of school: Roman Catholic Primary School (2106-2-04297)(Kamba (Kamaranka), Kamaranka CHC)
Enrollment: 299</t>
  </si>
  <si>
    <t xml:space="preserve">Among </t>
  </si>
  <si>
    <t>Sorious</t>
  </si>
  <si>
    <t xml:space="preserve">Fish </t>
  </si>
  <si>
    <t>ZGJ21841531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</si>
  <si>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</si>
  <si>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Maninty </t>
  </si>
  <si>
    <t>ZXF04347235</t>
  </si>
  <si>
    <t>District: Bombali
Chiefdom: Gbanti (Bombali) 
PHU name: Panlap CHP
Community name: Timbo (Gbanti)
Name of school: Al-Harrakan Islamic Primary School (2104-2-04197)(Timbo (Gbanti), Panlap CHP)
Enrollment: 510</t>
  </si>
  <si>
    <t xml:space="preserve">ABDUL AZIM MANSARAY </t>
  </si>
  <si>
    <t>NUE17311124</t>
  </si>
  <si>
    <t xml:space="preserve">District: Bombali
Chiefdom: Gbanti (Bombali) 
PHU name: Panlap CHP
Community name: Panlap Makeni
Name of school: God'S Will International  Academy (2104-2-14923)(Panlap Makeni, Panlap CHP)
Enrollment: 0</t>
  </si>
  <si>
    <t xml:space="preserve">Marian s sankoh </t>
  </si>
  <si>
    <t xml:space="preserve">Mohamed foday Tholley </t>
  </si>
  <si>
    <t>GVJ21755503</t>
  </si>
  <si>
    <t>26-06-2025 11:13 AM</t>
  </si>
  <si>
    <t>District: Bombali
Chiefdom: Mara 
PHU name: Mara CHC
Community name: Magbansor (Mara)
Name of school: Islamic Dawan Primary School Magburaka (2109-2-04573)(Magbansor (Mara), Mara CHC)
Enrollment: 389</t>
  </si>
  <si>
    <t xml:space="preserve">Sheriff Sheku </t>
  </si>
  <si>
    <t>Alpha Gbla</t>
  </si>
  <si>
    <t xml:space="preserve">Aminata M. Turay </t>
  </si>
  <si>
    <t>PVP25975903</t>
  </si>
  <si>
    <t>26-06-2025 11:08 AM</t>
  </si>
  <si>
    <t>District: Bombali
Chiefdom: Ngowahun 
PHU name: Tambiama CHP
Community name: Makahithe (N'Gowahun)
Name of school: Roman Catholic Primary School (2110-2-04591)(Makahithe (N'Gowahun), Tambiama CHP)
Enrollment: 121</t>
  </si>
  <si>
    <t xml:space="preserve">Sento </t>
  </si>
  <si>
    <t>Sorie</t>
  </si>
  <si>
    <t xml:space="preserve">Robert </t>
  </si>
  <si>
    <t>NHL00235913</t>
  </si>
  <si>
    <t>26-06-2025 10:57 AM</t>
  </si>
  <si>
    <t>District: Bo
Chiefdom: Bo City
PHU name: New Police Barracks CHC
Community name: New London (Bo Town)
Name of school: Ansarul Islamic Primary Sch. (4191-2-06478)(New London (Bo Town), New Police Barracks CHC)
Enrollment: 812</t>
  </si>
  <si>
    <t xml:space="preserve">Sattu Sandi </t>
  </si>
  <si>
    <t xml:space="preserve">Isata Kargbo </t>
  </si>
  <si>
    <t xml:space="preserve">Alusine Feika </t>
  </si>
  <si>
    <t>RCT08233292</t>
  </si>
  <si>
    <t>District: Bo
Chiefdom: Bo City
PHU name: Praise Foundation CHC
Community name: Kortugbuma (Bo Town)
Name of school: The Awada Primary School (4191-2-06398)(Kortugbuma (Bo Town), Praise Foundation CHC)
Enrollment: 235</t>
  </si>
  <si>
    <t>Rebecca Maseray Sandy</t>
  </si>
  <si>
    <t>Yeabu Blessing Kanu</t>
  </si>
  <si>
    <t>Mary Yanguba Senesie</t>
  </si>
  <si>
    <t>GXP70201123</t>
  </si>
  <si>
    <t>Unknown User</t>
  </si>
  <si>
    <t>26-06-2025 08:06 AM</t>
  </si>
  <si>
    <t>26-06-2025 10:16 AM</t>
  </si>
  <si>
    <t>District: Bo
Chiefdom: Kakua
PHU name: Gbanja Town CHP
Community name: Baiima Road (Bo Town)
Name of school: Young Women Christiana Association Primary School(Baiima Road (Bo Town), Gbanja Town CHP)
Enrollment: 185</t>
  </si>
  <si>
    <t>Aminata Sandi</t>
  </si>
  <si>
    <t>Memunatu morisana</t>
  </si>
  <si>
    <t>Mohamed. F.Bangalie</t>
  </si>
  <si>
    <t>FSO51106248</t>
  </si>
  <si>
    <t>26-06-2025 09:59 AM</t>
  </si>
  <si>
    <t>https://www.xender.com/web2gp.html?nm=AndroidShare_9583&amp;pw=a16edf70e6c1&amp;i=43&amp;p=19638464&amp;b=1&amp;d=1</t>
  </si>
  <si>
    <t>Mamie kamara</t>
  </si>
  <si>
    <t>Hawa kabba</t>
  </si>
  <si>
    <t>KTN72961643</t>
  </si>
  <si>
    <t>26-06-2025 09:42 AM</t>
  </si>
  <si>
    <t>District: Bombali
Chiefdom: Safroko Limba 
PHU name: Kabonka CHP
Community name: Kadanda (Safroko Limba)
Name of school: Community Primary School (2112-2-04687)(Kadanda (Safroko Limba), Kabonka CHP)
Enrollment: 99</t>
  </si>
  <si>
    <t>Abdulai Jalloh</t>
  </si>
  <si>
    <t xml:space="preserve">Sallieu Kargbo </t>
  </si>
  <si>
    <t>Ibrahim sorie Bangura</t>
  </si>
  <si>
    <t>AQQ01993895</t>
  </si>
  <si>
    <t>26-06-2025 09:29 AM</t>
  </si>
  <si>
    <t>District: Bombali
Chiefdom: Safroko Limba 
PHU name: Binkolo CHC
Community name: Bombali Bana (Safroko Limba)
Name of school: Wesleyan Church Of Sierra Leone Primary (2112-2-04694)(Bombali Bana (Safroko Limba), Binkolo CHC)
Enrollment: 192</t>
  </si>
  <si>
    <t>Isatu kamara</t>
  </si>
  <si>
    <t xml:space="preserve">Abu koroma </t>
  </si>
  <si>
    <t>SDG39940785</t>
  </si>
  <si>
    <t>District: Bo
Chiefdom: Badjia
PHU name: Njandama MCHP
Community name: Jokibu
Name of school: R C Primary School(Jokibu, Njandama MCHP)
Enrollment: 261</t>
  </si>
  <si>
    <t>Ramatu onikeh kamara</t>
  </si>
  <si>
    <t>Thomas M Bangura</t>
  </si>
  <si>
    <t>Issa BD Thullah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</si>
</sst>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1" sqref="A1:XFD1"/>
    </sheetView>
  </sheetViews>
  <sheetFormatPr defaultRowHeight="15.75"/>
  <cols>
    <col min="1" max="1" width="13.5" bestFit="1" customWidth="1"/>
    <col min="2" max="2" width="21.75" bestFit="1" customWidth="1"/>
    <col min="3" max="3" width="18.375" bestFit="1" customWidth="1"/>
    <col min="4" max="4" width="18.375" bestFit="1" customWidth="1"/>
    <col min="5" max="5" width="255.625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23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</row>
    <row r="2">
      <c r="A2" t="s">
        <v>45</v>
      </c>
      <c r="B2" t="s">
        <v>46</v>
      </c>
      <c r="C2" t="s">
        <v>47</v>
      </c>
      <c r="D2" t="s">
        <v>47</v>
      </c>
      <c r="E2" t="s">
        <v>48</v>
      </c>
      <c r="F2" t="s">
        <v>49</v>
      </c>
      <c r="G2">
        <v>250</v>
      </c>
      <c r="H2" t="s">
        <v>50</v>
      </c>
      <c r="I2">
        <v>69</v>
      </c>
      <c r="J2">
        <v>31</v>
      </c>
      <c r="K2">
        <v>29</v>
      </c>
      <c r="L2">
        <v>38</v>
      </c>
      <c r="M2">
        <v>36</v>
      </c>
      <c r="N2" t="s">
        <v>51</v>
      </c>
      <c r="O2">
        <v>38</v>
      </c>
      <c r="P2">
        <v>13</v>
      </c>
      <c r="Q2">
        <v>13</v>
      </c>
      <c r="R2">
        <v>25</v>
      </c>
      <c r="S2">
        <v>24</v>
      </c>
      <c r="T2" t="s">
        <v>52</v>
      </c>
      <c r="U2">
        <v>42</v>
      </c>
      <c r="V2">
        <v>18</v>
      </c>
      <c r="W2">
        <v>18</v>
      </c>
      <c r="X2">
        <v>24</v>
      </c>
      <c r="Y2">
        <v>22</v>
      </c>
      <c r="Z2" t="s">
        <v>53</v>
      </c>
      <c r="AA2">
        <v>42</v>
      </c>
      <c r="AB2">
        <v>22</v>
      </c>
      <c r="AC2">
        <v>21</v>
      </c>
      <c r="AD2">
        <v>20</v>
      </c>
      <c r="AE2">
        <v>19</v>
      </c>
      <c r="AF2" t="s">
        <v>54</v>
      </c>
      <c r="AG2">
        <v>31</v>
      </c>
      <c r="AH2">
        <v>17</v>
      </c>
      <c r="AI2">
        <v>14</v>
      </c>
      <c r="AJ2">
        <v>14</v>
      </c>
      <c r="AK2">
        <v>13</v>
      </c>
      <c r="AL2">
        <v>209</v>
      </c>
      <c r="AM2" t="s">
        <v>55</v>
      </c>
      <c r="AN2">
        <v>41</v>
      </c>
      <c r="AO2">
        <v>41</v>
      </c>
      <c r="AP2" t="s">
        <v>56</v>
      </c>
      <c r="AQ2" t="str">
        <f>HYPERLINK("https://icf.clappia.com/app/GMB253374/submission/HFJ22794410/ICF247370-GMB253374-663j8noche7200000000/SIG-20250630_124919oo8o.jpeg", "SIG-20250630_124919oo8o.jpeg")</f>
        <v>SIG-20250630_124919oo8o.jpeg</v>
      </c>
      <c r="AR2" t="s">
        <v>57</v>
      </c>
      <c r="AS2" t="str">
        <f>HYPERLINK("https://icf.clappia.com/app/GMB253374/submission/HFJ22794410/ICF247370-GMB253374-43pa2io1bh9m00000000/SIG-20250630_124913ema1.jpeg", "SIG-20250630_124913ema1.jpeg")</f>
        <v>SIG-20250630_124913ema1.jpeg</v>
      </c>
      <c r="AT2" t="s">
        <v>58</v>
      </c>
      <c r="AU2" t="str">
        <f>HYPERLINK("https://icf.clappia.com/app/GMB253374/submission/HFJ22794410/ICF247370-GMB253374-17diad2i3m1280000000/SIG-20250630_1249go9d2.jpeg", "SIG-20250630_1249go9d2.jpeg")</f>
        <v>SIG-20250630_1249go9d2.jpeg</v>
      </c>
      <c r="AV2" t="str">
        <f>HYPERLINK("https://www.google.com/maps/place/8.9147217%2C-12.0330667", "8.9147217,-12.0330667")</f>
        <v>8.9147217,-12.0330667</v>
      </c>
    </row>
    <row r="3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>
        <v>157</v>
      </c>
      <c r="H3" t="s">
        <v>50</v>
      </c>
      <c r="I3">
        <v>49</v>
      </c>
      <c r="J3">
        <v>18</v>
      </c>
      <c r="K3">
        <v>6</v>
      </c>
      <c r="L3">
        <v>31</v>
      </c>
      <c r="M3">
        <v>14</v>
      </c>
      <c r="N3" t="s">
        <v>51</v>
      </c>
      <c r="O3">
        <v>71</v>
      </c>
      <c r="P3">
        <v>32</v>
      </c>
      <c r="Q3">
        <v>16</v>
      </c>
      <c r="R3">
        <v>39</v>
      </c>
      <c r="S3">
        <v>21</v>
      </c>
      <c r="T3" t="s">
        <v>52</v>
      </c>
      <c r="U3">
        <v>44</v>
      </c>
      <c r="V3">
        <v>14</v>
      </c>
      <c r="W3">
        <v>14</v>
      </c>
      <c r="X3">
        <v>30</v>
      </c>
      <c r="Y3">
        <v>24</v>
      </c>
      <c r="Z3" t="s">
        <v>53</v>
      </c>
      <c r="AA3">
        <v>44</v>
      </c>
      <c r="AB3">
        <v>21</v>
      </c>
      <c r="AC3">
        <v>20</v>
      </c>
      <c r="AD3">
        <v>23</v>
      </c>
      <c r="AE3">
        <v>20</v>
      </c>
      <c r="AF3" t="s">
        <v>54</v>
      </c>
      <c r="AG3">
        <v>43</v>
      </c>
      <c r="AH3">
        <v>13</v>
      </c>
      <c r="AI3">
        <v>12</v>
      </c>
      <c r="AJ3">
        <v>30</v>
      </c>
      <c r="AK3">
        <v>10</v>
      </c>
      <c r="AL3">
        <v>157</v>
      </c>
      <c r="AM3" t="s">
        <v>55</v>
      </c>
      <c r="AN3" t="s">
        <v>55</v>
      </c>
      <c r="AO3" t="s">
        <v>55</v>
      </c>
      <c r="AP3" t="s">
        <v>65</v>
      </c>
      <c r="AQ3" t="str">
        <f>HYPERLINK("https://icf.clappia.com/app/GMB253374/submission/XEY73100732/ICF247370-GMB253374-2moa8eppjj6o00000000/SIG-20250630_122918jff4.jpeg", "SIG-20250630_122918jff4.jpeg")</f>
        <v>SIG-20250630_122918jff4.jpeg</v>
      </c>
      <c r="AR3" t="s">
        <v>66</v>
      </c>
      <c r="AS3" t="str">
        <f>HYPERLINK("https://icf.clappia.com/app/GMB253374/submission/XEY73100732/ICF247370-GMB253374-5bjob1n9i3le00000000/SIG-20250630_1229132gk2.jpeg", "SIG-20250630_1229132gk2.jpeg")</f>
        <v>SIG-20250630_1229132gk2.jpeg</v>
      </c>
      <c r="AT3" t="s">
        <v>67</v>
      </c>
      <c r="AU3" t="str">
        <f>HYPERLINK("https://icf.clappia.com/app/GMB253374/submission/XEY73100732/ICF247370-GMB253374-1oad6i854deee0000000/SIG-20250630_1242mkdnd.jpeg", "SIG-20250630_1242mkdnd.jpeg")</f>
        <v>SIG-20250630_1242mkdnd.jpeg</v>
      </c>
      <c r="AV3" t="str">
        <f>HYPERLINK("https://www.google.com/maps/place/7.9332386%2C-11.7187503", "7.9332386,-11.7187503")</f>
        <v>7.9332386,-11.7187503</v>
      </c>
    </row>
    <row r="4">
      <c r="A4" t="s">
        <v>68</v>
      </c>
      <c r="B4" t="s">
        <v>69</v>
      </c>
      <c r="C4" t="s">
        <v>62</v>
      </c>
      <c r="D4" t="s">
        <v>62</v>
      </c>
      <c r="E4" t="s">
        <v>70</v>
      </c>
      <c r="F4" t="s">
        <v>49</v>
      </c>
      <c r="G4">
        <v>100</v>
      </c>
      <c r="H4" t="s">
        <v>50</v>
      </c>
      <c r="I4">
        <v>26</v>
      </c>
      <c r="J4">
        <v>13</v>
      </c>
      <c r="K4">
        <v>12</v>
      </c>
      <c r="L4">
        <v>13</v>
      </c>
      <c r="M4">
        <v>8</v>
      </c>
      <c r="N4" t="s">
        <v>51</v>
      </c>
      <c r="O4">
        <v>13</v>
      </c>
      <c r="P4">
        <v>9</v>
      </c>
      <c r="Q4">
        <v>9</v>
      </c>
      <c r="R4">
        <v>4</v>
      </c>
      <c r="S4">
        <v>4</v>
      </c>
      <c r="T4" t="s">
        <v>52</v>
      </c>
      <c r="U4">
        <v>11</v>
      </c>
      <c r="V4">
        <v>5</v>
      </c>
      <c r="W4">
        <v>5</v>
      </c>
      <c r="X4">
        <v>6</v>
      </c>
      <c r="Y4">
        <v>6</v>
      </c>
      <c r="Z4" t="s">
        <v>53</v>
      </c>
      <c r="AA4">
        <v>8</v>
      </c>
      <c r="AB4">
        <v>3</v>
      </c>
      <c r="AC4">
        <v>3</v>
      </c>
      <c r="AD4">
        <v>5</v>
      </c>
      <c r="AE4">
        <v>5</v>
      </c>
      <c r="AF4" t="s">
        <v>54</v>
      </c>
      <c r="AG4">
        <v>11</v>
      </c>
      <c r="AH4">
        <v>6</v>
      </c>
      <c r="AI4">
        <v>5</v>
      </c>
      <c r="AJ4">
        <v>5</v>
      </c>
      <c r="AK4">
        <v>3</v>
      </c>
      <c r="AL4">
        <v>60</v>
      </c>
      <c r="AM4" t="s">
        <v>55</v>
      </c>
      <c r="AN4">
        <v>40</v>
      </c>
      <c r="AO4">
        <v>40</v>
      </c>
      <c r="AP4" t="s">
        <v>71</v>
      </c>
      <c r="AQ4" t="str">
        <f>HYPERLINK("https://icf.clappia.com/app/GMB253374/submission/YRY11174129/ICF247370-GMB253374-6abe5fghf4e000000000/SIG-20250630_12465d5ap.jpeg", "SIG-20250630_12465d5ap.jpeg")</f>
        <v>SIG-20250630_12465d5ap.jpeg</v>
      </c>
      <c r="AR4" t="s">
        <v>72</v>
      </c>
      <c r="AS4" t="str">
        <f>HYPERLINK("https://icf.clappia.com/app/GMB253374/submission/YRY11174129/ICF247370-GMB253374-19cofeng3d21m0000000/SIG-20250630_1247e78l6.jpeg", "SIG-20250630_1247e78l6.jpeg")</f>
        <v>SIG-20250630_1247e78l6.jpeg</v>
      </c>
      <c r="AT4" t="s">
        <v>73</v>
      </c>
      <c r="AU4" t="str">
        <f>HYPERLINK("https://icf.clappia.com/app/GMB253374/submission/YRY11174129/ICF247370-GMB253374-1i4go88d5jf8c0000000/SIG-20250630_1247db7de.jpeg", "SIG-20250630_1247db7de.jpeg")</f>
        <v>SIG-20250630_1247db7de.jpeg</v>
      </c>
      <c r="AV4" t="str">
        <f>HYPERLINK("https://www.google.com/maps/place/8.8682749%2C-12.0316671", "8.8682749,-12.0316671")</f>
        <v>8.8682749,-12.0316671</v>
      </c>
    </row>
    <row r="5">
      <c r="A5" t="s">
        <v>74</v>
      </c>
      <c r="B5" t="s">
        <v>75</v>
      </c>
      <c r="C5" t="s">
        <v>76</v>
      </c>
      <c r="D5" t="s">
        <v>76</v>
      </c>
      <c r="E5" t="s">
        <v>77</v>
      </c>
      <c r="F5" t="s">
        <v>64</v>
      </c>
      <c r="G5">
        <v>300</v>
      </c>
      <c r="H5" t="s">
        <v>50</v>
      </c>
      <c r="I5">
        <v>70</v>
      </c>
      <c r="J5">
        <v>36</v>
      </c>
      <c r="K5">
        <v>34</v>
      </c>
      <c r="L5">
        <v>34</v>
      </c>
      <c r="M5">
        <v>32</v>
      </c>
      <c r="N5" t="s">
        <v>51</v>
      </c>
      <c r="O5">
        <v>62</v>
      </c>
      <c r="P5">
        <v>30</v>
      </c>
      <c r="Q5">
        <v>30</v>
      </c>
      <c r="R5">
        <v>32</v>
      </c>
      <c r="S5">
        <v>30</v>
      </c>
      <c r="T5" t="s">
        <v>52</v>
      </c>
      <c r="U5">
        <v>52</v>
      </c>
      <c r="V5">
        <v>27</v>
      </c>
      <c r="W5">
        <v>27</v>
      </c>
      <c r="X5">
        <v>25</v>
      </c>
      <c r="Y5">
        <v>25</v>
      </c>
      <c r="Z5" t="s">
        <v>53</v>
      </c>
      <c r="AA5">
        <v>55</v>
      </c>
      <c r="AB5">
        <v>27</v>
      </c>
      <c r="AC5">
        <v>26</v>
      </c>
      <c r="AD5">
        <v>28</v>
      </c>
      <c r="AE5">
        <v>28</v>
      </c>
      <c r="AF5" t="s">
        <v>54</v>
      </c>
      <c r="AG5">
        <v>45</v>
      </c>
      <c r="AH5">
        <v>25</v>
      </c>
      <c r="AI5">
        <v>23</v>
      </c>
      <c r="AJ5">
        <v>20</v>
      </c>
      <c r="AK5">
        <v>19</v>
      </c>
      <c r="AL5">
        <v>274</v>
      </c>
      <c r="AM5">
        <v>10</v>
      </c>
      <c r="AN5">
        <v>16</v>
      </c>
      <c r="AO5">
        <v>16</v>
      </c>
      <c r="AP5" t="s">
        <v>78</v>
      </c>
      <c r="AQ5" t="str">
        <f>HYPERLINK("https://icf.clappia.com/app/GMB253374/submission/XCN67989682/ICF247370-GMB253374-68bhj8gbbmn200000000/SIG-20250630_1243keia5.jpeg", "SIG-20250630_1243keia5.jpeg")</f>
        <v>SIG-20250630_1243keia5.jpeg</v>
      </c>
      <c r="AR5" t="s">
        <v>79</v>
      </c>
      <c r="AS5" t="str">
        <f>HYPERLINK("https://icf.clappia.com/app/GMB253374/submission/XCN67989682/ICF247370-GMB253374-2054cndd5m8c80000000/SIG-20250630_1244mgc4k.jpeg", "SIG-20250630_1244mgc4k.jpeg")</f>
        <v>SIG-20250630_1244mgc4k.jpeg</v>
      </c>
      <c r="AT5" t="s">
        <v>80</v>
      </c>
      <c r="AU5" t="str">
        <f>HYPERLINK("https://icf.clappia.com/app/GMB253374/submission/XCN67989682/ICF247370-GMB253374-34h43j9c3fk400000000/SIG-20250630_124426i8d.jpeg", "SIG-20250630_124426i8d.jpeg")</f>
        <v>SIG-20250630_124426i8d.jpeg</v>
      </c>
      <c r="AV5" t="str">
        <f>HYPERLINK("https://www.google.com/maps/place/9.06745%2C-11.9543233", "9.06745,-11.9543233")</f>
        <v>9.06745,-11.9543233</v>
      </c>
    </row>
    <row r="6">
      <c r="A6" t="s">
        <v>81</v>
      </c>
      <c r="B6" t="s">
        <v>82</v>
      </c>
      <c r="C6" t="s">
        <v>61</v>
      </c>
      <c r="D6" t="s">
        <v>61</v>
      </c>
      <c r="E6" t="s">
        <v>83</v>
      </c>
      <c r="F6" t="s">
        <v>64</v>
      </c>
      <c r="G6">
        <v>300</v>
      </c>
      <c r="H6" t="s">
        <v>50</v>
      </c>
      <c r="I6">
        <v>200</v>
      </c>
      <c r="J6">
        <v>40</v>
      </c>
      <c r="K6">
        <v>40</v>
      </c>
      <c r="L6">
        <v>50</v>
      </c>
      <c r="M6">
        <v>50</v>
      </c>
      <c r="N6" t="s">
        <v>51</v>
      </c>
      <c r="O6">
        <v>60</v>
      </c>
      <c r="P6">
        <v>25</v>
      </c>
      <c r="Q6">
        <v>25</v>
      </c>
      <c r="R6">
        <v>35</v>
      </c>
      <c r="S6">
        <v>35</v>
      </c>
      <c r="T6" t="s">
        <v>52</v>
      </c>
      <c r="U6">
        <v>50</v>
      </c>
      <c r="V6">
        <v>20</v>
      </c>
      <c r="W6">
        <v>20</v>
      </c>
      <c r="X6">
        <v>30</v>
      </c>
      <c r="Y6">
        <v>30</v>
      </c>
      <c r="Z6" t="s">
        <v>53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54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>
        <v>200</v>
      </c>
      <c r="AM6" t="s">
        <v>55</v>
      </c>
      <c r="AN6">
        <v>100</v>
      </c>
      <c r="AO6" t="s">
        <v>55</v>
      </c>
      <c r="AP6" t="s">
        <v>84</v>
      </c>
      <c r="AQ6" t="str">
        <f>HYPERLINK("https://icf.clappia.com/app/GMB253374/submission/ZOM52930135/ICF247370-GMB253374-4laimd2bifg600000000/SIG-20250630_1242ffng.jpeg", "SIG-20250630_1242ffng.jpeg")</f>
        <v>SIG-20250630_1242ffng.jpeg</v>
      </c>
      <c r="AR6" t="s">
        <v>85</v>
      </c>
      <c r="AS6" t="str">
        <f>HYPERLINK("https://icf.clappia.com/app/GMB253374/submission/ZOM52930135/ICF247370-GMB253374-3mm4mlbcjc6000000000/SIG-20250630_1241131518.jpeg", "SIG-20250630_1241131518.jpeg")</f>
        <v>SIG-20250630_1241131518.jpeg</v>
      </c>
      <c r="AT6" t="s">
        <v>86</v>
      </c>
      <c r="AU6" t="str">
        <f>HYPERLINK("https://icf.clappia.com/app/GMB253374/submission/ZOM52930135/ICF247370-GMB253374-5bhlkkkkbg4000000000/SIG-20250630_1242ie0f7.jpeg", "SIG-20250630_1242ie0f7.jpeg")</f>
        <v>SIG-20250630_1242ie0f7.jpeg</v>
      </c>
      <c r="AV6" t="str">
        <f>HYPERLINK("https://www.google.com/maps/place/7.9286051%2C-11.4422549", "7.9286051,-11.4422549")</f>
        <v>7.9286051,-11.4422549</v>
      </c>
    </row>
    <row r="7">
      <c r="A7" t="s">
        <v>87</v>
      </c>
      <c r="B7" t="s">
        <v>88</v>
      </c>
      <c r="C7" t="s">
        <v>89</v>
      </c>
      <c r="D7" t="s">
        <v>89</v>
      </c>
      <c r="E7" t="s">
        <v>90</v>
      </c>
      <c r="F7" t="s">
        <v>64</v>
      </c>
      <c r="G7">
        <v>150</v>
      </c>
      <c r="H7" t="s">
        <v>50</v>
      </c>
      <c r="I7">
        <v>16</v>
      </c>
      <c r="J7">
        <v>9</v>
      </c>
      <c r="K7">
        <v>9</v>
      </c>
      <c r="L7">
        <v>7</v>
      </c>
      <c r="M7">
        <v>7</v>
      </c>
      <c r="N7" t="s">
        <v>51</v>
      </c>
      <c r="O7">
        <v>10</v>
      </c>
      <c r="P7">
        <v>3</v>
      </c>
      <c r="Q7">
        <v>3</v>
      </c>
      <c r="R7">
        <v>3</v>
      </c>
      <c r="S7">
        <v>3</v>
      </c>
      <c r="T7" t="s">
        <v>52</v>
      </c>
      <c r="U7">
        <v>5</v>
      </c>
      <c r="V7">
        <v>4</v>
      </c>
      <c r="W7">
        <v>4</v>
      </c>
      <c r="X7">
        <v>1</v>
      </c>
      <c r="Y7">
        <v>1</v>
      </c>
      <c r="Z7" t="s">
        <v>53</v>
      </c>
      <c r="AA7">
        <v>8</v>
      </c>
      <c r="AB7">
        <v>6</v>
      </c>
      <c r="AC7">
        <v>6</v>
      </c>
      <c r="AD7">
        <v>2</v>
      </c>
      <c r="AE7">
        <v>2</v>
      </c>
      <c r="AF7" t="s">
        <v>54</v>
      </c>
      <c r="AG7">
        <v>8</v>
      </c>
      <c r="AH7" t="s">
        <v>55</v>
      </c>
      <c r="AI7" t="s">
        <v>55</v>
      </c>
      <c r="AJ7">
        <v>2</v>
      </c>
      <c r="AK7">
        <v>2</v>
      </c>
      <c r="AL7">
        <v>37</v>
      </c>
      <c r="AM7">
        <v>10</v>
      </c>
      <c r="AN7">
        <v>103</v>
      </c>
      <c r="AO7">
        <v>103</v>
      </c>
      <c r="AP7" t="s">
        <v>91</v>
      </c>
      <c r="AQ7" t="str">
        <f>HYPERLINK("https://icf.clappia.com/app/GMB253374/submission/TSG59452380/ICF247370-GMB253374-5n13mibbghmo00000000/SIG-20250630_1233h43le.jpeg", "SIG-20250630_1233h43le.jpeg")</f>
        <v>SIG-20250630_1233h43le.jpeg</v>
      </c>
      <c r="AR7" t="s">
        <v>92</v>
      </c>
      <c r="AS7" t="str">
        <f>HYPERLINK("https://icf.clappia.com/app/GMB253374/submission/TSG59452380/ICF247370-GMB253374-25km4lekp47gk0000000/SIG-20250630_12348k427.jpeg", "SIG-20250630_12348k427.jpeg")</f>
        <v>SIG-20250630_12348k427.jpeg</v>
      </c>
      <c r="AT7" t="s">
        <v>93</v>
      </c>
      <c r="AU7" t="str">
        <f>HYPERLINK("https://icf.clappia.com/app/GMB253374/submission/TSG59452380/ICF247370-GMB253374-9073pdafdl280000000/SIG-20250630_12362841n.jpeg", "SIG-20250630_12362841n.jpeg")</f>
        <v>SIG-20250630_12362841n.jpeg</v>
      </c>
      <c r="AV7" t="str">
        <f>HYPERLINK("https://www.google.com/maps/place/8.0708742%2C-11.8202222", "8.0708742,-11.8202222")</f>
        <v>8.0708742,-11.8202222</v>
      </c>
    </row>
    <row r="8">
      <c r="A8" t="s">
        <v>94</v>
      </c>
      <c r="B8" t="s">
        <v>69</v>
      </c>
      <c r="C8" t="s">
        <v>95</v>
      </c>
      <c r="D8" t="s">
        <v>95</v>
      </c>
      <c r="E8" t="s">
        <v>96</v>
      </c>
      <c r="F8" t="s">
        <v>49</v>
      </c>
      <c r="G8">
        <v>150</v>
      </c>
      <c r="H8" t="s">
        <v>50</v>
      </c>
      <c r="I8">
        <v>26</v>
      </c>
      <c r="J8">
        <v>13</v>
      </c>
      <c r="K8">
        <v>10</v>
      </c>
      <c r="L8">
        <v>13</v>
      </c>
      <c r="M8">
        <v>6</v>
      </c>
      <c r="N8" t="s">
        <v>51</v>
      </c>
      <c r="O8">
        <v>19</v>
      </c>
      <c r="P8">
        <v>10</v>
      </c>
      <c r="Q8">
        <v>9</v>
      </c>
      <c r="R8">
        <v>9</v>
      </c>
      <c r="S8">
        <v>8</v>
      </c>
      <c r="T8" t="s">
        <v>52</v>
      </c>
      <c r="U8">
        <v>16</v>
      </c>
      <c r="V8">
        <v>5</v>
      </c>
      <c r="W8">
        <v>4</v>
      </c>
      <c r="X8">
        <v>11</v>
      </c>
      <c r="Y8">
        <v>9</v>
      </c>
      <c r="Z8" t="s">
        <v>53</v>
      </c>
      <c r="AA8">
        <v>19</v>
      </c>
      <c r="AB8">
        <v>12</v>
      </c>
      <c r="AC8">
        <v>11</v>
      </c>
      <c r="AD8">
        <v>7</v>
      </c>
      <c r="AE8">
        <v>4</v>
      </c>
      <c r="AF8" t="s">
        <v>54</v>
      </c>
      <c r="AG8">
        <v>13</v>
      </c>
      <c r="AH8">
        <v>4</v>
      </c>
      <c r="AI8">
        <v>4</v>
      </c>
      <c r="AJ8">
        <v>9</v>
      </c>
      <c r="AK8">
        <v>8</v>
      </c>
      <c r="AL8">
        <v>73</v>
      </c>
      <c r="AM8" t="s">
        <v>55</v>
      </c>
      <c r="AN8">
        <v>77</v>
      </c>
      <c r="AO8">
        <v>77</v>
      </c>
      <c r="AP8" t="s">
        <v>97</v>
      </c>
      <c r="AQ8" t="str">
        <f>HYPERLINK("https://icf.clappia.com/app/GMB253374/submission/XWH86274748/ICF247370-GMB253374-10ljep126bci40000000/SIG-20250630_12178c2ha.jpeg", "SIG-20250630_12178c2ha.jpeg")</f>
        <v>SIG-20250630_12178c2ha.jpeg</v>
      </c>
      <c r="AR8" t="s">
        <v>98</v>
      </c>
      <c r="AS8" t="str">
        <f>HYPERLINK("https://icf.clappia.com/app/GMB253374/submission/XWH86274748/ICF247370-GMB253374-64bbfoihohaa00000000/SIG-20250630_1234118c52.jpeg", "SIG-20250630_1234118c52.jpeg")</f>
        <v>SIG-20250630_1234118c52.jpeg</v>
      </c>
      <c r="AT8" t="s">
        <v>99</v>
      </c>
      <c r="AU8" t="str">
        <f>HYPERLINK("https://icf.clappia.com/app/GMB253374/submission/XWH86274748/ICF247370-GMB253374-4o86a66an3ok0000000/SIG-20250630_123382gj0.jpeg", "SIG-20250630_123382gj0.jpeg")</f>
        <v>SIG-20250630_123382gj0.jpeg</v>
      </c>
      <c r="AV8" t="str">
        <f>HYPERLINK("https://www.google.com/maps/place/8.87828%2C-12.0496783", "8.87828,-12.0496783")</f>
        <v>8.87828,-12.0496783</v>
      </c>
    </row>
    <row r="9">
      <c r="A9" t="s">
        <v>100</v>
      </c>
      <c r="B9" t="s">
        <v>101</v>
      </c>
      <c r="C9" t="s">
        <v>102</v>
      </c>
      <c r="D9" t="s">
        <v>102</v>
      </c>
      <c r="E9" t="s">
        <v>103</v>
      </c>
      <c r="F9" t="s">
        <v>64</v>
      </c>
      <c r="G9">
        <v>400</v>
      </c>
      <c r="H9" t="s">
        <v>50</v>
      </c>
      <c r="I9">
        <v>126</v>
      </c>
      <c r="J9" t="s">
        <v>55</v>
      </c>
      <c r="K9" t="s">
        <v>55</v>
      </c>
      <c r="L9">
        <v>126</v>
      </c>
      <c r="M9">
        <v>71</v>
      </c>
      <c r="N9" t="s">
        <v>51</v>
      </c>
      <c r="O9">
        <v>91</v>
      </c>
      <c r="P9" t="s">
        <v>55</v>
      </c>
      <c r="Q9" t="s">
        <v>55</v>
      </c>
      <c r="R9">
        <v>91</v>
      </c>
      <c r="S9">
        <v>58</v>
      </c>
      <c r="T9" t="s">
        <v>52</v>
      </c>
      <c r="U9">
        <v>79</v>
      </c>
      <c r="V9" t="s">
        <v>55</v>
      </c>
      <c r="W9" t="s">
        <v>55</v>
      </c>
      <c r="X9">
        <v>79</v>
      </c>
      <c r="Y9">
        <v>71</v>
      </c>
      <c r="Z9" t="s">
        <v>53</v>
      </c>
      <c r="AA9">
        <v>103</v>
      </c>
      <c r="AB9" t="s">
        <v>55</v>
      </c>
      <c r="AC9" t="s">
        <v>55</v>
      </c>
      <c r="AD9">
        <v>103</v>
      </c>
      <c r="AE9">
        <v>90</v>
      </c>
      <c r="AF9" t="s">
        <v>54</v>
      </c>
      <c r="AG9">
        <v>84</v>
      </c>
      <c r="AH9" t="s">
        <v>55</v>
      </c>
      <c r="AI9" t="s">
        <v>55</v>
      </c>
      <c r="AJ9">
        <v>84</v>
      </c>
      <c r="AK9">
        <v>74</v>
      </c>
      <c r="AL9">
        <v>364</v>
      </c>
      <c r="AM9">
        <v>10</v>
      </c>
      <c r="AN9">
        <v>26</v>
      </c>
      <c r="AO9">
        <v>16</v>
      </c>
      <c r="AP9" t="s">
        <v>104</v>
      </c>
      <c r="AQ9" t="str">
        <f>HYPERLINK("https://icf.clappia.com/app/GMB253374/submission/CCE58524124/ICF247370-GMB253374-4oa0hanp0dog00000000/SIG-20250630_122317efd7.jpeg", "SIG-20250630_122317efd7.jpeg")</f>
        <v>SIG-20250630_122317efd7.jpeg</v>
      </c>
      <c r="AR9" t="s">
        <v>105</v>
      </c>
      <c r="AS9" t="str">
        <f>HYPERLINK("https://icf.clappia.com/app/GMB253374/submission/CCE58524124/ICF247370-GMB253374-40fga2dkf50c0000000/SIG-20250630_122416afj9.jpeg", "SIG-20250630_122416afj9.jpeg")</f>
        <v>SIG-20250630_122416afj9.jpeg</v>
      </c>
      <c r="AT9" t="s">
        <v>106</v>
      </c>
      <c r="AU9" t="str">
        <f>HYPERLINK("https://icf.clappia.com/app/GMB253374/submission/CCE58524124/ICF247370-GMB253374-2kkpgn7gj48800000000/SIG-20250630_1229gh00p.jpeg", "SIG-20250630_1229gh00p.jpeg")</f>
        <v>SIG-20250630_1229gh00p.jpeg</v>
      </c>
      <c r="AV9" t="str">
        <f>HYPERLINK("https://www.google.com/maps/place/7.9538312%2C-11.7354775", "7.9538312,-11.7354775")</f>
        <v>7.9538312,-11.7354775</v>
      </c>
    </row>
    <row r="10">
      <c r="A10" t="s">
        <v>107</v>
      </c>
      <c r="B10" t="s">
        <v>101</v>
      </c>
      <c r="C10" t="s">
        <v>108</v>
      </c>
      <c r="D10" t="s">
        <v>108</v>
      </c>
      <c r="E10" t="s">
        <v>109</v>
      </c>
      <c r="F10" t="s">
        <v>64</v>
      </c>
      <c r="G10">
        <v>169</v>
      </c>
      <c r="H10" t="s">
        <v>50</v>
      </c>
      <c r="I10">
        <v>53</v>
      </c>
      <c r="J10">
        <v>30</v>
      </c>
      <c r="K10">
        <v>26</v>
      </c>
      <c r="L10">
        <v>23</v>
      </c>
      <c r="M10">
        <v>20</v>
      </c>
      <c r="N10" t="s">
        <v>51</v>
      </c>
      <c r="O10">
        <v>44</v>
      </c>
      <c r="P10">
        <v>20</v>
      </c>
      <c r="Q10">
        <v>16</v>
      </c>
      <c r="R10">
        <v>24</v>
      </c>
      <c r="S10">
        <v>23</v>
      </c>
      <c r="T10" t="s">
        <v>52</v>
      </c>
      <c r="U10">
        <v>39</v>
      </c>
      <c r="V10">
        <v>13</v>
      </c>
      <c r="W10">
        <v>13</v>
      </c>
      <c r="X10">
        <v>26</v>
      </c>
      <c r="Y10">
        <v>25</v>
      </c>
      <c r="Z10" t="s">
        <v>53</v>
      </c>
      <c r="AA10">
        <v>24</v>
      </c>
      <c r="AB10">
        <v>8</v>
      </c>
      <c r="AC10">
        <v>7</v>
      </c>
      <c r="AD10">
        <v>16</v>
      </c>
      <c r="AE10">
        <v>16</v>
      </c>
      <c r="AF10" t="s">
        <v>54</v>
      </c>
      <c r="AG10">
        <v>29</v>
      </c>
      <c r="AH10">
        <v>21</v>
      </c>
      <c r="AI10">
        <v>15</v>
      </c>
      <c r="AJ10">
        <v>8</v>
      </c>
      <c r="AK10">
        <v>8</v>
      </c>
      <c r="AL10">
        <v>169</v>
      </c>
      <c r="AM10" t="s">
        <v>55</v>
      </c>
      <c r="AN10" t="s">
        <v>55</v>
      </c>
      <c r="AO10" t="s">
        <v>55</v>
      </c>
      <c r="AP10" t="s">
        <v>110</v>
      </c>
      <c r="AQ10" t="str">
        <f>HYPERLINK("https://icf.clappia.com/app/GMB253374/submission/WDK81865760/ICF247370-GMB253374-n7gckgm0op280000000/SIG-20250630_122816mi6l.jpeg", "SIG-20250630_122816mi6l.jpeg")</f>
        <v>SIG-20250630_122816mi6l.jpeg</v>
      </c>
      <c r="AR10" t="s">
        <v>111</v>
      </c>
      <c r="AS10" t="str">
        <f>HYPERLINK("https://icf.clappia.com/app/GMB253374/submission/WDK81865760/ICF247370-GMB253374-l0of98361d840000000/SIG-20250630_1228160cgm.jpeg", "SIG-20250630_1228160cgm.jpeg")</f>
        <v>SIG-20250630_1228160cgm.jpeg</v>
      </c>
      <c r="AT10" t="s">
        <v>112</v>
      </c>
      <c r="AU10" t="str">
        <f>HYPERLINK("https://icf.clappia.com/app/GMB253374/submission/WDK81865760/ICF247370-GMB253374-1najdggm5fmii0000000/SIG-20250630_12311300ag.jpeg", "SIG-20250630_12311300ag.jpeg")</f>
        <v>SIG-20250630_12311300ag.jpeg</v>
      </c>
      <c r="AV10" t="str">
        <f>HYPERLINK("https://www.google.com/maps/place/7.9368267%2C-11.74965", "7.9368267,-11.74965")</f>
        <v>7.9368267,-11.74965</v>
      </c>
    </row>
    <row r="11">
      <c r="A11" t="s">
        <v>113</v>
      </c>
      <c r="B11" t="s">
        <v>114</v>
      </c>
      <c r="C11" t="s">
        <v>115</v>
      </c>
      <c r="D11" t="s">
        <v>115</v>
      </c>
      <c r="E11" t="s">
        <v>116</v>
      </c>
      <c r="F11" t="s">
        <v>64</v>
      </c>
      <c r="G11">
        <v>300</v>
      </c>
      <c r="H11" t="s">
        <v>50</v>
      </c>
      <c r="I11">
        <v>63</v>
      </c>
      <c r="J11">
        <v>41</v>
      </c>
      <c r="K11">
        <v>41</v>
      </c>
      <c r="L11">
        <v>22</v>
      </c>
      <c r="M11">
        <v>22</v>
      </c>
      <c r="N11" t="s">
        <v>51</v>
      </c>
      <c r="O11">
        <v>48</v>
      </c>
      <c r="P11">
        <v>34</v>
      </c>
      <c r="Q11">
        <v>34</v>
      </c>
      <c r="R11">
        <v>14</v>
      </c>
      <c r="S11">
        <v>14</v>
      </c>
      <c r="T11" t="s">
        <v>52</v>
      </c>
      <c r="U11">
        <v>57</v>
      </c>
      <c r="V11">
        <v>25</v>
      </c>
      <c r="W11">
        <v>25</v>
      </c>
      <c r="X11">
        <v>32</v>
      </c>
      <c r="Y11">
        <v>32</v>
      </c>
      <c r="Z11" t="s">
        <v>53</v>
      </c>
      <c r="AA11">
        <v>55</v>
      </c>
      <c r="AB11">
        <v>25</v>
      </c>
      <c r="AC11">
        <v>25</v>
      </c>
      <c r="AD11">
        <v>30</v>
      </c>
      <c r="AE11">
        <v>30</v>
      </c>
      <c r="AF11" t="s">
        <v>54</v>
      </c>
      <c r="AG11">
        <v>47</v>
      </c>
      <c r="AH11">
        <v>25</v>
      </c>
      <c r="AI11">
        <v>25</v>
      </c>
      <c r="AJ11">
        <v>22</v>
      </c>
      <c r="AK11">
        <v>22</v>
      </c>
      <c r="AL11">
        <v>270</v>
      </c>
      <c r="AM11" t="s">
        <v>55</v>
      </c>
      <c r="AN11">
        <v>30</v>
      </c>
      <c r="AO11">
        <v>30</v>
      </c>
      <c r="AP11" t="s">
        <v>117</v>
      </c>
      <c r="AQ11" t="str">
        <f>HYPERLINK("https://icf.clappia.com/app/GMB253374/submission/HVD62101551/ICF247370-GMB253374-a9e9m99lopbm0000000/SIG-20250630_12237kn7a.jpeg", "SIG-20250630_12237kn7a.jpeg")</f>
        <v>SIG-20250630_12237kn7a.jpeg</v>
      </c>
      <c r="AR11" t="s">
        <v>118</v>
      </c>
      <c r="AS11" t="str">
        <f>HYPERLINK("https://icf.clappia.com/app/GMB253374/submission/HVD62101551/ICF247370-GMB253374-4cj5j22ca81c00000000/SIG-20250630_1223npeep.jpeg", "SIG-20250630_1223npeep.jpeg")</f>
        <v>SIG-20250630_1223npeep.jpeg</v>
      </c>
      <c r="AT11" t="s">
        <v>119</v>
      </c>
      <c r="AU11" t="str">
        <f>HYPERLINK("https://icf.clappia.com/app/GMB253374/submission/HVD62101551/ICF247370-GMB253374-k4djjn5f1hjm0000000/SIG-20250630_12285o5jh.jpeg", "SIG-20250630_12285o5jh.jpeg")</f>
        <v>SIG-20250630_12285o5jh.jpeg</v>
      </c>
      <c r="AV11" t="str">
        <f>HYPERLINK("https://www.google.com/maps/place/8.9515667%2C-12.224055", "8.9515667,-12.224055")</f>
        <v>8.9515667,-12.224055</v>
      </c>
    </row>
    <row r="12">
      <c r="A12" t="s">
        <v>120</v>
      </c>
      <c r="B12" t="s">
        <v>60</v>
      </c>
      <c r="C12" t="s">
        <v>121</v>
      </c>
      <c r="D12" t="s">
        <v>121</v>
      </c>
      <c r="E12" t="s">
        <v>122</v>
      </c>
      <c r="F12" t="s">
        <v>49</v>
      </c>
      <c r="G12">
        <v>66</v>
      </c>
      <c r="H12" t="s">
        <v>50</v>
      </c>
      <c r="I12">
        <v>10</v>
      </c>
      <c r="J12">
        <v>5</v>
      </c>
      <c r="K12">
        <v>5</v>
      </c>
      <c r="L12">
        <v>5</v>
      </c>
      <c r="M12">
        <v>5</v>
      </c>
      <c r="N12" t="s">
        <v>51</v>
      </c>
      <c r="O12">
        <v>13</v>
      </c>
      <c r="P12">
        <v>9</v>
      </c>
      <c r="Q12">
        <v>4</v>
      </c>
      <c r="R12">
        <v>4</v>
      </c>
      <c r="S12">
        <v>1</v>
      </c>
      <c r="T12" t="s">
        <v>52</v>
      </c>
      <c r="U12">
        <v>7</v>
      </c>
      <c r="V12">
        <v>4</v>
      </c>
      <c r="W12">
        <v>1</v>
      </c>
      <c r="X12">
        <v>3</v>
      </c>
      <c r="Y12">
        <v>2</v>
      </c>
      <c r="Z12" t="s">
        <v>53</v>
      </c>
      <c r="AA12">
        <v>7</v>
      </c>
      <c r="AB12">
        <v>3</v>
      </c>
      <c r="AC12">
        <v>2</v>
      </c>
      <c r="AD12">
        <v>4</v>
      </c>
      <c r="AE12">
        <v>3</v>
      </c>
      <c r="AF12" t="s">
        <v>54</v>
      </c>
      <c r="AG12">
        <v>5</v>
      </c>
      <c r="AH12">
        <v>1</v>
      </c>
      <c r="AI12">
        <v>1</v>
      </c>
      <c r="AJ12">
        <v>4</v>
      </c>
      <c r="AK12" t="s">
        <v>55</v>
      </c>
      <c r="AL12">
        <v>24</v>
      </c>
      <c r="AM12">
        <v>10</v>
      </c>
      <c r="AN12">
        <v>32</v>
      </c>
      <c r="AO12">
        <v>32</v>
      </c>
      <c r="AP12" t="s">
        <v>123</v>
      </c>
      <c r="AQ12" t="str">
        <f>HYPERLINK("https://icf.clappia.com/app/GMB253374/submission/UAL61708653/ICF247370-GMB253374-1jdkne8e4jkn20000000/SIG-20250630_121310l4l.jpeg", "SIG-20250630_121310l4l.jpeg")</f>
        <v>SIG-20250630_121310l4l.jpeg</v>
      </c>
      <c r="AR12" t="s">
        <v>124</v>
      </c>
      <c r="AS12" t="str">
        <f>HYPERLINK("https://icf.clappia.com/app/GMB253374/submission/UAL61708653/ICF247370-GMB253374-61cf5ee396km000000/SIG-20250630_121416b0fd.jpeg", "SIG-20250630_121416b0fd.jpeg")</f>
        <v>SIG-20250630_121416b0fd.jpeg</v>
      </c>
      <c r="AT12" t="s">
        <v>125</v>
      </c>
      <c r="AU12" t="str">
        <f>HYPERLINK("https://icf.clappia.com/app/GMB253374/submission/UAL61708653/ICF247370-GMB253374-675bdd3l86n600000000/SIG-20250630_1218mmll9.jpeg", "SIG-20250630_1218mmll9.jpeg")</f>
        <v>SIG-20250630_1218mmll9.jpeg</v>
      </c>
      <c r="AV12" t="str">
        <f>HYPERLINK("https://www.google.com/maps/place/7.9474455%2C-11.6825576", "7.9474455,-11.6825576")</f>
        <v>7.9474455,-11.6825576</v>
      </c>
    </row>
    <row r="13">
      <c r="A13" t="s">
        <v>126</v>
      </c>
      <c r="B13" t="s">
        <v>127</v>
      </c>
      <c r="C13" t="s">
        <v>128</v>
      </c>
      <c r="D13" t="s">
        <v>128</v>
      </c>
      <c r="E13" t="s">
        <v>129</v>
      </c>
      <c r="F13" t="s">
        <v>64</v>
      </c>
      <c r="G13">
        <v>150</v>
      </c>
      <c r="H13" t="s">
        <v>50</v>
      </c>
      <c r="I13">
        <v>68</v>
      </c>
      <c r="J13">
        <v>35</v>
      </c>
      <c r="K13">
        <v>25</v>
      </c>
      <c r="L13">
        <v>33</v>
      </c>
      <c r="M13">
        <v>24</v>
      </c>
      <c r="N13" t="s">
        <v>51</v>
      </c>
      <c r="O13">
        <v>60</v>
      </c>
      <c r="P13">
        <v>31</v>
      </c>
      <c r="Q13">
        <v>20</v>
      </c>
      <c r="R13">
        <v>29</v>
      </c>
      <c r="S13">
        <v>18</v>
      </c>
      <c r="T13" t="s">
        <v>52</v>
      </c>
      <c r="U13">
        <v>53</v>
      </c>
      <c r="V13">
        <v>28</v>
      </c>
      <c r="W13">
        <v>18</v>
      </c>
      <c r="X13">
        <v>25</v>
      </c>
      <c r="Y13">
        <v>16</v>
      </c>
      <c r="Z13" t="s">
        <v>53</v>
      </c>
      <c r="AA13">
        <v>44</v>
      </c>
      <c r="AB13">
        <v>25</v>
      </c>
      <c r="AC13">
        <v>8</v>
      </c>
      <c r="AD13">
        <v>19</v>
      </c>
      <c r="AE13">
        <v>4</v>
      </c>
      <c r="AF13" t="s">
        <v>54</v>
      </c>
      <c r="AG13">
        <v>34</v>
      </c>
      <c r="AH13">
        <v>18</v>
      </c>
      <c r="AI13">
        <v>10</v>
      </c>
      <c r="AJ13">
        <v>16</v>
      </c>
      <c r="AK13">
        <v>7</v>
      </c>
      <c r="AL13">
        <v>150</v>
      </c>
      <c r="AM13" t="s">
        <v>55</v>
      </c>
      <c r="AN13" t="s">
        <v>55</v>
      </c>
      <c r="AO13" t="s">
        <v>55</v>
      </c>
      <c r="AP13" t="s">
        <v>130</v>
      </c>
      <c r="AQ13" t="str">
        <f>HYPERLINK("https://icf.clappia.com/app/GMB253374/submission/ZFJ65860817/ICF247370-GMB253374-24861f4ja20480000000/SIG-20250630_1213pke54.jpeg", "SIG-20250630_1213pke54.jpeg")</f>
        <v>SIG-20250630_1213pke54.jpeg</v>
      </c>
      <c r="AR13" t="s">
        <v>131</v>
      </c>
      <c r="AS13" t="str">
        <f>HYPERLINK("https://icf.clappia.com/app/GMB253374/submission/ZFJ65860817/ICF247370-GMB253374-2m4b5opaaohi00000000/SIG-20250630_1214ge8ka.jpeg", "SIG-20250630_1214ge8ka.jpeg")</f>
        <v>SIG-20250630_1214ge8ka.jpeg</v>
      </c>
      <c r="AT13" t="s">
        <v>132</v>
      </c>
      <c r="AU13" t="str">
        <f>HYPERLINK("https://icf.clappia.com/app/GMB253374/submission/ZFJ65860817/ICF247370-GMB253374-llchfk3c47520000000/SIG-20250630_121715fikh.jpeg", "SIG-20250630_121715fikh.jpeg")</f>
        <v>SIG-20250630_121715fikh.jpeg</v>
      </c>
      <c r="AV13" t="str">
        <f>HYPERLINK("https://www.google.com/maps/place/7.439225%2C-11.8886374", "7.439225,-11.8886374")</f>
        <v>7.439225,-11.8886374</v>
      </c>
    </row>
    <row r="14">
      <c r="A14" t="s">
        <v>133</v>
      </c>
      <c r="B14" t="s">
        <v>46</v>
      </c>
      <c r="C14" t="s">
        <v>134</v>
      </c>
      <c r="D14" t="s">
        <v>134</v>
      </c>
      <c r="E14" t="s">
        <v>135</v>
      </c>
      <c r="F14" t="s">
        <v>49</v>
      </c>
      <c r="G14">
        <v>150</v>
      </c>
      <c r="H14" t="s">
        <v>50</v>
      </c>
      <c r="I14">
        <v>43</v>
      </c>
      <c r="J14">
        <v>25</v>
      </c>
      <c r="K14">
        <v>19</v>
      </c>
      <c r="L14">
        <v>18</v>
      </c>
      <c r="M14">
        <v>16</v>
      </c>
      <c r="N14" t="s">
        <v>51</v>
      </c>
      <c r="O14">
        <v>34</v>
      </c>
      <c r="P14">
        <v>18</v>
      </c>
      <c r="Q14">
        <v>18</v>
      </c>
      <c r="R14">
        <v>16</v>
      </c>
      <c r="S14">
        <v>16</v>
      </c>
      <c r="T14" t="s">
        <v>52</v>
      </c>
      <c r="U14">
        <v>18</v>
      </c>
      <c r="V14">
        <v>7</v>
      </c>
      <c r="W14">
        <v>7</v>
      </c>
      <c r="X14">
        <v>11</v>
      </c>
      <c r="Y14">
        <v>11</v>
      </c>
      <c r="Z14" t="s">
        <v>53</v>
      </c>
      <c r="AA14">
        <v>6</v>
      </c>
      <c r="AB14">
        <v>2</v>
      </c>
      <c r="AC14">
        <v>2</v>
      </c>
      <c r="AD14">
        <v>4</v>
      </c>
      <c r="AE14">
        <v>3</v>
      </c>
      <c r="AF14" t="s">
        <v>54</v>
      </c>
      <c r="AG14">
        <v>14</v>
      </c>
      <c r="AH14">
        <v>7</v>
      </c>
      <c r="AI14">
        <v>7</v>
      </c>
      <c r="AJ14">
        <v>7</v>
      </c>
      <c r="AK14">
        <v>6</v>
      </c>
      <c r="AL14">
        <v>105</v>
      </c>
      <c r="AM14">
        <v>10</v>
      </c>
      <c r="AN14">
        <v>35</v>
      </c>
      <c r="AO14">
        <v>35</v>
      </c>
      <c r="AP14" t="s">
        <v>136</v>
      </c>
      <c r="AQ14" t="str">
        <f>HYPERLINK("https://icf.clappia.com/app/GMB253374/submission/SSQ62369537/ICF247370-GMB253374-i4i8b5n5aohe0000000/SIG-20250630_1100dggje.jpeg", "SIG-20250630_1100dggje.jpeg")</f>
        <v>SIG-20250630_1100dggje.jpeg</v>
      </c>
      <c r="AR14" t="s">
        <v>137</v>
      </c>
      <c r="AS14" t="str">
        <f>HYPERLINK("https://icf.clappia.com/app/GMB253374/submission/SSQ62369537/ICF247370-GMB253374-3ld3mi7jld1c00000000/SIG-20250630_11001n815.jpeg", "SIG-20250630_11001n815.jpeg")</f>
        <v>SIG-20250630_11001n815.jpeg</v>
      </c>
      <c r="AT14" t="s">
        <v>138</v>
      </c>
      <c r="AU14" t="str">
        <f>HYPERLINK("https://icf.clappia.com/app/GMB253374/submission/SSQ62369537/ICF247370-GMB253374-4o2lapkae6oa00000000/SIG-20250630_1101e2ph8.jpeg", "SIG-20250630_1101e2ph8.jpeg")</f>
        <v>SIG-20250630_1101e2ph8.jpeg</v>
      </c>
      <c r="AV14" t="str">
        <f>HYPERLINK("https://www.google.com/maps/place/9.0299533%2C-12.15762", "9.0299533,-12.15762")</f>
        <v>9.0299533,-12.15762</v>
      </c>
    </row>
    <row r="15">
      <c r="A15" t="s">
        <v>139</v>
      </c>
      <c r="B15" t="s">
        <v>88</v>
      </c>
      <c r="C15" t="s">
        <v>140</v>
      </c>
      <c r="D15" t="s">
        <v>140</v>
      </c>
      <c r="E15" t="s">
        <v>141</v>
      </c>
      <c r="F15" t="s">
        <v>64</v>
      </c>
      <c r="G15">
        <v>76</v>
      </c>
      <c r="H15" t="s">
        <v>50</v>
      </c>
      <c r="I15">
        <v>17</v>
      </c>
      <c r="J15">
        <v>8</v>
      </c>
      <c r="K15">
        <v>8</v>
      </c>
      <c r="L15">
        <v>9</v>
      </c>
      <c r="M15">
        <v>9</v>
      </c>
      <c r="N15" t="s">
        <v>51</v>
      </c>
      <c r="O15">
        <v>23</v>
      </c>
      <c r="P15">
        <v>13</v>
      </c>
      <c r="Q15">
        <v>13</v>
      </c>
      <c r="R15">
        <v>10</v>
      </c>
      <c r="S15">
        <v>10</v>
      </c>
      <c r="T15" t="s">
        <v>52</v>
      </c>
      <c r="U15">
        <v>12</v>
      </c>
      <c r="V15">
        <v>7</v>
      </c>
      <c r="W15">
        <v>7</v>
      </c>
      <c r="X15">
        <v>5</v>
      </c>
      <c r="Y15">
        <v>5</v>
      </c>
      <c r="Z15" t="s">
        <v>53</v>
      </c>
      <c r="AA15">
        <v>13</v>
      </c>
      <c r="AB15">
        <v>5</v>
      </c>
      <c r="AC15">
        <v>5</v>
      </c>
      <c r="AD15">
        <v>8</v>
      </c>
      <c r="AE15">
        <v>8</v>
      </c>
      <c r="AF15" t="s">
        <v>54</v>
      </c>
      <c r="AG15">
        <v>11</v>
      </c>
      <c r="AH15">
        <v>6</v>
      </c>
      <c r="AI15">
        <v>6</v>
      </c>
      <c r="AJ15">
        <v>5</v>
      </c>
      <c r="AK15">
        <v>5</v>
      </c>
      <c r="AL15">
        <v>76</v>
      </c>
      <c r="AM15" t="s">
        <v>55</v>
      </c>
      <c r="AN15" t="s">
        <v>55</v>
      </c>
      <c r="AO15" t="s">
        <v>55</v>
      </c>
      <c r="AP15" t="s">
        <v>142</v>
      </c>
      <c r="AQ15" t="str">
        <f>HYPERLINK("https://icf.clappia.com/app/GMB253374/submission/DEW52932994/ICF247370-GMB253374-2olb2684maic00000000/SIG-20250630_09517f36l.jpeg", "SIG-20250630_09517f36l.jpeg")</f>
        <v>SIG-20250630_09517f36l.jpeg</v>
      </c>
      <c r="AR15" t="s">
        <v>143</v>
      </c>
      <c r="AS15" t="str">
        <f>HYPERLINK("https://icf.clappia.com/app/GMB253374/submission/DEW52932994/ICF247370-GMB253374-42jod7eipb7000000000/SIG-20250630_0952e4o0f.jpeg", "SIG-20250630_0952e4o0f.jpeg")</f>
        <v>SIG-20250630_0952e4o0f.jpeg</v>
      </c>
      <c r="AT15" t="s">
        <v>144</v>
      </c>
      <c r="AU15" t="str">
        <f>HYPERLINK("https://icf.clappia.com/app/GMB253374/submission/DEW52932994/ICF247370-GMB253374-48c7om0c6hpm00000000/SIG-20250630_110610o59p.jpeg", "SIG-20250630_110610o59p.jpeg")</f>
        <v>SIG-20250630_110610o59p.jpeg</v>
      </c>
      <c r="AV15" t="str">
        <f>HYPERLINK("https://www.google.com/maps/place/7.991295%2C-11.86878", "7.991295,-11.86878")</f>
        <v>7.991295,-11.86878</v>
      </c>
    </row>
    <row r="16">
      <c r="A16" t="s">
        <v>145</v>
      </c>
      <c r="B16" t="s">
        <v>146</v>
      </c>
      <c r="C16" t="s">
        <v>147</v>
      </c>
      <c r="D16" t="s">
        <v>147</v>
      </c>
      <c r="E16" t="s">
        <v>148</v>
      </c>
      <c r="F16" t="s">
        <v>64</v>
      </c>
      <c r="G16">
        <v>165</v>
      </c>
      <c r="H16" t="s">
        <v>50</v>
      </c>
      <c r="I16">
        <v>60</v>
      </c>
      <c r="J16">
        <v>35</v>
      </c>
      <c r="K16">
        <v>31</v>
      </c>
      <c r="L16">
        <v>25</v>
      </c>
      <c r="M16">
        <v>18</v>
      </c>
      <c r="N16" t="s">
        <v>51</v>
      </c>
      <c r="O16">
        <v>36</v>
      </c>
      <c r="P16">
        <v>19</v>
      </c>
      <c r="Q16">
        <v>15</v>
      </c>
      <c r="R16">
        <v>17</v>
      </c>
      <c r="S16">
        <v>7</v>
      </c>
      <c r="T16" t="s">
        <v>52</v>
      </c>
      <c r="U16">
        <v>47</v>
      </c>
      <c r="V16">
        <v>25</v>
      </c>
      <c r="W16">
        <v>15</v>
      </c>
      <c r="X16">
        <v>22</v>
      </c>
      <c r="Y16">
        <v>22</v>
      </c>
      <c r="Z16" t="s">
        <v>53</v>
      </c>
      <c r="AA16">
        <v>32</v>
      </c>
      <c r="AB16">
        <v>16</v>
      </c>
      <c r="AC16">
        <v>14</v>
      </c>
      <c r="AD16">
        <v>16</v>
      </c>
      <c r="AE16">
        <v>14</v>
      </c>
      <c r="AF16" t="s">
        <v>54</v>
      </c>
      <c r="AG16">
        <v>13</v>
      </c>
      <c r="AH16">
        <v>5</v>
      </c>
      <c r="AI16">
        <v>5</v>
      </c>
      <c r="AJ16">
        <v>8</v>
      </c>
      <c r="AK16">
        <v>8</v>
      </c>
      <c r="AL16">
        <v>149</v>
      </c>
      <c r="AM16" t="s">
        <v>55</v>
      </c>
      <c r="AN16">
        <v>16</v>
      </c>
      <c r="AO16">
        <v>16</v>
      </c>
      <c r="AP16" t="s">
        <v>149</v>
      </c>
      <c r="AQ16" t="str">
        <f>HYPERLINK("https://icf.clappia.com/app/GMB253374/submission/LVH98427672/ICF247370-GMB253374-5n7816hdmhg400000000/SIG-20250630_12018pnc6.jpeg", "SIG-20250630_12018pnc6.jpeg")</f>
        <v>SIG-20250630_12018pnc6.jpeg</v>
      </c>
      <c r="AR16" t="s">
        <v>150</v>
      </c>
      <c r="AS16" t="str">
        <f>HYPERLINK("https://icf.clappia.com/app/GMB253374/submission/LVH98427672/ICF247370-GMB253374-3af9ppd4629600000000/SIG-20250630_1204jak1f.jpeg", "SIG-20250630_1204jak1f.jpeg")</f>
        <v>SIG-20250630_1204jak1f.jpeg</v>
      </c>
      <c r="AT16" t="s">
        <v>151</v>
      </c>
      <c r="AU16" t="str">
        <f>HYPERLINK("https://icf.clappia.com/app/GMB253374/submission/LVH98427672/ICF247370-GMB253374-5cp7o9c7m10800000000/SIG-20250630_120610h455.jpeg", "SIG-20250630_120610h455.jpeg")</f>
        <v>SIG-20250630_120610h455.jpeg</v>
      </c>
      <c r="AV16" t="str">
        <f>HYPERLINK("https://www.google.com/maps/place/9.0177183%2C-12.0442283", "9.0177183,-12.0442283")</f>
        <v>9.0177183,-12.0442283</v>
      </c>
    </row>
    <row r="17">
      <c r="A17" t="s">
        <v>152</v>
      </c>
      <c r="B17" t="s">
        <v>153</v>
      </c>
      <c r="C17" t="s">
        <v>147</v>
      </c>
      <c r="D17" t="s">
        <v>147</v>
      </c>
      <c r="E17" t="s">
        <v>154</v>
      </c>
      <c r="F17" t="s">
        <v>64</v>
      </c>
      <c r="G17">
        <v>200</v>
      </c>
      <c r="H17" t="s">
        <v>50</v>
      </c>
      <c r="I17">
        <v>55</v>
      </c>
      <c r="J17">
        <v>25</v>
      </c>
      <c r="K17">
        <v>14</v>
      </c>
      <c r="L17">
        <v>30</v>
      </c>
      <c r="M17">
        <v>18</v>
      </c>
      <c r="N17" t="s">
        <v>51</v>
      </c>
      <c r="O17">
        <v>50</v>
      </c>
      <c r="P17">
        <v>20</v>
      </c>
      <c r="Q17">
        <v>10</v>
      </c>
      <c r="R17">
        <v>30</v>
      </c>
      <c r="S17">
        <v>10</v>
      </c>
      <c r="T17" t="s">
        <v>52</v>
      </c>
      <c r="U17">
        <v>37</v>
      </c>
      <c r="V17">
        <v>27</v>
      </c>
      <c r="W17">
        <v>7</v>
      </c>
      <c r="X17">
        <v>10</v>
      </c>
      <c r="Y17">
        <v>6</v>
      </c>
      <c r="Z17" t="s">
        <v>53</v>
      </c>
      <c r="AA17">
        <v>20</v>
      </c>
      <c r="AB17">
        <v>8</v>
      </c>
      <c r="AC17">
        <v>5</v>
      </c>
      <c r="AD17">
        <v>12</v>
      </c>
      <c r="AE17">
        <v>9</v>
      </c>
      <c r="AF17" t="s">
        <v>54</v>
      </c>
      <c r="AG17">
        <v>15</v>
      </c>
      <c r="AH17">
        <v>7</v>
      </c>
      <c r="AI17">
        <v>5</v>
      </c>
      <c r="AJ17">
        <v>8</v>
      </c>
      <c r="AK17">
        <v>6</v>
      </c>
      <c r="AL17">
        <v>90</v>
      </c>
      <c r="AM17">
        <v>10</v>
      </c>
      <c r="AN17">
        <v>100</v>
      </c>
      <c r="AO17">
        <v>100</v>
      </c>
      <c r="AP17" t="s">
        <v>155</v>
      </c>
      <c r="AQ17" t="str">
        <f>HYPERLINK("https://icf.clappia.com/app/GMB253374/submission/UOJ36407166/ICF247370-GMB253374-3j3604emc1a200000000/SIG-20250630_115914go2b.jpeg", "SIG-20250630_115914go2b.jpeg")</f>
        <v>SIG-20250630_115914go2b.jpeg</v>
      </c>
      <c r="AR17" t="s">
        <v>156</v>
      </c>
      <c r="AS17" t="str">
        <f>HYPERLINK("https://icf.clappia.com/app/GMB253374/submission/UOJ36407166/ICF247370-GMB253374-52j8lpkaejk000000000/SIG-20250630_1159c86na.jpeg", "SIG-20250630_1159c86na.jpeg")</f>
        <v>SIG-20250630_1159c86na.jpeg</v>
      </c>
      <c r="AT17" t="s">
        <v>157</v>
      </c>
      <c r="AU17" t="str">
        <f>HYPERLINK("https://icf.clappia.com/app/GMB253374/submission/UOJ36407166/ICF247370-GMB253374-672j4daf89k800000000/SIG-20250630_12069841l.jpeg", "SIG-20250630_12069841l.jpeg")</f>
        <v>SIG-20250630_12069841l.jpeg</v>
      </c>
      <c r="AV17" t="str">
        <f>HYPERLINK("https://www.google.com/maps/place/8.87714%2C-12.0952533", "8.87714,-12.0952533")</f>
        <v>8.87714,-12.0952533</v>
      </c>
    </row>
    <row r="18">
      <c r="A18" t="s">
        <v>158</v>
      </c>
      <c r="B18" t="s">
        <v>159</v>
      </c>
      <c r="C18" t="s">
        <v>160</v>
      </c>
      <c r="D18" t="s">
        <v>160</v>
      </c>
      <c r="E18" t="s">
        <v>161</v>
      </c>
      <c r="F18" t="s">
        <v>64</v>
      </c>
      <c r="G18">
        <v>154</v>
      </c>
      <c r="H18" t="s">
        <v>50</v>
      </c>
      <c r="I18">
        <v>43</v>
      </c>
      <c r="J18">
        <v>20</v>
      </c>
      <c r="K18">
        <v>20</v>
      </c>
      <c r="L18">
        <v>23</v>
      </c>
      <c r="M18">
        <v>23</v>
      </c>
      <c r="N18" t="s">
        <v>51</v>
      </c>
      <c r="O18">
        <v>35</v>
      </c>
      <c r="P18">
        <v>17</v>
      </c>
      <c r="Q18">
        <v>17</v>
      </c>
      <c r="R18">
        <v>18</v>
      </c>
      <c r="S18">
        <v>18</v>
      </c>
      <c r="T18" t="s">
        <v>52</v>
      </c>
      <c r="U18">
        <v>32</v>
      </c>
      <c r="V18">
        <v>12</v>
      </c>
      <c r="W18">
        <v>12</v>
      </c>
      <c r="X18">
        <v>20</v>
      </c>
      <c r="Y18">
        <v>20</v>
      </c>
      <c r="Z18" t="s">
        <v>53</v>
      </c>
      <c r="AA18">
        <v>24</v>
      </c>
      <c r="AB18">
        <v>10</v>
      </c>
      <c r="AC18">
        <v>10</v>
      </c>
      <c r="AD18">
        <v>14</v>
      </c>
      <c r="AE18">
        <v>14</v>
      </c>
      <c r="AF18" t="s">
        <v>54</v>
      </c>
      <c r="AG18">
        <v>20</v>
      </c>
      <c r="AH18">
        <v>10</v>
      </c>
      <c r="AI18">
        <v>10</v>
      </c>
      <c r="AJ18">
        <v>10</v>
      </c>
      <c r="AK18">
        <v>10</v>
      </c>
      <c r="AL18">
        <v>154</v>
      </c>
      <c r="AM18" t="s">
        <v>55</v>
      </c>
      <c r="AN18" t="s">
        <v>55</v>
      </c>
      <c r="AO18" t="s">
        <v>55</v>
      </c>
      <c r="AP18" t="s">
        <v>162</v>
      </c>
      <c r="AQ18" t="str">
        <f>HYPERLINK("https://icf.clappia.com/app/GMB253374/submission/IAB95995918/ICF247370-GMB253374-3fj48po403b400000000/SIG-20250630_1039aaoii.jpeg", "SIG-20250630_1039aaoii.jpeg")</f>
        <v>SIG-20250630_1039aaoii.jpeg</v>
      </c>
      <c r="AR18" t="s">
        <v>163</v>
      </c>
      <c r="AS18" t="str">
        <f>HYPERLINK("https://icf.clappia.com/app/GMB253374/submission/IAB95995918/ICF247370-GMB253374-hkla5cg5p81e0000000/SIG-20250630_1039dfh8g.jpeg", "SIG-20250630_1039dfh8g.jpeg")</f>
        <v>SIG-20250630_1039dfh8g.jpeg</v>
      </c>
      <c r="AT18" t="s">
        <v>164</v>
      </c>
      <c r="AU18" t="str">
        <f>HYPERLINK("https://icf.clappia.com/app/GMB253374/submission/IAB95995918/ICF247370-GMB253374-26l4p83c7p43a0000000/SIG-20250630_1042akkeb.jpeg", "SIG-20250630_1042akkeb.jpeg")</f>
        <v>SIG-20250630_1042akkeb.jpeg</v>
      </c>
      <c r="AV18" t="str">
        <f>HYPERLINK("https://www.google.com/maps/place/7.86584%2C-11.706605", "7.86584,-11.706605")</f>
        <v>7.86584,-11.706605</v>
      </c>
    </row>
    <row r="19">
      <c r="A19" t="s">
        <v>165</v>
      </c>
      <c r="B19" t="s">
        <v>159</v>
      </c>
      <c r="C19" t="s">
        <v>166</v>
      </c>
      <c r="D19" t="s">
        <v>166</v>
      </c>
      <c r="E19" t="s">
        <v>167</v>
      </c>
      <c r="F19" t="s">
        <v>49</v>
      </c>
      <c r="G19">
        <v>140</v>
      </c>
      <c r="H19" t="s">
        <v>50</v>
      </c>
      <c r="I19">
        <v>25</v>
      </c>
      <c r="J19">
        <v>12</v>
      </c>
      <c r="K19">
        <v>12</v>
      </c>
      <c r="L19">
        <v>13</v>
      </c>
      <c r="M19">
        <v>13</v>
      </c>
      <c r="N19" t="s">
        <v>51</v>
      </c>
      <c r="O19">
        <v>35</v>
      </c>
      <c r="P19">
        <v>20</v>
      </c>
      <c r="Q19">
        <v>20</v>
      </c>
      <c r="R19">
        <v>15</v>
      </c>
      <c r="S19">
        <v>15</v>
      </c>
      <c r="T19" t="s">
        <v>52</v>
      </c>
      <c r="U19">
        <v>30</v>
      </c>
      <c r="V19">
        <v>10</v>
      </c>
      <c r="W19">
        <v>10</v>
      </c>
      <c r="X19">
        <v>20</v>
      </c>
      <c r="Y19">
        <v>20</v>
      </c>
      <c r="Z19" t="s">
        <v>53</v>
      </c>
      <c r="AA19">
        <v>25</v>
      </c>
      <c r="AB19">
        <v>15</v>
      </c>
      <c r="AC19">
        <v>15</v>
      </c>
      <c r="AD19">
        <v>10</v>
      </c>
      <c r="AE19">
        <v>10</v>
      </c>
      <c r="AF19" t="s">
        <v>54</v>
      </c>
      <c r="AG19">
        <v>25</v>
      </c>
      <c r="AH19">
        <v>15</v>
      </c>
      <c r="AI19">
        <v>15</v>
      </c>
      <c r="AJ19">
        <v>10</v>
      </c>
      <c r="AK19">
        <v>10</v>
      </c>
      <c r="AL19">
        <v>140</v>
      </c>
      <c r="AM19" t="s">
        <v>55</v>
      </c>
      <c r="AN19" t="s">
        <v>55</v>
      </c>
      <c r="AO19" t="s">
        <v>55</v>
      </c>
      <c r="AP19" t="s">
        <v>168</v>
      </c>
      <c r="AQ19" t="str">
        <f>HYPERLINK("https://icf.clappia.com/app/GMB253374/submission/TAR58962652/ICF247370-GMB253374-1lggc8mcai4pg0000000/SIG-20250630_10413g23f.jpeg", "SIG-20250630_10413g23f.jpeg")</f>
        <v>SIG-20250630_10413g23f.jpeg</v>
      </c>
      <c r="AR19" t="s">
        <v>169</v>
      </c>
      <c r="AS19" t="str">
        <f>HYPERLINK("https://icf.clappia.com/app/GMB253374/submission/TAR58962652/ICF247370-GMB253374-i8io46fhom0o0000000/SIG-20250630_1041jh982.jpeg", "SIG-20250630_1041jh982.jpeg")</f>
        <v>SIG-20250630_1041jh982.jpeg</v>
      </c>
      <c r="AT19" t="s">
        <v>170</v>
      </c>
      <c r="AU19" t="str">
        <f>HYPERLINK("https://icf.clappia.com/app/GMB253374/submission/TAR58962652/ICF247370-GMB253374-60i8omd7nde000000000/SIG-20250630_1049gapi4.jpeg", "SIG-20250630_1049gapi4.jpeg")</f>
        <v>SIG-20250630_1049gapi4.jpeg</v>
      </c>
      <c r="AV19" t="str">
        <f>HYPERLINK("https://www.google.com/maps/place/7.9609283%2C-11.7685717", "7.9609283,-11.7685717")</f>
        <v>7.9609283,-11.7685717</v>
      </c>
    </row>
    <row r="20">
      <c r="A20" t="s">
        <v>171</v>
      </c>
      <c r="B20" t="s">
        <v>159</v>
      </c>
      <c r="C20" t="s">
        <v>166</v>
      </c>
      <c r="D20" t="s">
        <v>166</v>
      </c>
      <c r="E20" t="s">
        <v>172</v>
      </c>
      <c r="F20" t="s">
        <v>64</v>
      </c>
      <c r="G20">
        <v>260</v>
      </c>
      <c r="H20" t="s">
        <v>50</v>
      </c>
      <c r="I20">
        <v>64</v>
      </c>
      <c r="J20">
        <v>34</v>
      </c>
      <c r="K20">
        <v>31</v>
      </c>
      <c r="L20">
        <v>30</v>
      </c>
      <c r="M20">
        <v>30</v>
      </c>
      <c r="N20" t="s">
        <v>51</v>
      </c>
      <c r="O20">
        <v>52</v>
      </c>
      <c r="P20">
        <v>28</v>
      </c>
      <c r="Q20">
        <v>26</v>
      </c>
      <c r="R20">
        <v>24</v>
      </c>
      <c r="S20">
        <v>23</v>
      </c>
      <c r="T20" t="s">
        <v>52</v>
      </c>
      <c r="U20">
        <v>46</v>
      </c>
      <c r="V20">
        <v>22</v>
      </c>
      <c r="W20">
        <v>13</v>
      </c>
      <c r="X20">
        <v>24</v>
      </c>
      <c r="Y20">
        <v>17</v>
      </c>
      <c r="Z20" t="s">
        <v>53</v>
      </c>
      <c r="AA20">
        <v>41</v>
      </c>
      <c r="AB20">
        <v>21</v>
      </c>
      <c r="AC20">
        <v>20</v>
      </c>
      <c r="AD20">
        <v>20</v>
      </c>
      <c r="AE20">
        <v>16</v>
      </c>
      <c r="AF20" t="s">
        <v>54</v>
      </c>
      <c r="AG20">
        <v>42</v>
      </c>
      <c r="AH20">
        <v>25</v>
      </c>
      <c r="AI20">
        <v>20</v>
      </c>
      <c r="AJ20">
        <v>17</v>
      </c>
      <c r="AK20">
        <v>14</v>
      </c>
      <c r="AL20">
        <v>210</v>
      </c>
      <c r="AM20" t="s">
        <v>55</v>
      </c>
      <c r="AN20">
        <v>50</v>
      </c>
      <c r="AO20">
        <v>50</v>
      </c>
      <c r="AP20" t="s">
        <v>173</v>
      </c>
      <c r="AQ20" t="str">
        <f>HYPERLINK("https://icf.clappia.com/app/GMB253374/submission/BXE49992194/ICF247370-GMB253374-plidmbg0k4bo0000000/SIG-20250630_1157enlld.jpeg", "SIG-20250630_1157enlld.jpeg")</f>
        <v>SIG-20250630_1157enlld.jpeg</v>
      </c>
      <c r="AR20" t="s">
        <v>174</v>
      </c>
      <c r="AS20" t="str">
        <f>HYPERLINK("https://icf.clappia.com/app/GMB253374/submission/BXE49992194/ICF247370-GMB253374-cf2hc92595200000000/SIG-20250630_1159bgb32.jpeg", "SIG-20250630_1159bgb32.jpeg")</f>
        <v>SIG-20250630_1159bgb32.jpeg</v>
      </c>
      <c r="AT20" t="s">
        <v>175</v>
      </c>
      <c r="AU20" t="str">
        <f>HYPERLINK("https://icf.clappia.com/app/GMB253374/submission/BXE49992194/ICF247370-GMB253374-19m08pp4ggaf20000000/SIG-20250630_115918pkad.jpeg", "SIG-20250630_115918pkad.jpeg")</f>
        <v>SIG-20250630_115918pkad.jpeg</v>
      </c>
      <c r="AV20" t="str">
        <f>HYPERLINK("https://www.google.com/maps/place/7.8651519%2C-11.7043539", "7.8651519,-11.7043539")</f>
        <v>7.8651519,-11.7043539</v>
      </c>
    </row>
    <row r="21">
      <c r="A21" t="s">
        <v>176</v>
      </c>
      <c r="B21" t="s">
        <v>177</v>
      </c>
      <c r="C21" t="s">
        <v>166</v>
      </c>
      <c r="D21" t="s">
        <v>166</v>
      </c>
      <c r="E21" t="s">
        <v>178</v>
      </c>
      <c r="F21" t="s">
        <v>64</v>
      </c>
      <c r="G21">
        <v>150</v>
      </c>
      <c r="H21" t="s">
        <v>50</v>
      </c>
      <c r="I21">
        <v>57</v>
      </c>
      <c r="J21">
        <v>23</v>
      </c>
      <c r="K21">
        <v>10</v>
      </c>
      <c r="L21">
        <v>34</v>
      </c>
      <c r="M21">
        <v>17</v>
      </c>
      <c r="N21" t="s">
        <v>51</v>
      </c>
      <c r="O21">
        <v>41</v>
      </c>
      <c r="P21">
        <v>24</v>
      </c>
      <c r="Q21">
        <v>16</v>
      </c>
      <c r="R21">
        <v>17</v>
      </c>
      <c r="S21">
        <v>6</v>
      </c>
      <c r="T21" t="s">
        <v>52</v>
      </c>
      <c r="U21">
        <v>49</v>
      </c>
      <c r="V21">
        <v>20</v>
      </c>
      <c r="W21">
        <v>11</v>
      </c>
      <c r="X21">
        <v>29</v>
      </c>
      <c r="Y21">
        <v>24</v>
      </c>
      <c r="Z21" t="s">
        <v>53</v>
      </c>
      <c r="AA21">
        <v>56</v>
      </c>
      <c r="AB21">
        <v>24</v>
      </c>
      <c r="AC21">
        <v>10</v>
      </c>
      <c r="AD21">
        <v>30</v>
      </c>
      <c r="AE21">
        <v>15</v>
      </c>
      <c r="AF21" t="s">
        <v>54</v>
      </c>
      <c r="AG21">
        <v>50</v>
      </c>
      <c r="AH21">
        <v>24</v>
      </c>
      <c r="AI21">
        <v>20</v>
      </c>
      <c r="AJ21">
        <v>26</v>
      </c>
      <c r="AK21">
        <v>21</v>
      </c>
      <c r="AL21">
        <v>150</v>
      </c>
      <c r="AM21" t="s">
        <v>55</v>
      </c>
      <c r="AN21" t="s">
        <v>55</v>
      </c>
      <c r="AO21" t="s">
        <v>55</v>
      </c>
      <c r="AP21" t="s">
        <v>179</v>
      </c>
      <c r="AQ21" t="str">
        <f>HYPERLINK("https://icf.clappia.com/app/GMB253374/submission/MTO06577109/ICF247370-GMB253374-3f50f3g3hdj200000000/SIG-20250630_1149pi68a.jpeg", "SIG-20250630_1149pi68a.jpeg")</f>
        <v>SIG-20250630_1149pi68a.jpeg</v>
      </c>
      <c r="AR21" t="s">
        <v>180</v>
      </c>
      <c r="AS21" t="str">
        <f>HYPERLINK("https://icf.clappia.com/app/GMB253374/submission/MTO06577109/ICF247370-GMB253374-2ki8eanf4j9i00000000/SIG-20250630_1149378f5.jpeg", "SIG-20250630_1149378f5.jpeg")</f>
        <v>SIG-20250630_1149378f5.jpeg</v>
      </c>
      <c r="AT21" t="s">
        <v>181</v>
      </c>
      <c r="AU21" t="str">
        <f>HYPERLINK("https://icf.clappia.com/app/GMB253374/submission/MTO06577109/ICF247370-GMB253374-1ncfl02hn6iak0000000/SIG-20250630_115649ohi.jpeg", "SIG-20250630_115649ohi.jpeg")</f>
        <v>SIG-20250630_115649ohi.jpeg</v>
      </c>
      <c r="AV21" t="str">
        <f>HYPERLINK("https://www.google.com/maps/place/9.1071179%2C-12.2052686", "9.1071179,-12.2052686")</f>
        <v>9.1071179,-12.2052686</v>
      </c>
    </row>
    <row r="22">
      <c r="A22" t="s">
        <v>182</v>
      </c>
      <c r="B22" t="s">
        <v>69</v>
      </c>
      <c r="C22" t="s">
        <v>183</v>
      </c>
      <c r="D22" t="s">
        <v>183</v>
      </c>
      <c r="E22" t="s">
        <v>184</v>
      </c>
      <c r="F22" t="s">
        <v>64</v>
      </c>
      <c r="G22">
        <v>168</v>
      </c>
      <c r="H22" t="s">
        <v>50</v>
      </c>
      <c r="I22">
        <v>28</v>
      </c>
      <c r="J22">
        <v>11</v>
      </c>
      <c r="K22">
        <v>11</v>
      </c>
      <c r="L22">
        <v>17</v>
      </c>
      <c r="M22">
        <v>17</v>
      </c>
      <c r="N22" t="s">
        <v>51</v>
      </c>
      <c r="O22">
        <v>27</v>
      </c>
      <c r="P22">
        <v>11</v>
      </c>
      <c r="Q22">
        <v>11</v>
      </c>
      <c r="R22">
        <v>16</v>
      </c>
      <c r="S22">
        <v>16</v>
      </c>
      <c r="T22" t="s">
        <v>52</v>
      </c>
      <c r="U22">
        <v>20</v>
      </c>
      <c r="V22">
        <v>8</v>
      </c>
      <c r="W22">
        <v>8</v>
      </c>
      <c r="X22">
        <v>12</v>
      </c>
      <c r="Y22">
        <v>12</v>
      </c>
      <c r="Z22" t="s">
        <v>53</v>
      </c>
      <c r="AA22">
        <v>28</v>
      </c>
      <c r="AB22">
        <v>12</v>
      </c>
      <c r="AC22">
        <v>12</v>
      </c>
      <c r="AD22">
        <v>16</v>
      </c>
      <c r="AE22">
        <v>16</v>
      </c>
      <c r="AF22" t="s">
        <v>54</v>
      </c>
      <c r="AG22">
        <v>17</v>
      </c>
      <c r="AH22">
        <v>9</v>
      </c>
      <c r="AI22">
        <v>9</v>
      </c>
      <c r="AJ22">
        <v>8</v>
      </c>
      <c r="AK22">
        <v>8</v>
      </c>
      <c r="AL22">
        <v>120</v>
      </c>
      <c r="AM22" t="s">
        <v>55</v>
      </c>
      <c r="AN22">
        <v>48</v>
      </c>
      <c r="AO22">
        <v>48</v>
      </c>
      <c r="AP22" t="s">
        <v>185</v>
      </c>
      <c r="AQ22" t="str">
        <f>HYPERLINK("https://icf.clappia.com/app/GMB253374/submission/DGJ92740467/ICF247370-GMB253374-1b98454of51360000000/SIG-20250630_11521glop.jpeg", "SIG-20250630_11521glop.jpeg")</f>
        <v>SIG-20250630_11521glop.jpeg</v>
      </c>
      <c r="AR22" t="s">
        <v>186</v>
      </c>
      <c r="AS22" t="str">
        <f>HYPERLINK("https://icf.clappia.com/app/GMB253374/submission/DGJ92740467/ICF247370-GMB253374-4oobk5k6na0c00000000/SIG-20250630_11521a3i8k.jpeg", "SIG-20250630_11521a3i8k.jpeg")</f>
        <v>SIG-20250630_11521a3i8k.jpeg</v>
      </c>
      <c r="AT22" t="s">
        <v>187</v>
      </c>
      <c r="AU22" t="str">
        <f>HYPERLINK("https://icf.clappia.com/app/GMB253374/submission/DGJ92740467/ICF247370-GMB253374-1104ofcibjiog0000000/SIG-20250630_115496i2o.jpeg", "SIG-20250630_115496i2o.jpeg")</f>
        <v>SIG-20250630_115496i2o.jpeg</v>
      </c>
      <c r="AV22" t="str">
        <f>HYPERLINK("https://www.google.com/maps/place/8.8917917%2C-12.0475767", "8.8917917,-12.0475767")</f>
        <v>8.8917917,-12.0475767</v>
      </c>
    </row>
    <row r="23">
      <c r="A23" t="s">
        <v>188</v>
      </c>
      <c r="B23" t="s">
        <v>101</v>
      </c>
      <c r="C23" t="s">
        <v>183</v>
      </c>
      <c r="D23" t="s">
        <v>183</v>
      </c>
      <c r="E23" t="s">
        <v>189</v>
      </c>
      <c r="F23" t="s">
        <v>64</v>
      </c>
      <c r="G23">
        <v>87</v>
      </c>
      <c r="H23" t="s">
        <v>50</v>
      </c>
      <c r="I23">
        <v>34</v>
      </c>
      <c r="J23">
        <v>16</v>
      </c>
      <c r="K23">
        <v>16</v>
      </c>
      <c r="L23">
        <v>18</v>
      </c>
      <c r="M23">
        <v>18</v>
      </c>
      <c r="N23" t="s">
        <v>51</v>
      </c>
      <c r="O23">
        <v>13</v>
      </c>
      <c r="P23">
        <v>6</v>
      </c>
      <c r="Q23">
        <v>6</v>
      </c>
      <c r="R23">
        <v>7</v>
      </c>
      <c r="S23">
        <v>7</v>
      </c>
      <c r="T23" t="s">
        <v>52</v>
      </c>
      <c r="U23">
        <v>13</v>
      </c>
      <c r="V23">
        <v>5</v>
      </c>
      <c r="W23">
        <v>5</v>
      </c>
      <c r="X23">
        <v>8</v>
      </c>
      <c r="Y23">
        <v>8</v>
      </c>
      <c r="Z23" t="s">
        <v>53</v>
      </c>
      <c r="AA23">
        <v>11</v>
      </c>
      <c r="AB23">
        <v>5</v>
      </c>
      <c r="AC23">
        <v>5</v>
      </c>
      <c r="AD23">
        <v>6</v>
      </c>
      <c r="AE23">
        <v>6</v>
      </c>
      <c r="AF23" t="s">
        <v>54</v>
      </c>
      <c r="AG23">
        <v>10</v>
      </c>
      <c r="AH23">
        <v>4</v>
      </c>
      <c r="AI23">
        <v>4</v>
      </c>
      <c r="AJ23">
        <v>6</v>
      </c>
      <c r="AK23">
        <v>6</v>
      </c>
      <c r="AL23">
        <v>81</v>
      </c>
      <c r="AM23">
        <v>6</v>
      </c>
      <c r="AN23" t="s">
        <v>55</v>
      </c>
      <c r="AO23" t="s">
        <v>55</v>
      </c>
      <c r="AP23" t="s">
        <v>190</v>
      </c>
      <c r="AQ23" t="str">
        <f>HYPERLINK("https://icf.clappia.com/app/GMB253374/submission/XPO38892450/ICF247370-GMB253374-5c1elfigc1p600000000/SIG-20250630_114715ej06.jpeg", "SIG-20250630_114715ej06.jpeg")</f>
        <v>SIG-20250630_114715ej06.jpeg</v>
      </c>
      <c r="AR23" t="s">
        <v>191</v>
      </c>
      <c r="AS23" t="str">
        <f>HYPERLINK("https://icf.clappia.com/app/GMB253374/submission/XPO38892450/ICF247370-GMB253374-1a6ko9f7ff1ok0000000/SIG-20250630_115413c4gd.jpeg", "SIG-20250630_115413c4gd.jpeg")</f>
        <v>SIG-20250630_115413c4gd.jpeg</v>
      </c>
      <c r="AT23" t="s">
        <v>192</v>
      </c>
      <c r="AU23" t="str">
        <f>HYPERLINK("https://icf.clappia.com/app/GMB253374/submission/XPO38892450/ICF247370-GMB253374-420pe1d9g1f200000000/SIG-20250630_1155n31k.jpeg", "SIG-20250630_1155n31k.jpeg")</f>
        <v>SIG-20250630_1155n31k.jpeg</v>
      </c>
      <c r="AV23" t="str">
        <f>HYPERLINK("https://www.google.com/maps/place/7.9505082%2C-11.7487157", "7.9505082,-11.7487157")</f>
        <v>7.9505082,-11.7487157</v>
      </c>
    </row>
    <row r="24">
      <c r="A24" t="s">
        <v>193</v>
      </c>
      <c r="B24" t="s">
        <v>60</v>
      </c>
      <c r="C24" t="s">
        <v>194</v>
      </c>
      <c r="D24" t="s">
        <v>194</v>
      </c>
      <c r="E24" t="s">
        <v>195</v>
      </c>
      <c r="F24" t="s">
        <v>64</v>
      </c>
      <c r="G24">
        <v>42</v>
      </c>
      <c r="H24" t="s">
        <v>50</v>
      </c>
      <c r="I24">
        <v>10</v>
      </c>
      <c r="J24">
        <v>6</v>
      </c>
      <c r="K24">
        <v>5</v>
      </c>
      <c r="L24">
        <v>4</v>
      </c>
      <c r="M24">
        <v>3</v>
      </c>
      <c r="N24" t="s">
        <v>51</v>
      </c>
      <c r="O24">
        <v>8</v>
      </c>
      <c r="P24">
        <v>2</v>
      </c>
      <c r="Q24">
        <v>1</v>
      </c>
      <c r="R24">
        <v>6</v>
      </c>
      <c r="S24">
        <v>3</v>
      </c>
      <c r="T24" t="s">
        <v>52</v>
      </c>
      <c r="U24">
        <v>8</v>
      </c>
      <c r="V24">
        <v>5</v>
      </c>
      <c r="W24">
        <v>3</v>
      </c>
      <c r="X24">
        <v>3</v>
      </c>
      <c r="Y24">
        <v>3</v>
      </c>
      <c r="Z24" t="s">
        <v>53</v>
      </c>
      <c r="AA24">
        <v>7</v>
      </c>
      <c r="AB24">
        <v>3</v>
      </c>
      <c r="AC24">
        <v>3</v>
      </c>
      <c r="AD24">
        <v>4</v>
      </c>
      <c r="AE24">
        <v>4</v>
      </c>
      <c r="AF24" t="s">
        <v>54</v>
      </c>
      <c r="AG24">
        <v>9</v>
      </c>
      <c r="AH24">
        <v>2</v>
      </c>
      <c r="AI24" t="s">
        <v>55</v>
      </c>
      <c r="AJ24">
        <v>7</v>
      </c>
      <c r="AK24">
        <v>2</v>
      </c>
      <c r="AL24">
        <v>27</v>
      </c>
      <c r="AM24">
        <v>2</v>
      </c>
      <c r="AN24">
        <v>13</v>
      </c>
      <c r="AO24">
        <v>13</v>
      </c>
      <c r="AP24" t="s">
        <v>196</v>
      </c>
      <c r="AQ24" t="str">
        <f>HYPERLINK("https://icf.clappia.com/app/GMB253374/submission/OII57933828/ICF247370-GMB253374-4l3ibflni5lc00000000/SIG-20250630_1152akae9.jpeg", "SIG-20250630_1152akae9.jpeg")</f>
        <v>SIG-20250630_1152akae9.jpeg</v>
      </c>
      <c r="AR24" t="s">
        <v>197</v>
      </c>
      <c r="AS24" t="str">
        <f>HYPERLINK("https://icf.clappia.com/app/GMB253374/submission/OII57933828/ICF247370-GMB253374-5f0n060hgaco00000000/SIG-20250630_115331ho5.jpeg", "SIG-20250630_115331ho5.jpeg")</f>
        <v>SIG-20250630_115331ho5.jpeg</v>
      </c>
      <c r="AT24" t="s">
        <v>198</v>
      </c>
      <c r="AU24" t="str">
        <f>HYPERLINK("https://icf.clappia.com/app/GMB253374/submission/OII57933828/ICF247370-GMB253374-6a626n8354mg00000000/SIG-20250630_1153jlp1c.jpeg", "SIG-20250630_1153jlp1c.jpeg")</f>
        <v>SIG-20250630_1153jlp1c.jpeg</v>
      </c>
      <c r="AV24" t="str">
        <f>HYPERLINK("https://www.google.com/maps/place/7.9946399%2C-11.7707201", "7.9946399,-11.7707201")</f>
        <v>7.9946399,-11.7707201</v>
      </c>
    </row>
    <row r="25">
      <c r="A25" t="s">
        <v>199</v>
      </c>
      <c r="B25" t="s">
        <v>46</v>
      </c>
      <c r="C25" t="s">
        <v>200</v>
      </c>
      <c r="D25" t="s">
        <v>200</v>
      </c>
      <c r="E25" t="s">
        <v>201</v>
      </c>
      <c r="F25" t="s">
        <v>64</v>
      </c>
      <c r="G25">
        <v>98</v>
      </c>
      <c r="H25" t="s">
        <v>50</v>
      </c>
      <c r="I25">
        <v>20</v>
      </c>
      <c r="J25">
        <v>12</v>
      </c>
      <c r="K25">
        <v>6</v>
      </c>
      <c r="L25">
        <v>8</v>
      </c>
      <c r="M25">
        <v>3</v>
      </c>
      <c r="N25" t="s">
        <v>51</v>
      </c>
      <c r="O25">
        <v>20</v>
      </c>
      <c r="P25">
        <v>10</v>
      </c>
      <c r="Q25">
        <v>4</v>
      </c>
      <c r="R25">
        <v>10</v>
      </c>
      <c r="S25">
        <v>4</v>
      </c>
      <c r="T25" t="s">
        <v>52</v>
      </c>
      <c r="U25">
        <v>19</v>
      </c>
      <c r="V25">
        <v>10</v>
      </c>
      <c r="W25">
        <v>4</v>
      </c>
      <c r="X25">
        <v>9</v>
      </c>
      <c r="Y25">
        <v>3</v>
      </c>
      <c r="Z25" t="s">
        <v>53</v>
      </c>
      <c r="AA25">
        <v>15</v>
      </c>
      <c r="AB25">
        <v>7</v>
      </c>
      <c r="AC25">
        <v>6</v>
      </c>
      <c r="AD25">
        <v>8</v>
      </c>
      <c r="AE25">
        <v>6</v>
      </c>
      <c r="AF25" t="s">
        <v>54</v>
      </c>
      <c r="AG25">
        <v>19</v>
      </c>
      <c r="AH25">
        <v>15</v>
      </c>
      <c r="AI25">
        <v>3</v>
      </c>
      <c r="AJ25">
        <v>4</v>
      </c>
      <c r="AK25">
        <v>1</v>
      </c>
      <c r="AL25">
        <v>40</v>
      </c>
      <c r="AM25">
        <v>2</v>
      </c>
      <c r="AN25">
        <v>56</v>
      </c>
      <c r="AO25">
        <v>56</v>
      </c>
      <c r="AP25" t="s">
        <v>202</v>
      </c>
      <c r="AQ25" t="str">
        <f>HYPERLINK("https://icf.clappia.com/app/GMB253374/submission/FOF95163005/ICF247370-GMB253374-5e661fo9fl6600000000/SIG-20250630_1148j7nce.jpeg", "SIG-20250630_1148j7nce.jpeg")</f>
        <v>SIG-20250630_1148j7nce.jpeg</v>
      </c>
      <c r="AR25" t="s">
        <v>203</v>
      </c>
      <c r="AS25" t="str">
        <f>HYPERLINK("https://icf.clappia.com/app/GMB253374/submission/FOF95163005/ICF247370-GMB253374-d700e46ej77c0000000/SIG-20250630_11481311ad.jpeg", "SIG-20250630_11481311ad.jpeg")</f>
        <v>SIG-20250630_11481311ad.jpeg</v>
      </c>
      <c r="AT25" t="s">
        <v>204</v>
      </c>
      <c r="AU25" t="str">
        <f>HYPERLINK("https://icf.clappia.com/app/GMB253374/submission/FOF95163005/ICF247370-GMB253374-i4936cf8hmco0000000/SIG-20250630_1149nn42n.jpeg", "SIG-20250630_1149nn42n.jpeg")</f>
        <v>SIG-20250630_1149nn42n.jpeg</v>
      </c>
      <c r="AV25" t="str">
        <f>HYPERLINK("https://www.google.com/maps/place/8.8042684%2C-12.2832285", "8.8042684,-12.2832285")</f>
        <v>8.8042684,-12.2832285</v>
      </c>
    </row>
    <row r="26">
      <c r="A26" t="s">
        <v>205</v>
      </c>
      <c r="B26" t="s">
        <v>206</v>
      </c>
      <c r="C26" t="s">
        <v>200</v>
      </c>
      <c r="D26" t="s">
        <v>200</v>
      </c>
      <c r="E26" t="s">
        <v>207</v>
      </c>
      <c r="F26" t="s">
        <v>64</v>
      </c>
      <c r="G26">
        <v>100</v>
      </c>
      <c r="H26" t="s">
        <v>50</v>
      </c>
      <c r="I26">
        <v>29</v>
      </c>
      <c r="J26">
        <v>15</v>
      </c>
      <c r="K26">
        <v>15</v>
      </c>
      <c r="L26">
        <v>14</v>
      </c>
      <c r="M26">
        <v>14</v>
      </c>
      <c r="N26" t="s">
        <v>51</v>
      </c>
      <c r="O26">
        <v>28</v>
      </c>
      <c r="P26">
        <v>15</v>
      </c>
      <c r="Q26">
        <v>15</v>
      </c>
      <c r="R26">
        <v>13</v>
      </c>
      <c r="S26">
        <v>13</v>
      </c>
      <c r="T26" t="s">
        <v>52</v>
      </c>
      <c r="U26">
        <v>14</v>
      </c>
      <c r="V26">
        <v>7</v>
      </c>
      <c r="W26">
        <v>7</v>
      </c>
      <c r="X26">
        <v>7</v>
      </c>
      <c r="Y26">
        <v>7</v>
      </c>
      <c r="Z26" t="s">
        <v>53</v>
      </c>
      <c r="AA26">
        <v>9</v>
      </c>
      <c r="AB26">
        <v>5</v>
      </c>
      <c r="AC26">
        <v>5</v>
      </c>
      <c r="AD26">
        <v>4</v>
      </c>
      <c r="AE26">
        <v>4</v>
      </c>
      <c r="AF26" t="s">
        <v>54</v>
      </c>
      <c r="AG26">
        <v>20</v>
      </c>
      <c r="AH26">
        <v>10</v>
      </c>
      <c r="AI26">
        <v>10</v>
      </c>
      <c r="AJ26">
        <v>10</v>
      </c>
      <c r="AK26">
        <v>10</v>
      </c>
      <c r="AL26">
        <v>100</v>
      </c>
      <c r="AM26" t="s">
        <v>55</v>
      </c>
      <c r="AN26" t="s">
        <v>55</v>
      </c>
      <c r="AO26" t="s">
        <v>55</v>
      </c>
      <c r="AP26" t="s">
        <v>208</v>
      </c>
      <c r="AQ26" t="str">
        <f>HYPERLINK("https://icf.clappia.com/app/GMB253374/submission/PWC02903528/ICF247370-GMB253374-3o0bph3mll7e00000000/SIG-20250630_1144eo63l.jpeg", "SIG-20250630_1144eo63l.jpeg")</f>
        <v>SIG-20250630_1144eo63l.jpeg</v>
      </c>
      <c r="AR26" t="s">
        <v>209</v>
      </c>
      <c r="AS26" t="str">
        <f>HYPERLINK("https://icf.clappia.com/app/GMB253374/submission/PWC02903528/ICF247370-GMB253374-21ogd7g68aj520000000/SIG-20250630_114517kg4j.jpeg", "SIG-20250630_114517kg4j.jpeg")</f>
        <v>SIG-20250630_114517kg4j.jpeg</v>
      </c>
      <c r="AT26" t="s">
        <v>210</v>
      </c>
      <c r="AU26" t="str">
        <f>HYPERLINK("https://icf.clappia.com/app/GMB253374/submission/PWC02903528/ICF247370-GMB253374-461nf7k12mci00000000/SIG-20250630_114818jdec.jpeg", "SIG-20250630_114818jdec.jpeg")</f>
        <v>SIG-20250630_114818jdec.jpeg</v>
      </c>
      <c r="AV26" t="str">
        <f>HYPERLINK("https://www.google.com/maps/place/8.8042684%2C-12.2832285", "8.8042684,-12.2832285")</f>
        <v>8.8042684,-12.2832285</v>
      </c>
    </row>
    <row r="27">
      <c r="A27" t="s">
        <v>211</v>
      </c>
      <c r="B27" t="s">
        <v>60</v>
      </c>
      <c r="C27" t="s">
        <v>212</v>
      </c>
      <c r="D27" t="s">
        <v>212</v>
      </c>
      <c r="E27" t="s">
        <v>213</v>
      </c>
      <c r="F27" t="s">
        <v>64</v>
      </c>
      <c r="G27">
        <v>273</v>
      </c>
      <c r="H27" t="s">
        <v>50</v>
      </c>
      <c r="I27">
        <v>100</v>
      </c>
      <c r="J27">
        <v>50</v>
      </c>
      <c r="K27">
        <v>50</v>
      </c>
      <c r="L27">
        <v>50</v>
      </c>
      <c r="M27">
        <v>50</v>
      </c>
      <c r="N27" t="s">
        <v>51</v>
      </c>
      <c r="O27">
        <v>50</v>
      </c>
      <c r="P27">
        <v>24</v>
      </c>
      <c r="Q27">
        <v>24</v>
      </c>
      <c r="R27">
        <v>26</v>
      </c>
      <c r="S27">
        <v>26</v>
      </c>
      <c r="T27" t="s">
        <v>52</v>
      </c>
      <c r="U27">
        <v>40</v>
      </c>
      <c r="V27">
        <v>14</v>
      </c>
      <c r="W27">
        <v>14</v>
      </c>
      <c r="X27">
        <v>26</v>
      </c>
      <c r="Y27">
        <v>26</v>
      </c>
      <c r="Z27" t="s">
        <v>53</v>
      </c>
      <c r="AA27">
        <v>43</v>
      </c>
      <c r="AB27">
        <v>19</v>
      </c>
      <c r="AC27">
        <v>19</v>
      </c>
      <c r="AD27">
        <v>24</v>
      </c>
      <c r="AE27">
        <v>24</v>
      </c>
      <c r="AF27" t="s">
        <v>54</v>
      </c>
      <c r="AG27">
        <v>40</v>
      </c>
      <c r="AH27">
        <v>22</v>
      </c>
      <c r="AI27">
        <v>22</v>
      </c>
      <c r="AJ27">
        <v>18</v>
      </c>
      <c r="AK27">
        <v>18</v>
      </c>
      <c r="AL27">
        <v>273</v>
      </c>
      <c r="AM27" t="s">
        <v>55</v>
      </c>
      <c r="AN27" t="s">
        <v>55</v>
      </c>
      <c r="AO27" t="s">
        <v>55</v>
      </c>
      <c r="AP27" t="s">
        <v>214</v>
      </c>
      <c r="AQ27" t="str">
        <f>HYPERLINK("https://icf.clappia.com/app/GMB253374/submission/KSK14026686/ICF247370-GMB253374-15m52lcaja4le000000/SIG-20250630_114513nj07.jpeg", "SIG-20250630_114513nj07.jpeg")</f>
        <v>SIG-20250630_114513nj07.jpeg</v>
      </c>
      <c r="AR27" t="s">
        <v>215</v>
      </c>
      <c r="AS27" t="str">
        <f>HYPERLINK("https://icf.clappia.com/app/GMB253374/submission/KSK14026686/ICF247370-GMB253374-3mi8deffb4eo00000000/SIG-20250630_1146bel67.jpeg", "SIG-20250630_1146bel67.jpeg")</f>
        <v>SIG-20250630_1146bel67.jpeg</v>
      </c>
      <c r="AT27" t="s">
        <v>55</v>
      </c>
      <c r="AU27" t="str">
        <f>HYPERLINK("https://icf.clappia.com/app/GMB253374/submission/KSK14026686/ICF247370-GMB253374-19d485pggm5ck0000000/SIG-20250630_1148190gpg.jpeg", "SIG-20250630_1148190gpg.jpeg")</f>
        <v>SIG-20250630_1148190gpg.jpeg</v>
      </c>
      <c r="AV27" t="str">
        <f>HYPERLINK("https://www.google.com/maps/place/8.0131345%2C-11.7792656", "8.0131345,-11.7792656")</f>
        <v>8.0131345,-11.7792656</v>
      </c>
    </row>
    <row r="28">
      <c r="A28" t="s">
        <v>216</v>
      </c>
      <c r="B28" t="s">
        <v>101</v>
      </c>
      <c r="C28" t="s">
        <v>217</v>
      </c>
      <c r="D28" t="s">
        <v>217</v>
      </c>
      <c r="E28" t="s">
        <v>218</v>
      </c>
      <c r="F28" t="s">
        <v>64</v>
      </c>
      <c r="G28">
        <v>100</v>
      </c>
      <c r="H28" t="s">
        <v>50</v>
      </c>
      <c r="I28">
        <v>62</v>
      </c>
      <c r="J28">
        <v>29</v>
      </c>
      <c r="K28">
        <v>27</v>
      </c>
      <c r="L28">
        <v>33</v>
      </c>
      <c r="M28">
        <v>23</v>
      </c>
      <c r="N28" t="s">
        <v>51</v>
      </c>
      <c r="O28">
        <v>46</v>
      </c>
      <c r="P28">
        <v>26</v>
      </c>
      <c r="Q28">
        <v>8</v>
      </c>
      <c r="R28">
        <v>20</v>
      </c>
      <c r="S28">
        <v>17</v>
      </c>
      <c r="T28" t="s">
        <v>52</v>
      </c>
      <c r="U28">
        <v>33</v>
      </c>
      <c r="V28">
        <v>16</v>
      </c>
      <c r="W28">
        <v>8</v>
      </c>
      <c r="X28">
        <v>17</v>
      </c>
      <c r="Y28">
        <v>5</v>
      </c>
      <c r="Z28" t="s">
        <v>53</v>
      </c>
      <c r="AA28">
        <v>49</v>
      </c>
      <c r="AB28">
        <v>26</v>
      </c>
      <c r="AC28">
        <v>6</v>
      </c>
      <c r="AD28">
        <v>23</v>
      </c>
      <c r="AE28">
        <v>6</v>
      </c>
      <c r="AF28" t="s">
        <v>54</v>
      </c>
      <c r="AG28">
        <v>37</v>
      </c>
      <c r="AH28">
        <v>21</v>
      </c>
      <c r="AI28" t="s">
        <v>55</v>
      </c>
      <c r="AJ28">
        <v>16</v>
      </c>
      <c r="AK28" t="s">
        <v>55</v>
      </c>
      <c r="AL28">
        <v>100</v>
      </c>
      <c r="AM28" t="s">
        <v>55</v>
      </c>
      <c r="AN28" t="s">
        <v>55</v>
      </c>
      <c r="AO28" t="s">
        <v>55</v>
      </c>
      <c r="AP28" t="s">
        <v>219</v>
      </c>
      <c r="AQ28" t="str">
        <f>HYPERLINK("https://icf.clappia.com/app/GMB253374/submission/NCI73589757/ICF247370-GMB253374-157iendeb538c0000000/SIG-20250630_114257bj7.jpeg", "SIG-20250630_114257bj7.jpeg")</f>
        <v>SIG-20250630_114257bj7.jpeg</v>
      </c>
      <c r="AR28" t="s">
        <v>220</v>
      </c>
      <c r="AS28" t="str">
        <f>HYPERLINK("https://icf.clappia.com/app/GMB253374/submission/NCI73589757/ICF247370-GMB253374-582j2hf5ipeg0000000/SIG-20250630_11437pje4.jpeg", "SIG-20250630_11437pje4.jpeg")</f>
        <v>SIG-20250630_11437pje4.jpeg</v>
      </c>
      <c r="AT28" t="s">
        <v>221</v>
      </c>
      <c r="AU28" t="str">
        <f>HYPERLINK("https://icf.clappia.com/app/GMB253374/submission/NCI73589757/ICF247370-GMB253374-inp989mdkpp20000000/SIG-20250630_114411ie2.jpeg", "SIG-20250630_114411ie2.jpeg")</f>
        <v>SIG-20250630_114411ie2.jpeg</v>
      </c>
      <c r="AV28" t="str">
        <f>HYPERLINK("https://www.google.com/maps/place/7.9642912%2C-11.7205297", "7.9642912,-11.7205297")</f>
        <v>7.9642912,-11.7205297</v>
      </c>
    </row>
    <row r="29">
      <c r="A29" t="s">
        <v>222</v>
      </c>
      <c r="B29" t="s">
        <v>223</v>
      </c>
      <c r="C29" t="s">
        <v>224</v>
      </c>
      <c r="D29" t="s">
        <v>224</v>
      </c>
      <c r="E29" t="s">
        <v>225</v>
      </c>
      <c r="F29" t="s">
        <v>64</v>
      </c>
      <c r="G29">
        <v>105</v>
      </c>
      <c r="H29" t="s">
        <v>50</v>
      </c>
      <c r="I29">
        <v>40</v>
      </c>
      <c r="J29">
        <v>20</v>
      </c>
      <c r="K29">
        <v>20</v>
      </c>
      <c r="L29">
        <v>20</v>
      </c>
      <c r="M29">
        <v>20</v>
      </c>
      <c r="N29" t="s">
        <v>51</v>
      </c>
      <c r="O29">
        <v>20</v>
      </c>
      <c r="P29">
        <v>10</v>
      </c>
      <c r="Q29">
        <v>10</v>
      </c>
      <c r="R29">
        <v>10</v>
      </c>
      <c r="S29">
        <v>10</v>
      </c>
      <c r="T29" t="s">
        <v>52</v>
      </c>
      <c r="U29">
        <v>21</v>
      </c>
      <c r="V29">
        <v>11</v>
      </c>
      <c r="W29">
        <v>11</v>
      </c>
      <c r="X29">
        <v>10</v>
      </c>
      <c r="Y29">
        <v>10</v>
      </c>
      <c r="Z29" t="s">
        <v>53</v>
      </c>
      <c r="AA29">
        <v>19</v>
      </c>
      <c r="AB29">
        <v>11</v>
      </c>
      <c r="AC29">
        <v>11</v>
      </c>
      <c r="AD29">
        <v>8</v>
      </c>
      <c r="AE29">
        <v>8</v>
      </c>
      <c r="AF29" t="s">
        <v>54</v>
      </c>
      <c r="AG29">
        <v>5</v>
      </c>
      <c r="AH29">
        <v>3</v>
      </c>
      <c r="AI29">
        <v>3</v>
      </c>
      <c r="AJ29">
        <v>2</v>
      </c>
      <c r="AK29">
        <v>2</v>
      </c>
      <c r="AL29">
        <v>105</v>
      </c>
      <c r="AM29" t="s">
        <v>55</v>
      </c>
      <c r="AN29" t="s">
        <v>55</v>
      </c>
      <c r="AO29" t="s">
        <v>55</v>
      </c>
      <c r="AP29" t="s">
        <v>226</v>
      </c>
      <c r="AQ29" t="str">
        <f>HYPERLINK("https://icf.clappia.com/app/GMB253374/submission/EXH27204622/ICF247370-GMB253374-51nm9a43dj5m00000000/SIG-20250630_0933oaekn.jpeg", "SIG-20250630_0933oaekn.jpeg")</f>
        <v>SIG-20250630_0933oaekn.jpeg</v>
      </c>
      <c r="AR29" t="s">
        <v>227</v>
      </c>
      <c r="AS29" t="str">
        <f>HYPERLINK("https://icf.clappia.com/app/GMB253374/submission/EXH27204622/ICF247370-GMB253374-2am8kegoo71ci0000000/SIG-20250630_093314i6j1.jpeg", "SIG-20250630_093314i6j1.jpeg")</f>
        <v>SIG-20250630_093314i6j1.jpeg</v>
      </c>
      <c r="AT29" t="s">
        <v>228</v>
      </c>
      <c r="AU29" t="str">
        <f>HYPERLINK("https://icf.clappia.com/app/GMB253374/submission/EXH27204622/ICF247370-GMB253374-59j46pm4ak6k00000000/SIG-20250630_0934h844e.jpeg", "SIG-20250630_0934h844e.jpeg")</f>
        <v>SIG-20250630_0934h844e.jpeg</v>
      </c>
      <c r="AV29" t="str">
        <f>HYPERLINK("https://www.google.com/maps/place/8.0810267%2C-11.6273083", "8.0810267,-11.6273083")</f>
        <v>8.0810267,-11.6273083</v>
      </c>
    </row>
    <row r="30">
      <c r="A30" t="s">
        <v>229</v>
      </c>
      <c r="B30" t="s">
        <v>101</v>
      </c>
      <c r="C30" t="s">
        <v>230</v>
      </c>
      <c r="D30" t="s">
        <v>230</v>
      </c>
      <c r="E30" t="s">
        <v>231</v>
      </c>
      <c r="F30" t="s">
        <v>64</v>
      </c>
      <c r="G30">
        <v>200</v>
      </c>
      <c r="H30" t="s">
        <v>50</v>
      </c>
      <c r="I30">
        <v>35</v>
      </c>
      <c r="J30">
        <v>15</v>
      </c>
      <c r="K30">
        <v>15</v>
      </c>
      <c r="L30">
        <v>20</v>
      </c>
      <c r="M30">
        <v>15</v>
      </c>
      <c r="N30" t="s">
        <v>51</v>
      </c>
      <c r="O30">
        <v>37</v>
      </c>
      <c r="P30">
        <v>14</v>
      </c>
      <c r="Q30">
        <v>14</v>
      </c>
      <c r="R30">
        <v>21</v>
      </c>
      <c r="S30">
        <v>12</v>
      </c>
      <c r="T30" t="s">
        <v>52</v>
      </c>
      <c r="U30">
        <v>37</v>
      </c>
      <c r="V30">
        <v>15</v>
      </c>
      <c r="W30">
        <v>5</v>
      </c>
      <c r="X30">
        <v>22</v>
      </c>
      <c r="Y30">
        <v>17</v>
      </c>
      <c r="Z30" t="s">
        <v>53</v>
      </c>
      <c r="AA30">
        <v>34</v>
      </c>
      <c r="AB30">
        <v>19</v>
      </c>
      <c r="AC30">
        <v>18</v>
      </c>
      <c r="AD30">
        <v>15</v>
      </c>
      <c r="AE30">
        <v>6</v>
      </c>
      <c r="AF30" t="s">
        <v>54</v>
      </c>
      <c r="AG30">
        <v>35</v>
      </c>
      <c r="AH30">
        <v>19</v>
      </c>
      <c r="AI30">
        <v>10</v>
      </c>
      <c r="AJ30">
        <v>16</v>
      </c>
      <c r="AK30">
        <v>16</v>
      </c>
      <c r="AL30">
        <v>128</v>
      </c>
      <c r="AM30" t="s">
        <v>55</v>
      </c>
      <c r="AN30">
        <v>72</v>
      </c>
      <c r="AO30">
        <v>70</v>
      </c>
      <c r="AP30" t="s">
        <v>232</v>
      </c>
      <c r="AQ30" t="str">
        <f>HYPERLINK("https://icf.clappia.com/app/GMB253374/submission/APR80629155/ICF247370-GMB253374-6bm74bo5fm0a00000000/SIG-20250630_1141nf7el.jpeg", "SIG-20250630_1141nf7el.jpeg")</f>
        <v>SIG-20250630_1141nf7el.jpeg</v>
      </c>
      <c r="AR30" t="s">
        <v>233</v>
      </c>
      <c r="AS30" t="str">
        <f>HYPERLINK("https://icf.clappia.com/app/GMB253374/submission/APR80629155/ICF247370-GMB253374-oacop83ij6640000000/SIG-20250630_1141c8k4n.jpeg", "SIG-20250630_1141c8k4n.jpeg")</f>
        <v>SIG-20250630_1141c8k4n.jpeg</v>
      </c>
      <c r="AT30" t="s">
        <v>234</v>
      </c>
      <c r="AU30" t="str">
        <f>HYPERLINK("https://icf.clappia.com/app/GMB253374/submission/APR80629155/ICF247370-GMB253374-fj2ahmo9ikfi0000000/SIG-20250630_1141mlaoa.jpeg", "SIG-20250630_1141mlaoa.jpeg")</f>
        <v>SIG-20250630_1141mlaoa.jpeg</v>
      </c>
      <c r="AV30" t="str">
        <f>HYPERLINK("https://www.google.com/maps/place/7.9411267%2C-11.7308717", "7.9411267,-11.7308717")</f>
        <v>7.9411267,-11.7308717</v>
      </c>
    </row>
    <row r="31">
      <c r="A31" t="s">
        <v>235</v>
      </c>
      <c r="B31" t="s">
        <v>223</v>
      </c>
      <c r="C31" t="s">
        <v>236</v>
      </c>
      <c r="D31" t="s">
        <v>236</v>
      </c>
      <c r="E31" t="s">
        <v>237</v>
      </c>
      <c r="F31" t="s">
        <v>64</v>
      </c>
      <c r="G31">
        <v>178</v>
      </c>
      <c r="H31" t="s">
        <v>50</v>
      </c>
      <c r="I31">
        <v>81</v>
      </c>
      <c r="J31">
        <v>42</v>
      </c>
      <c r="K31">
        <v>42</v>
      </c>
      <c r="L31">
        <v>39</v>
      </c>
      <c r="M31">
        <v>36</v>
      </c>
      <c r="N31" t="s">
        <v>51</v>
      </c>
      <c r="O31">
        <v>45</v>
      </c>
      <c r="P31">
        <v>23</v>
      </c>
      <c r="Q31">
        <v>10</v>
      </c>
      <c r="R31">
        <v>22</v>
      </c>
      <c r="S31">
        <v>8</v>
      </c>
      <c r="T31" t="s">
        <v>52</v>
      </c>
      <c r="U31">
        <v>35</v>
      </c>
      <c r="V31">
        <v>20</v>
      </c>
      <c r="W31">
        <v>18</v>
      </c>
      <c r="X31">
        <v>15</v>
      </c>
      <c r="Y31">
        <v>12</v>
      </c>
      <c r="Z31" t="s">
        <v>53</v>
      </c>
      <c r="AA31">
        <v>25</v>
      </c>
      <c r="AB31">
        <v>14</v>
      </c>
      <c r="AC31">
        <v>11</v>
      </c>
      <c r="AD31">
        <v>11</v>
      </c>
      <c r="AE31">
        <v>5</v>
      </c>
      <c r="AF31" t="s">
        <v>54</v>
      </c>
      <c r="AG31">
        <v>27</v>
      </c>
      <c r="AH31">
        <v>14</v>
      </c>
      <c r="AI31">
        <v>7</v>
      </c>
      <c r="AJ31">
        <v>11</v>
      </c>
      <c r="AK31">
        <v>9</v>
      </c>
      <c r="AL31">
        <v>158</v>
      </c>
      <c r="AM31" t="s">
        <v>55</v>
      </c>
      <c r="AN31">
        <v>20</v>
      </c>
      <c r="AO31">
        <v>20</v>
      </c>
      <c r="AP31" t="s">
        <v>238</v>
      </c>
      <c r="AQ31" t="str">
        <f>HYPERLINK("https://icf.clappia.com/app/GMB253374/submission/LMG35734104/ICF247370-GMB253374-4jc1c8850d3000000000/SIG-20250630_1137dcei8.jpeg", "SIG-20250630_1137dcei8.jpeg")</f>
        <v>SIG-20250630_1137dcei8.jpeg</v>
      </c>
      <c r="AR31" t="s">
        <v>239</v>
      </c>
      <c r="AS31" t="str">
        <f>HYPERLINK("https://icf.clappia.com/app/GMB253374/submission/LMG35734104/ICF247370-GMB253374-49o836619jag00000000/SIG-20250630_103518mdef.jpeg", "SIG-20250630_103518mdef.jpeg")</f>
        <v>SIG-20250630_103518mdef.jpeg</v>
      </c>
      <c r="AT31" t="s">
        <v>240</v>
      </c>
      <c r="AU31" t="str">
        <f>HYPERLINK("https://icf.clappia.com/app/GMB253374/submission/LMG35734104/ICF247370-GMB253374-53k3174bo1hm00000000/SIG-20250630_113868dij.jpeg", "SIG-20250630_113868dij.jpeg")</f>
        <v>SIG-20250630_113868dij.jpeg</v>
      </c>
      <c r="AV31" t="str">
        <f>HYPERLINK("https://www.google.com/maps/place/8.1264317%2C-11.6167517", "8.1264317,-11.6167517")</f>
        <v>8.1264317,-11.6167517</v>
      </c>
    </row>
    <row r="32">
      <c r="A32" t="s">
        <v>241</v>
      </c>
      <c r="B32" t="s">
        <v>242</v>
      </c>
      <c r="C32" t="s">
        <v>243</v>
      </c>
      <c r="D32" t="s">
        <v>243</v>
      </c>
      <c r="E32" t="s">
        <v>244</v>
      </c>
      <c r="F32" t="s">
        <v>64</v>
      </c>
      <c r="G32">
        <v>247</v>
      </c>
      <c r="H32" t="s">
        <v>50</v>
      </c>
      <c r="I32">
        <v>54</v>
      </c>
      <c r="J32">
        <v>25</v>
      </c>
      <c r="K32">
        <v>25</v>
      </c>
      <c r="L32">
        <v>29</v>
      </c>
      <c r="M32">
        <v>27</v>
      </c>
      <c r="N32" t="s">
        <v>51</v>
      </c>
      <c r="O32">
        <v>53</v>
      </c>
      <c r="P32">
        <v>29</v>
      </c>
      <c r="Q32">
        <v>28</v>
      </c>
      <c r="R32">
        <v>24</v>
      </c>
      <c r="S32">
        <v>23</v>
      </c>
      <c r="T32" t="s">
        <v>52</v>
      </c>
      <c r="U32">
        <v>50</v>
      </c>
      <c r="V32">
        <v>14</v>
      </c>
      <c r="W32">
        <v>14</v>
      </c>
      <c r="X32">
        <v>36</v>
      </c>
      <c r="Y32">
        <v>35</v>
      </c>
      <c r="Z32" t="s">
        <v>53</v>
      </c>
      <c r="AA32">
        <v>40</v>
      </c>
      <c r="AB32">
        <v>20</v>
      </c>
      <c r="AC32">
        <v>20</v>
      </c>
      <c r="AD32">
        <v>20</v>
      </c>
      <c r="AE32">
        <v>20</v>
      </c>
      <c r="AF32" t="s">
        <v>54</v>
      </c>
      <c r="AG32">
        <v>50</v>
      </c>
      <c r="AH32">
        <v>26</v>
      </c>
      <c r="AI32">
        <v>26</v>
      </c>
      <c r="AJ32">
        <v>24</v>
      </c>
      <c r="AK32">
        <v>24</v>
      </c>
      <c r="AL32">
        <v>242</v>
      </c>
      <c r="AM32">
        <v>5</v>
      </c>
      <c r="AN32" t="s">
        <v>55</v>
      </c>
      <c r="AO32" t="s">
        <v>55</v>
      </c>
      <c r="AP32" t="s">
        <v>245</v>
      </c>
      <c r="AQ32" t="str">
        <f>HYPERLINK("https://icf.clappia.com/app/GMB253374/submission/BXU62986863/ICF247370-GMB253374-5j4c887bhmo000000000/SIG-20250630_1135189715.jpeg", "SIG-20250630_1135189715.jpeg")</f>
        <v>SIG-20250630_1135189715.jpeg</v>
      </c>
      <c r="AR32" t="s">
        <v>246</v>
      </c>
      <c r="AS32" t="str">
        <f>HYPERLINK("https://icf.clappia.com/app/GMB253374/submission/BXU62986863/ICF247370-GMB253374-43cfd5dno4kg00000000/SIG-20250630_1140en8e5.jpeg", "SIG-20250630_1140en8e5.jpeg")</f>
        <v>SIG-20250630_1140en8e5.jpeg</v>
      </c>
      <c r="AT32" t="s">
        <v>247</v>
      </c>
      <c r="AU32" t="str">
        <f>HYPERLINK("https://icf.clappia.com/app/GMB253374/submission/BXU62986863/ICF247370-GMB253374-3pm81jgnkao400000000/SIG-20250630_11363dkdl.jpeg", "SIG-20250630_11363dkdl.jpeg")</f>
        <v>SIG-20250630_11363dkdl.jpeg</v>
      </c>
      <c r="AV32" t="str">
        <f>HYPERLINK("https://www.google.com/maps/place/7.6783569%2C-11.8234282", "7.6783569,-11.8234282")</f>
        <v>7.6783569,-11.8234282</v>
      </c>
    </row>
    <row r="33">
      <c r="A33" t="s">
        <v>248</v>
      </c>
      <c r="B33" t="s">
        <v>46</v>
      </c>
      <c r="C33" t="s">
        <v>249</v>
      </c>
      <c r="D33" t="s">
        <v>249</v>
      </c>
      <c r="E33" t="s">
        <v>250</v>
      </c>
      <c r="F33" t="s">
        <v>64</v>
      </c>
      <c r="G33">
        <v>100</v>
      </c>
      <c r="H33" t="s">
        <v>50</v>
      </c>
      <c r="I33">
        <v>25</v>
      </c>
      <c r="J33">
        <v>17</v>
      </c>
      <c r="K33">
        <v>17</v>
      </c>
      <c r="L33">
        <v>8</v>
      </c>
      <c r="M33">
        <v>8</v>
      </c>
      <c r="N33" t="s">
        <v>51</v>
      </c>
      <c r="O33">
        <v>19</v>
      </c>
      <c r="P33">
        <v>13</v>
      </c>
      <c r="Q33">
        <v>13</v>
      </c>
      <c r="R33">
        <v>6</v>
      </c>
      <c r="S33">
        <v>6</v>
      </c>
      <c r="T33" t="s">
        <v>52</v>
      </c>
      <c r="U33">
        <v>16</v>
      </c>
      <c r="V33">
        <v>9</v>
      </c>
      <c r="W33">
        <v>9</v>
      </c>
      <c r="X33">
        <v>7</v>
      </c>
      <c r="Y33">
        <v>7</v>
      </c>
      <c r="Z33" t="s">
        <v>53</v>
      </c>
      <c r="AA33">
        <v>15</v>
      </c>
      <c r="AB33">
        <v>8</v>
      </c>
      <c r="AC33">
        <v>8</v>
      </c>
      <c r="AD33">
        <v>7</v>
      </c>
      <c r="AE33">
        <v>7</v>
      </c>
      <c r="AF33" t="s">
        <v>54</v>
      </c>
      <c r="AG33">
        <v>20</v>
      </c>
      <c r="AH33">
        <v>11</v>
      </c>
      <c r="AI33">
        <v>11</v>
      </c>
      <c r="AJ33">
        <v>9</v>
      </c>
      <c r="AK33">
        <v>9</v>
      </c>
      <c r="AL33">
        <v>95</v>
      </c>
      <c r="AM33" t="s">
        <v>55</v>
      </c>
      <c r="AN33">
        <v>5</v>
      </c>
      <c r="AO33">
        <v>5</v>
      </c>
      <c r="AP33" t="s">
        <v>251</v>
      </c>
      <c r="AQ33" t="str">
        <f>HYPERLINK("https://icf.clappia.com/app/GMB253374/submission/ZVE26292877/ICF247370-GMB253374-32222dnbige000000000/SIG-20250630_11345jbfm.jpeg", "SIG-20250630_11345jbfm.jpeg")</f>
        <v>SIG-20250630_11345jbfm.jpeg</v>
      </c>
      <c r="AR33" t="s">
        <v>252</v>
      </c>
      <c r="AS33" t="str">
        <f>HYPERLINK("https://icf.clappia.com/app/GMB253374/submission/ZVE26292877/ICF247370-GMB253374-khfnhlh21fje0000000/SIG-20250630_1139am6e2.jpeg", "SIG-20250630_1139am6e2.jpeg")</f>
        <v>SIG-20250630_1139am6e2.jpeg</v>
      </c>
      <c r="AT33" t="s">
        <v>253</v>
      </c>
      <c r="AU33" t="str">
        <f>HYPERLINK("https://icf.clappia.com/app/GMB253374/submission/ZVE26292877/ICF247370-GMB253374-3kfgl18lj31a00000000/SIG-20250630_113814jko2.jpeg", "SIG-20250630_113814jko2.jpeg")</f>
        <v>SIG-20250630_113814jko2.jpeg</v>
      </c>
      <c r="AV33" t="str">
        <f>HYPERLINK("https://www.google.com/maps/place/8.8402267%2C-12.2548267", "8.8402267,-12.2548267")</f>
        <v>8.8402267,-12.2548267</v>
      </c>
    </row>
    <row r="34">
      <c r="A34" t="s">
        <v>254</v>
      </c>
      <c r="B34" t="s">
        <v>60</v>
      </c>
      <c r="C34" t="s">
        <v>255</v>
      </c>
      <c r="D34" t="s">
        <v>255</v>
      </c>
      <c r="E34" t="s">
        <v>256</v>
      </c>
      <c r="F34" t="s">
        <v>64</v>
      </c>
      <c r="G34">
        <v>124</v>
      </c>
      <c r="H34" t="s">
        <v>50</v>
      </c>
      <c r="I34">
        <v>40</v>
      </c>
      <c r="J34">
        <v>20</v>
      </c>
      <c r="K34">
        <v>17</v>
      </c>
      <c r="L34">
        <v>20</v>
      </c>
      <c r="M34">
        <v>17</v>
      </c>
      <c r="N34" t="s">
        <v>51</v>
      </c>
      <c r="O34">
        <v>22</v>
      </c>
      <c r="P34">
        <v>10</v>
      </c>
      <c r="Q34">
        <v>6</v>
      </c>
      <c r="R34">
        <v>12</v>
      </c>
      <c r="S34">
        <v>12</v>
      </c>
      <c r="T34" t="s">
        <v>52</v>
      </c>
      <c r="U34">
        <v>29</v>
      </c>
      <c r="V34">
        <v>11</v>
      </c>
      <c r="W34">
        <v>9</v>
      </c>
      <c r="X34">
        <v>18</v>
      </c>
      <c r="Y34">
        <v>12</v>
      </c>
      <c r="Z34" t="s">
        <v>53</v>
      </c>
      <c r="AA34">
        <v>16</v>
      </c>
      <c r="AB34">
        <v>5</v>
      </c>
      <c r="AC34">
        <v>4</v>
      </c>
      <c r="AD34">
        <v>11</v>
      </c>
      <c r="AE34">
        <v>10</v>
      </c>
      <c r="AF34" t="s">
        <v>54</v>
      </c>
      <c r="AG34">
        <v>17</v>
      </c>
      <c r="AH34">
        <v>5</v>
      </c>
      <c r="AI34">
        <v>3</v>
      </c>
      <c r="AJ34">
        <v>12</v>
      </c>
      <c r="AK34">
        <v>12</v>
      </c>
      <c r="AL34">
        <v>102</v>
      </c>
      <c r="AM34">
        <v>9</v>
      </c>
      <c r="AN34">
        <v>13</v>
      </c>
      <c r="AO34">
        <v>13</v>
      </c>
      <c r="AP34" t="s">
        <v>257</v>
      </c>
      <c r="AQ34" t="str">
        <f>HYPERLINK("https://icf.clappia.com/app/GMB253374/submission/MPD68460165/ICF247370-GMB253374-1fmcflp7nl98e0000000/SIG-20250630_1133130m3o.jpeg", "SIG-20250630_1133130m3o.jpeg")</f>
        <v>SIG-20250630_1133130m3o.jpeg</v>
      </c>
      <c r="AR34" t="s">
        <v>258</v>
      </c>
      <c r="AS34" t="str">
        <f>HYPERLINK("https://icf.clappia.com/app/GMB253374/submission/MPD68460165/ICF247370-GMB253374-5p8ci164d8a400000000/SIG-20250630_11352k5fn.jpeg", "SIG-20250630_11352k5fn.jpeg")</f>
        <v>SIG-20250630_11352k5fn.jpeg</v>
      </c>
      <c r="AT34" t="s">
        <v>259</v>
      </c>
      <c r="AU34" t="str">
        <f>HYPERLINK("https://icf.clappia.com/app/GMB253374/submission/MPD68460165/ICF247370-GMB253374-21iea85ccf1hg0000000/SIG-20250630_1134l0ke1.jpeg", "SIG-20250630_1134l0ke1.jpeg")</f>
        <v>SIG-20250630_1134l0ke1.jpeg</v>
      </c>
      <c r="AV34" t="str">
        <f>HYPERLINK("https://www.google.com/maps/place/7.9455029%2C-11.6855522", "7.9455029,-11.6855522")</f>
        <v>7.9455029,-11.6855522</v>
      </c>
    </row>
    <row r="35">
      <c r="A35" t="s">
        <v>260</v>
      </c>
      <c r="B35" t="s">
        <v>206</v>
      </c>
      <c r="C35" t="s">
        <v>261</v>
      </c>
      <c r="D35" t="s">
        <v>261</v>
      </c>
      <c r="E35" t="s">
        <v>262</v>
      </c>
      <c r="F35" t="s">
        <v>64</v>
      </c>
      <c r="G35">
        <v>250</v>
      </c>
      <c r="H35" t="s">
        <v>50</v>
      </c>
      <c r="I35">
        <v>69</v>
      </c>
      <c r="J35">
        <v>38</v>
      </c>
      <c r="K35">
        <v>38</v>
      </c>
      <c r="L35">
        <v>31</v>
      </c>
      <c r="M35">
        <v>31</v>
      </c>
      <c r="N35" t="s">
        <v>51</v>
      </c>
      <c r="O35">
        <v>33</v>
      </c>
      <c r="P35">
        <v>19</v>
      </c>
      <c r="Q35">
        <v>19</v>
      </c>
      <c r="R35">
        <v>14</v>
      </c>
      <c r="S35">
        <v>14</v>
      </c>
      <c r="T35" t="s">
        <v>52</v>
      </c>
      <c r="U35">
        <v>52</v>
      </c>
      <c r="V35">
        <v>29</v>
      </c>
      <c r="W35">
        <v>29</v>
      </c>
      <c r="X35">
        <v>23</v>
      </c>
      <c r="Y35">
        <v>23</v>
      </c>
      <c r="Z35" t="s">
        <v>53</v>
      </c>
      <c r="AA35">
        <v>53</v>
      </c>
      <c r="AB35">
        <v>24</v>
      </c>
      <c r="AC35">
        <v>24</v>
      </c>
      <c r="AD35">
        <v>29</v>
      </c>
      <c r="AE35">
        <v>29</v>
      </c>
      <c r="AF35" t="s">
        <v>54</v>
      </c>
      <c r="AG35">
        <v>40</v>
      </c>
      <c r="AH35">
        <v>20</v>
      </c>
      <c r="AI35">
        <v>20</v>
      </c>
      <c r="AJ35">
        <v>20</v>
      </c>
      <c r="AK35">
        <v>20</v>
      </c>
      <c r="AL35">
        <v>247</v>
      </c>
      <c r="AM35">
        <v>1</v>
      </c>
      <c r="AN35">
        <v>2</v>
      </c>
      <c r="AO35">
        <v>2</v>
      </c>
      <c r="AP35" t="s">
        <v>263</v>
      </c>
      <c r="AQ35" t="str">
        <f>HYPERLINK("https://icf.clappia.com/app/GMB253374/submission/REC58566440/ICF247370-GMB253374-cje73k96h97m0000000/SIG-20250630_11239n6h8.jpeg", "SIG-20250630_11239n6h8.jpeg")</f>
        <v>SIG-20250630_11239n6h8.jpeg</v>
      </c>
      <c r="AR35" t="s">
        <v>264</v>
      </c>
      <c r="AS35" t="str">
        <f>HYPERLINK("https://icf.clappia.com/app/GMB253374/submission/REC58566440/ICF247370-GMB253374-1f2oo7fjeih5a0000000/SIG-20250630_11241icbe.jpeg", "SIG-20250630_11241icbe.jpeg")</f>
        <v>SIG-20250630_11241icbe.jpeg</v>
      </c>
      <c r="AT35" t="s">
        <v>265</v>
      </c>
      <c r="AU35" t="str">
        <f>HYPERLINK("https://icf.clappia.com/app/GMB253374/submission/REC58566440/ICF247370-GMB253374-1d0bk34p71od60000000/SIG-20250630_1124pgpjl.jpeg", "SIG-20250630_1124pgpjl.jpeg")</f>
        <v>SIG-20250630_1124pgpjl.jpeg</v>
      </c>
      <c r="AV35" t="str">
        <f>HYPERLINK("https://www.google.com/maps/place/8.7331417%2C-12.07897", "8.7331417,-12.07897")</f>
        <v>8.7331417,-12.07897</v>
      </c>
    </row>
    <row r="36">
      <c r="A36" t="s">
        <v>266</v>
      </c>
      <c r="B36" t="s">
        <v>60</v>
      </c>
      <c r="C36" t="s">
        <v>261</v>
      </c>
      <c r="D36" t="s">
        <v>261</v>
      </c>
      <c r="E36" t="s">
        <v>267</v>
      </c>
      <c r="F36" t="s">
        <v>49</v>
      </c>
      <c r="G36">
        <v>50</v>
      </c>
      <c r="H36" t="s">
        <v>50</v>
      </c>
      <c r="I36">
        <v>8</v>
      </c>
      <c r="J36">
        <v>4</v>
      </c>
      <c r="K36">
        <v>4</v>
      </c>
      <c r="L36">
        <v>4</v>
      </c>
      <c r="M36">
        <v>4</v>
      </c>
      <c r="N36" t="s">
        <v>51</v>
      </c>
      <c r="O36">
        <v>2</v>
      </c>
      <c r="P36">
        <v>2</v>
      </c>
      <c r="Q36">
        <v>2</v>
      </c>
      <c r="R36" t="s">
        <v>55</v>
      </c>
      <c r="S36" t="s">
        <v>55</v>
      </c>
      <c r="T36" t="s">
        <v>52</v>
      </c>
      <c r="U36">
        <v>15</v>
      </c>
      <c r="V36">
        <v>7</v>
      </c>
      <c r="W36">
        <v>7</v>
      </c>
      <c r="X36">
        <v>8</v>
      </c>
      <c r="Y36">
        <v>8</v>
      </c>
      <c r="Z36" t="s">
        <v>53</v>
      </c>
      <c r="AA36">
        <v>10</v>
      </c>
      <c r="AB36">
        <v>5</v>
      </c>
      <c r="AC36">
        <v>5</v>
      </c>
      <c r="AD36">
        <v>5</v>
      </c>
      <c r="AE36">
        <v>5</v>
      </c>
      <c r="AF36" t="s">
        <v>54</v>
      </c>
      <c r="AG36">
        <v>4</v>
      </c>
      <c r="AH36">
        <v>1</v>
      </c>
      <c r="AI36">
        <v>1</v>
      </c>
      <c r="AJ36">
        <v>3</v>
      </c>
      <c r="AK36">
        <v>3</v>
      </c>
      <c r="AL36">
        <v>39</v>
      </c>
      <c r="AM36">
        <v>10</v>
      </c>
      <c r="AN36">
        <v>1</v>
      </c>
      <c r="AO36">
        <v>1</v>
      </c>
      <c r="AP36" t="s">
        <v>268</v>
      </c>
      <c r="AQ36" t="str">
        <f>HYPERLINK("https://icf.clappia.com/app/GMB253374/submission/TOE84451698/ICF247370-GMB253374-5mm567k2d4fa00000000/SIG-20250630_11247fb36.jpeg", "SIG-20250630_11247fb36.jpeg")</f>
        <v>SIG-20250630_11247fb36.jpeg</v>
      </c>
      <c r="AR36" t="s">
        <v>269</v>
      </c>
      <c r="AS36" t="str">
        <f>HYPERLINK("https://icf.clappia.com/app/GMB253374/submission/TOE84451698/ICF247370-GMB253374-149nlkn91cpm00000000/SIG-20250630_11252pa9k.jpeg", "SIG-20250630_11252pa9k.jpeg")</f>
        <v>SIG-20250630_11252pa9k.jpeg</v>
      </c>
      <c r="AT36" t="s">
        <v>270</v>
      </c>
      <c r="AU36" t="str">
        <f>HYPERLINK("https://icf.clappia.com/app/GMB253374/submission/TOE84451698/ICF247370-GMB253374-2i0p72mokoo400000000/SIG-20250630_1126o10o.jpeg", "SIG-20250630_1126o10o.jpeg")</f>
        <v>SIG-20250630_1126o10o.jpeg</v>
      </c>
      <c r="AV36" t="str">
        <f>HYPERLINK("https://www.google.com/maps/place/7.9920217%2C-11.7677883", "7.9920217,-11.7677883")</f>
        <v>7.9920217,-11.7677883</v>
      </c>
    </row>
    <row r="37">
      <c r="A37" t="s">
        <v>271</v>
      </c>
      <c r="B37" t="s">
        <v>159</v>
      </c>
      <c r="C37" t="s">
        <v>272</v>
      </c>
      <c r="D37" t="s">
        <v>272</v>
      </c>
      <c r="E37" t="s">
        <v>273</v>
      </c>
      <c r="F37" t="s">
        <v>49</v>
      </c>
      <c r="G37">
        <v>192</v>
      </c>
      <c r="H37" t="s">
        <v>50</v>
      </c>
      <c r="I37">
        <v>38</v>
      </c>
      <c r="J37">
        <v>20</v>
      </c>
      <c r="K37">
        <v>20</v>
      </c>
      <c r="L37">
        <v>18</v>
      </c>
      <c r="M37">
        <v>18</v>
      </c>
      <c r="N37" t="s">
        <v>51</v>
      </c>
      <c r="O37">
        <v>30</v>
      </c>
      <c r="P37">
        <v>10</v>
      </c>
      <c r="Q37">
        <v>10</v>
      </c>
      <c r="R37">
        <v>20</v>
      </c>
      <c r="S37">
        <v>20</v>
      </c>
      <c r="T37" t="s">
        <v>52</v>
      </c>
      <c r="U37">
        <v>31</v>
      </c>
      <c r="V37">
        <v>11</v>
      </c>
      <c r="W37">
        <v>11</v>
      </c>
      <c r="X37">
        <v>20</v>
      </c>
      <c r="Y37">
        <v>20</v>
      </c>
      <c r="Z37" t="s">
        <v>53</v>
      </c>
      <c r="AA37">
        <v>20</v>
      </c>
      <c r="AB37">
        <v>9</v>
      </c>
      <c r="AC37">
        <v>9</v>
      </c>
      <c r="AD37">
        <v>11</v>
      </c>
      <c r="AE37">
        <v>11</v>
      </c>
      <c r="AF37" t="s">
        <v>54</v>
      </c>
      <c r="AG37">
        <v>30</v>
      </c>
      <c r="AH37">
        <v>15</v>
      </c>
      <c r="AI37">
        <v>15</v>
      </c>
      <c r="AJ37">
        <v>15</v>
      </c>
      <c r="AK37">
        <v>15</v>
      </c>
      <c r="AL37">
        <v>149</v>
      </c>
      <c r="AM37" t="s">
        <v>55</v>
      </c>
      <c r="AN37">
        <v>43</v>
      </c>
      <c r="AO37">
        <v>43</v>
      </c>
      <c r="AP37" t="s">
        <v>274</v>
      </c>
      <c r="AQ37" t="str">
        <f>HYPERLINK("https://icf.clappia.com/app/GMB253374/submission/SBM01803467/ICF247370-GMB253374-2dc85i2fb48a00000000/SIG-20250630_112315e9e9.jpeg", "SIG-20250630_112315e9e9.jpeg")</f>
        <v>SIG-20250630_112315e9e9.jpeg</v>
      </c>
      <c r="AR37" t="s">
        <v>275</v>
      </c>
      <c r="AS37" t="str">
        <f>HYPERLINK("https://icf.clappia.com/app/GMB253374/submission/SBM01803467/ICF247370-GMB253374-3m5bnk9jp6lo00000000/SIG-20250630_11238cj8k.jpeg", "SIG-20250630_11238cj8k.jpeg")</f>
        <v>SIG-20250630_11238cj8k.jpeg</v>
      </c>
      <c r="AT37" t="s">
        <v>276</v>
      </c>
      <c r="AU37" t="str">
        <f>HYPERLINK("https://icf.clappia.com/app/GMB253374/submission/SBM01803467/ICF247370-GMB253374-18j78j5m9fkn20000000/SIG-20250630_1120147ej5.jpeg", "SIG-20250630_1120147ej5.jpeg")</f>
        <v>SIG-20250630_1120147ej5.jpeg</v>
      </c>
      <c r="AV37" t="str">
        <f>HYPERLINK("https://www.google.com/maps/place/7.9516513%2C-11.7650236", "7.9516513,-11.7650236")</f>
        <v>7.9516513,-11.7650236</v>
      </c>
    </row>
    <row r="38">
      <c r="A38" t="s">
        <v>277</v>
      </c>
      <c r="B38" t="s">
        <v>159</v>
      </c>
      <c r="C38" t="s">
        <v>278</v>
      </c>
      <c r="D38" t="s">
        <v>278</v>
      </c>
      <c r="E38" t="s">
        <v>279</v>
      </c>
      <c r="F38" t="s">
        <v>64</v>
      </c>
      <c r="G38">
        <v>100</v>
      </c>
      <c r="H38" t="s">
        <v>50</v>
      </c>
      <c r="I38">
        <v>50</v>
      </c>
      <c r="J38">
        <v>27</v>
      </c>
      <c r="K38">
        <v>27</v>
      </c>
      <c r="L38">
        <v>23</v>
      </c>
      <c r="M38">
        <v>20</v>
      </c>
      <c r="N38" t="s">
        <v>51</v>
      </c>
      <c r="O38">
        <v>9</v>
      </c>
      <c r="P38">
        <v>6</v>
      </c>
      <c r="Q38">
        <v>1</v>
      </c>
      <c r="R38">
        <v>2</v>
      </c>
      <c r="S38">
        <v>2</v>
      </c>
      <c r="T38" t="s">
        <v>52</v>
      </c>
      <c r="U38">
        <v>17</v>
      </c>
      <c r="V38">
        <v>8</v>
      </c>
      <c r="W38">
        <v>8</v>
      </c>
      <c r="X38">
        <v>9</v>
      </c>
      <c r="Y38">
        <v>9</v>
      </c>
      <c r="Z38" t="s">
        <v>53</v>
      </c>
      <c r="AA38">
        <v>8</v>
      </c>
      <c r="AB38">
        <v>5</v>
      </c>
      <c r="AC38">
        <v>5</v>
      </c>
      <c r="AD38">
        <v>3</v>
      </c>
      <c r="AE38">
        <v>3</v>
      </c>
      <c r="AF38" t="s">
        <v>54</v>
      </c>
      <c r="AG38">
        <v>12</v>
      </c>
      <c r="AH38">
        <v>10</v>
      </c>
      <c r="AI38">
        <v>10</v>
      </c>
      <c r="AJ38">
        <v>2</v>
      </c>
      <c r="AK38">
        <v>2</v>
      </c>
      <c r="AL38">
        <v>87</v>
      </c>
      <c r="AM38" t="s">
        <v>55</v>
      </c>
      <c r="AN38">
        <v>13</v>
      </c>
      <c r="AO38">
        <v>13</v>
      </c>
      <c r="AP38" t="s">
        <v>280</v>
      </c>
      <c r="AQ38" t="str">
        <f>HYPERLINK("https://icf.clappia.com/app/GMB253374/submission/OAH65104744/ICF247370-GMB253374-35338m4i68ia0000000/SIG-20250630_1119180n2f.jpeg", "SIG-20250630_1119180n2f.jpeg")</f>
        <v>SIG-20250630_1119180n2f.jpeg</v>
      </c>
      <c r="AR38" t="s">
        <v>281</v>
      </c>
      <c r="AS38" t="str">
        <f>HYPERLINK("https://icf.clappia.com/app/GMB253374/submission/OAH65104744/ICF247370-GMB253374-20baaj9b2b86c0000000/SIG-20250630_112019e578.jpeg", "SIG-20250630_112019e578.jpeg")</f>
        <v>SIG-20250630_112019e578.jpeg</v>
      </c>
      <c r="AT38" t="s">
        <v>282</v>
      </c>
      <c r="AU38" t="str">
        <f>HYPERLINK("https://icf.clappia.com/app/GMB253374/submission/OAH65104744/ICF247370-GMB253374-2hlnbg2pk4ho0000000/SIG-20250630_11211a2khm.jpeg", "SIG-20250630_11211a2khm.jpeg")</f>
        <v>SIG-20250630_11211a2khm.jpeg</v>
      </c>
      <c r="AV38" t="str">
        <f>HYPERLINK("https://www.google.com/maps/place/7.9814404%2C-11.7643115", "7.9814404,-11.7643115")</f>
        <v>7.9814404,-11.7643115</v>
      </c>
    </row>
    <row r="39">
      <c r="A39" t="s">
        <v>283</v>
      </c>
      <c r="B39" t="s">
        <v>46</v>
      </c>
      <c r="C39" t="s">
        <v>284</v>
      </c>
      <c r="D39" t="s">
        <v>284</v>
      </c>
      <c r="E39" t="s">
        <v>285</v>
      </c>
      <c r="F39" t="s">
        <v>64</v>
      </c>
      <c r="G39">
        <v>200</v>
      </c>
      <c r="H39" t="s">
        <v>50</v>
      </c>
      <c r="I39">
        <v>42</v>
      </c>
      <c r="J39">
        <v>17</v>
      </c>
      <c r="K39">
        <v>14</v>
      </c>
      <c r="L39">
        <v>25</v>
      </c>
      <c r="M39">
        <v>24</v>
      </c>
      <c r="N39" t="s">
        <v>51</v>
      </c>
      <c r="O39">
        <v>44</v>
      </c>
      <c r="P39">
        <v>21</v>
      </c>
      <c r="Q39">
        <v>21</v>
      </c>
      <c r="R39">
        <v>23</v>
      </c>
      <c r="S39">
        <v>23</v>
      </c>
      <c r="T39" t="s">
        <v>52</v>
      </c>
      <c r="U39">
        <v>35</v>
      </c>
      <c r="V39">
        <v>21</v>
      </c>
      <c r="W39">
        <v>21</v>
      </c>
      <c r="X39">
        <v>14</v>
      </c>
      <c r="Y39">
        <v>14</v>
      </c>
      <c r="Z39" t="s">
        <v>53</v>
      </c>
      <c r="AA39">
        <v>20</v>
      </c>
      <c r="AB39">
        <v>11</v>
      </c>
      <c r="AC39">
        <v>11</v>
      </c>
      <c r="AD39">
        <v>9</v>
      </c>
      <c r="AE39">
        <v>9</v>
      </c>
      <c r="AF39" t="s">
        <v>54</v>
      </c>
      <c r="AG39">
        <v>24</v>
      </c>
      <c r="AH39">
        <v>11</v>
      </c>
      <c r="AI39">
        <v>11</v>
      </c>
      <c r="AJ39">
        <v>13</v>
      </c>
      <c r="AK39">
        <v>13</v>
      </c>
      <c r="AL39">
        <v>161</v>
      </c>
      <c r="AM39">
        <v>4</v>
      </c>
      <c r="AN39">
        <v>35</v>
      </c>
      <c r="AO39">
        <v>35</v>
      </c>
      <c r="AP39" t="s">
        <v>286</v>
      </c>
      <c r="AQ39" t="str">
        <f>HYPERLINK("https://icf.clappia.com/app/GMB253374/submission/WGB43512096/ICF247370-GMB253374-100b5fhp1m8jo0000000/SIG-20250630_111466nfc.jpeg", "SIG-20250630_111466nfc.jpeg")</f>
        <v>SIG-20250630_111466nfc.jpeg</v>
      </c>
      <c r="AR39" t="s">
        <v>287</v>
      </c>
      <c r="AS39" t="str">
        <f>HYPERLINK("https://icf.clappia.com/app/GMB253374/submission/WGB43512096/ICF247370-GMB253374-1g0d4mdkajaee0000000/SIG-20250630_1115497e6.jpeg", "SIG-20250630_1115497e6.jpeg")</f>
        <v>SIG-20250630_1115497e6.jpeg</v>
      </c>
      <c r="AT39" t="s">
        <v>288</v>
      </c>
      <c r="AU39" t="str">
        <f>HYPERLINK("https://icf.clappia.com/app/GMB253374/submission/WGB43512096/ICF247370-GMB253374-145bhmjob8ikg0000000/SIG-20250630_1116l7m4h.jpeg", "SIG-20250630_1116l7m4h.jpeg")</f>
        <v>SIG-20250630_1116l7m4h.jpeg</v>
      </c>
      <c r="AV39" t="str">
        <f>HYPERLINK("https://www.google.com/maps/place/9.0123133%2C-12.1419217", "9.0123133,-12.1419217")</f>
        <v>9.0123133,-12.1419217</v>
      </c>
    </row>
    <row r="40">
      <c r="A40" t="s">
        <v>289</v>
      </c>
      <c r="B40" t="s">
        <v>153</v>
      </c>
      <c r="C40" t="s">
        <v>290</v>
      </c>
      <c r="D40" t="s">
        <v>290</v>
      </c>
      <c r="E40" t="s">
        <v>291</v>
      </c>
      <c r="F40" t="s">
        <v>64</v>
      </c>
      <c r="G40">
        <v>243</v>
      </c>
      <c r="H40" t="s">
        <v>50</v>
      </c>
      <c r="I40">
        <v>64</v>
      </c>
      <c r="J40">
        <v>32</v>
      </c>
      <c r="K40">
        <v>31</v>
      </c>
      <c r="L40">
        <v>32</v>
      </c>
      <c r="M40">
        <v>27</v>
      </c>
      <c r="N40" t="s">
        <v>51</v>
      </c>
      <c r="O40">
        <v>66</v>
      </c>
      <c r="P40">
        <v>30</v>
      </c>
      <c r="Q40">
        <v>27</v>
      </c>
      <c r="R40">
        <v>36</v>
      </c>
      <c r="S40">
        <v>29</v>
      </c>
      <c r="T40" t="s">
        <v>52</v>
      </c>
      <c r="U40">
        <v>51</v>
      </c>
      <c r="V40">
        <v>26</v>
      </c>
      <c r="W40">
        <v>24</v>
      </c>
      <c r="X40">
        <v>25</v>
      </c>
      <c r="Y40">
        <v>25</v>
      </c>
      <c r="Z40" t="s">
        <v>53</v>
      </c>
      <c r="AA40">
        <v>48</v>
      </c>
      <c r="AB40">
        <v>28</v>
      </c>
      <c r="AC40">
        <v>28</v>
      </c>
      <c r="AD40">
        <v>20</v>
      </c>
      <c r="AE40" t="s">
        <v>55</v>
      </c>
      <c r="AF40" t="s">
        <v>54</v>
      </c>
      <c r="AG40">
        <v>32</v>
      </c>
      <c r="AH40">
        <v>16</v>
      </c>
      <c r="AI40" t="s">
        <v>55</v>
      </c>
      <c r="AJ40">
        <v>16</v>
      </c>
      <c r="AK40" t="s">
        <v>55</v>
      </c>
      <c r="AL40">
        <v>191</v>
      </c>
      <c r="AM40" t="s">
        <v>55</v>
      </c>
      <c r="AN40">
        <v>52</v>
      </c>
      <c r="AO40">
        <v>52</v>
      </c>
      <c r="AP40" t="s">
        <v>292</v>
      </c>
      <c r="AQ40" t="str">
        <f>HYPERLINK("https://icf.clappia.com/app/GMB253374/submission/BVJ42363308/ICF247370-GMB253374-429lnk9gki8800000000/SIG-20250630_111616d6da.jpeg", "SIG-20250630_111616d6da.jpeg")</f>
        <v>SIG-20250630_111616d6da.jpeg</v>
      </c>
      <c r="AR40" t="s">
        <v>293</v>
      </c>
      <c r="AS40" t="str">
        <f>HYPERLINK("https://icf.clappia.com/app/GMB253374/submission/BVJ42363308/ICF247370-GMB253374-303711a1p58000000000/SIG-20250630_1116fob5d.jpeg", "SIG-20250630_1116fob5d.jpeg")</f>
        <v>SIG-20250630_1116fob5d.jpeg</v>
      </c>
      <c r="AT40" t="s">
        <v>294</v>
      </c>
      <c r="AU40" t="str">
        <f>HYPERLINK("https://icf.clappia.com/app/GMB253374/submission/BVJ42363308/ICF247370-GMB253374-5bapk9p2415i00000000/SIG-20250630_111719l5pi.jpeg", "SIG-20250630_111719l5pi.jpeg")</f>
        <v>SIG-20250630_111719l5pi.jpeg</v>
      </c>
      <c r="AV40" t="str">
        <f>HYPERLINK("https://www.google.com/maps/place/8.8821415%2C-12.0941461", "8.8821415,-12.0941461")</f>
        <v>8.8821415,-12.0941461</v>
      </c>
    </row>
    <row r="41">
      <c r="A41" t="s">
        <v>295</v>
      </c>
      <c r="B41" t="s">
        <v>101</v>
      </c>
      <c r="C41" t="s">
        <v>296</v>
      </c>
      <c r="D41" t="s">
        <v>296</v>
      </c>
      <c r="E41" t="s">
        <v>297</v>
      </c>
      <c r="F41" t="s">
        <v>64</v>
      </c>
      <c r="G41">
        <v>172</v>
      </c>
      <c r="H41" t="s">
        <v>50</v>
      </c>
      <c r="I41">
        <v>50</v>
      </c>
      <c r="J41">
        <v>28</v>
      </c>
      <c r="K41">
        <v>27</v>
      </c>
      <c r="L41">
        <v>22</v>
      </c>
      <c r="M41">
        <v>20</v>
      </c>
      <c r="N41" t="s">
        <v>51</v>
      </c>
      <c r="O41">
        <v>40</v>
      </c>
      <c r="P41">
        <v>23</v>
      </c>
      <c r="Q41">
        <v>22</v>
      </c>
      <c r="R41">
        <v>17</v>
      </c>
      <c r="S41">
        <v>15</v>
      </c>
      <c r="T41" t="s">
        <v>52</v>
      </c>
      <c r="U41">
        <v>25</v>
      </c>
      <c r="V41">
        <v>15</v>
      </c>
      <c r="W41">
        <v>10</v>
      </c>
      <c r="X41">
        <v>10</v>
      </c>
      <c r="Y41">
        <v>10</v>
      </c>
      <c r="Z41" t="s">
        <v>53</v>
      </c>
      <c r="AA41">
        <v>40</v>
      </c>
      <c r="AB41">
        <v>26</v>
      </c>
      <c r="AC41">
        <v>24</v>
      </c>
      <c r="AD41">
        <v>14</v>
      </c>
      <c r="AE41">
        <v>13</v>
      </c>
      <c r="AF41" t="s">
        <v>54</v>
      </c>
      <c r="AG41">
        <v>31</v>
      </c>
      <c r="AH41">
        <v>15</v>
      </c>
      <c r="AI41">
        <v>10</v>
      </c>
      <c r="AJ41">
        <v>14</v>
      </c>
      <c r="AK41">
        <v>9</v>
      </c>
      <c r="AL41">
        <v>160</v>
      </c>
      <c r="AM41" t="s">
        <v>55</v>
      </c>
      <c r="AN41">
        <v>12</v>
      </c>
      <c r="AO41" t="s">
        <v>55</v>
      </c>
      <c r="AP41" t="s">
        <v>298</v>
      </c>
      <c r="AQ41" t="str">
        <f>HYPERLINK("https://icf.clappia.com/app/GMB253374/submission/FHW52808642/ICF247370-GMB253374-3p455apf9hcm00000000/SIG-20250630_111297735.jpeg", "SIG-20250630_111297735.jpeg")</f>
        <v>SIG-20250630_111297735.jpeg</v>
      </c>
      <c r="AR41" t="s">
        <v>299</v>
      </c>
      <c r="AS41" t="str">
        <f>HYPERLINK("https://icf.clappia.com/app/GMB253374/submission/FHW52808642/ICF247370-GMB253374-1k6a7aihkon3m0000000/SIG-20250630_11061909po.jpeg", "SIG-20250630_11061909po.jpeg")</f>
        <v>SIG-20250630_11061909po.jpeg</v>
      </c>
      <c r="AT41" t="s">
        <v>300</v>
      </c>
      <c r="AU41" t="str">
        <f>HYPERLINK("https://icf.clappia.com/app/GMB253374/submission/FHW52808642/ICF247370-GMB253374-210c5ndlcdod60000000/SIG-20250630_111351pf6.jpeg", "SIG-20250630_111351pf6.jpeg")</f>
        <v>SIG-20250630_111351pf6.jpeg</v>
      </c>
      <c r="AV41" t="str">
        <f>HYPERLINK("https://www.google.com/maps/place/7.9451638%2C-11.7358374", "7.9451638,-11.7358374")</f>
        <v>7.9451638,-11.7358374</v>
      </c>
    </row>
    <row r="42">
      <c r="A42" t="s">
        <v>301</v>
      </c>
      <c r="B42" t="s">
        <v>46</v>
      </c>
      <c r="C42" t="s">
        <v>302</v>
      </c>
      <c r="D42" t="s">
        <v>303</v>
      </c>
      <c r="E42" t="s">
        <v>304</v>
      </c>
      <c r="F42" t="s">
        <v>64</v>
      </c>
      <c r="G42">
        <v>250</v>
      </c>
      <c r="H42" t="s">
        <v>50</v>
      </c>
      <c r="I42">
        <v>50</v>
      </c>
      <c r="J42">
        <v>30</v>
      </c>
      <c r="K42">
        <v>30</v>
      </c>
      <c r="L42">
        <v>20</v>
      </c>
      <c r="M42">
        <v>15</v>
      </c>
      <c r="N42" t="s">
        <v>51</v>
      </c>
      <c r="O42">
        <v>30</v>
      </c>
      <c r="P42">
        <v>15</v>
      </c>
      <c r="Q42">
        <v>15</v>
      </c>
      <c r="R42">
        <v>15</v>
      </c>
      <c r="S42">
        <v>15</v>
      </c>
      <c r="T42" t="s">
        <v>52</v>
      </c>
      <c r="U42">
        <v>40</v>
      </c>
      <c r="V42">
        <v>25</v>
      </c>
      <c r="W42">
        <v>20</v>
      </c>
      <c r="X42">
        <v>15</v>
      </c>
      <c r="Y42">
        <v>15</v>
      </c>
      <c r="Z42" t="s">
        <v>53</v>
      </c>
      <c r="AA42">
        <v>55</v>
      </c>
      <c r="AB42">
        <v>30</v>
      </c>
      <c r="AC42">
        <v>25</v>
      </c>
      <c r="AD42">
        <v>25</v>
      </c>
      <c r="AE42">
        <v>25</v>
      </c>
      <c r="AF42" t="s">
        <v>54</v>
      </c>
      <c r="AG42">
        <v>75</v>
      </c>
      <c r="AH42">
        <v>25</v>
      </c>
      <c r="AI42">
        <v>25</v>
      </c>
      <c r="AJ42">
        <v>50</v>
      </c>
      <c r="AK42">
        <v>50</v>
      </c>
      <c r="AL42">
        <v>235</v>
      </c>
      <c r="AM42">
        <v>10</v>
      </c>
      <c r="AN42">
        <v>5</v>
      </c>
      <c r="AO42">
        <v>5</v>
      </c>
      <c r="AP42" t="s">
        <v>305</v>
      </c>
      <c r="AQ42" t="str">
        <f>HYPERLINK("https://icf.clappia.com/app/GMB253374/submission/WNH89904360/ICF247370-GMB253374-1fg3ijmc9nifg0000000/SIG-20250626_163444a19.jpeg", "SIG-20250626_163444a19.jpeg")</f>
        <v>SIG-20250626_163444a19.jpeg</v>
      </c>
      <c r="AR42" t="s">
        <v>306</v>
      </c>
      <c r="AS42" t="str">
        <f>HYPERLINK("https://icf.clappia.com/app/GMB253374/submission/WNH89904360/ICF247370-GMB253374-33gohm33eikk00000000/SIG-20250626_16341040fo.jpeg", "SIG-20250626_16341040fo.jpeg")</f>
        <v>SIG-20250626_16341040fo.jpeg</v>
      </c>
      <c r="AT42" t="s">
        <v>307</v>
      </c>
      <c r="AU42" t="str">
        <f>HYPERLINK("https://icf.clappia.com/app/GMB253374/submission/WNH89904360/ICF247370-GMB253374-4eajkfn8pji200000000/SIG-20250626_16358p6gd.jpeg", "SIG-20250626_16358p6gd.jpeg")</f>
        <v>SIG-20250626_16358p6gd.jpeg</v>
      </c>
      <c r="AV42" t="str">
        <f>HYPERLINK("https://www.google.com/maps/place/7.963936%2C-11.744732", "7.963936,-11.744732")</f>
        <v>7.963936,-11.744732</v>
      </c>
    </row>
    <row r="43">
      <c r="A43" t="s">
        <v>308</v>
      </c>
      <c r="B43" t="s">
        <v>159</v>
      </c>
      <c r="C43" t="s">
        <v>309</v>
      </c>
      <c r="D43" t="s">
        <v>309</v>
      </c>
      <c r="E43" t="s">
        <v>310</v>
      </c>
      <c r="F43" t="s">
        <v>64</v>
      </c>
      <c r="G43">
        <v>133</v>
      </c>
      <c r="H43" t="s">
        <v>50</v>
      </c>
      <c r="I43">
        <v>32</v>
      </c>
      <c r="J43">
        <v>15</v>
      </c>
      <c r="K43">
        <v>15</v>
      </c>
      <c r="L43">
        <v>17</v>
      </c>
      <c r="M43">
        <v>17</v>
      </c>
      <c r="N43" t="s">
        <v>51</v>
      </c>
      <c r="O43">
        <v>23</v>
      </c>
      <c r="P43">
        <v>14</v>
      </c>
      <c r="Q43">
        <v>14</v>
      </c>
      <c r="R43">
        <v>9</v>
      </c>
      <c r="S43">
        <v>9</v>
      </c>
      <c r="T43" t="s">
        <v>52</v>
      </c>
      <c r="U43">
        <v>37</v>
      </c>
      <c r="V43">
        <v>16</v>
      </c>
      <c r="W43">
        <v>16</v>
      </c>
      <c r="X43">
        <v>21</v>
      </c>
      <c r="Y43">
        <v>21</v>
      </c>
      <c r="Z43" t="s">
        <v>53</v>
      </c>
      <c r="AA43">
        <v>15</v>
      </c>
      <c r="AB43">
        <v>8</v>
      </c>
      <c r="AC43">
        <v>8</v>
      </c>
      <c r="AD43">
        <v>7</v>
      </c>
      <c r="AE43">
        <v>7</v>
      </c>
      <c r="AF43" t="s">
        <v>54</v>
      </c>
      <c r="AG43">
        <v>16</v>
      </c>
      <c r="AH43">
        <v>10</v>
      </c>
      <c r="AI43">
        <v>10</v>
      </c>
      <c r="AJ43">
        <v>6</v>
      </c>
      <c r="AK43">
        <v>6</v>
      </c>
      <c r="AL43">
        <v>123</v>
      </c>
      <c r="AM43">
        <v>10</v>
      </c>
      <c r="AN43" t="s">
        <v>55</v>
      </c>
      <c r="AO43" t="s">
        <v>55</v>
      </c>
      <c r="AP43" t="s">
        <v>311</v>
      </c>
      <c r="AQ43" t="str">
        <f>HYPERLINK("https://icf.clappia.com/app/GMB253374/submission/ZSM06245428/ICF247370-GMB253374-bc0e1nn95b520000000/SIG-20250630_1052162nj2.jpeg", "SIG-20250630_1052162nj2.jpeg")</f>
        <v>SIG-20250630_1052162nj2.jpeg</v>
      </c>
      <c r="AR43" t="s">
        <v>312</v>
      </c>
      <c r="AS43" t="str">
        <f>HYPERLINK("https://icf.clappia.com/app/GMB253374/submission/ZSM06245428/ICF247370-GMB253374-3fae0jcpcllo00000000/SIG-20250630_105317cgl0.jpeg", "SIG-20250630_105317cgl0.jpeg")</f>
        <v>SIG-20250630_105317cgl0.jpeg</v>
      </c>
      <c r="AT43" t="s">
        <v>313</v>
      </c>
      <c r="AU43" t="str">
        <f>HYPERLINK("https://icf.clappia.com/app/GMB253374/submission/ZSM06245428/ICF247370-GMB253374-219pmdnn7fja80000000/SIG-20250630_10534ddna.jpeg", "SIG-20250630_10534ddna.jpeg")</f>
        <v>SIG-20250630_10534ddna.jpeg</v>
      </c>
      <c r="AV43" t="str">
        <f>HYPERLINK("https://www.google.com/maps/place/7.9429817%2C-11.7893984", "7.9429817,-11.7893984")</f>
        <v>7.9429817,-11.7893984</v>
      </c>
    </row>
    <row r="44">
      <c r="A44" t="s">
        <v>314</v>
      </c>
      <c r="B44" t="s">
        <v>46</v>
      </c>
      <c r="C44" t="s">
        <v>315</v>
      </c>
      <c r="D44" t="s">
        <v>315</v>
      </c>
      <c r="E44" t="s">
        <v>316</v>
      </c>
      <c r="F44" t="s">
        <v>64</v>
      </c>
      <c r="G44">
        <v>77</v>
      </c>
      <c r="H44" t="s">
        <v>50</v>
      </c>
      <c r="I44">
        <v>41</v>
      </c>
      <c r="J44">
        <v>25</v>
      </c>
      <c r="K44">
        <v>25</v>
      </c>
      <c r="L44">
        <v>16</v>
      </c>
      <c r="M44">
        <v>16</v>
      </c>
      <c r="N44" t="s">
        <v>51</v>
      </c>
      <c r="O44">
        <v>11</v>
      </c>
      <c r="P44">
        <v>5</v>
      </c>
      <c r="Q44">
        <v>5</v>
      </c>
      <c r="R44">
        <v>6</v>
      </c>
      <c r="S44">
        <v>6</v>
      </c>
      <c r="T44" t="s">
        <v>52</v>
      </c>
      <c r="U44">
        <v>9</v>
      </c>
      <c r="V44">
        <v>5</v>
      </c>
      <c r="W44">
        <v>5</v>
      </c>
      <c r="X44">
        <v>4</v>
      </c>
      <c r="Y44">
        <v>4</v>
      </c>
      <c r="Z44" t="s">
        <v>53</v>
      </c>
      <c r="AA44">
        <v>9</v>
      </c>
      <c r="AB44">
        <v>5</v>
      </c>
      <c r="AC44">
        <v>5</v>
      </c>
      <c r="AD44">
        <v>4</v>
      </c>
      <c r="AE44">
        <v>4</v>
      </c>
      <c r="AF44" t="s">
        <v>54</v>
      </c>
      <c r="AG44">
        <v>7</v>
      </c>
      <c r="AH44">
        <v>5</v>
      </c>
      <c r="AI44">
        <v>5</v>
      </c>
      <c r="AJ44">
        <v>2</v>
      </c>
      <c r="AK44">
        <v>2</v>
      </c>
      <c r="AL44">
        <v>77</v>
      </c>
      <c r="AM44" t="s">
        <v>55</v>
      </c>
      <c r="AN44" t="s">
        <v>55</v>
      </c>
      <c r="AO44" t="s">
        <v>55</v>
      </c>
      <c r="AP44" t="s">
        <v>317</v>
      </c>
      <c r="AQ44" t="str">
        <f>HYPERLINK("https://icf.clappia.com/app/GMB253374/submission/YZO70208952/ICF247370-GMB253374-71no0eh05kkm0000000/SIG-20250630_1031144cg3.jpeg", "SIG-20250630_1031144cg3.jpeg")</f>
        <v>SIG-20250630_1031144cg3.jpeg</v>
      </c>
      <c r="AR44" t="s">
        <v>318</v>
      </c>
      <c r="AS44" t="str">
        <f>HYPERLINK("https://icf.clappia.com/app/GMB253374/submission/YZO70208952/ICF247370-GMB253374-2334enbpp527g0000000/SIG-20250630_103119269e.jpeg", "SIG-20250630_103119269e.jpeg")</f>
        <v>SIG-20250630_103119269e.jpeg</v>
      </c>
      <c r="AT44" t="s">
        <v>319</v>
      </c>
      <c r="AU44" t="str">
        <f>HYPERLINK("https://icf.clappia.com/app/GMB253374/submission/YZO70208952/ICF247370-GMB253374-4ko37jp4hoai00000000/SIG-20250630_1033157bep.jpeg", "SIG-20250630_1033157bep.jpeg")</f>
        <v>SIG-20250630_1033157bep.jpeg</v>
      </c>
      <c r="AV44" t="str">
        <f>HYPERLINK("https://www.google.com/maps/place/8.1078624%2C-11.5484291", "8.1078624,-11.5484291")</f>
        <v>8.1078624,-11.5484291</v>
      </c>
    </row>
    <row r="45">
      <c r="A45" t="s">
        <v>320</v>
      </c>
      <c r="B45" t="s">
        <v>101</v>
      </c>
      <c r="C45" t="s">
        <v>321</v>
      </c>
      <c r="D45" t="s">
        <v>322</v>
      </c>
      <c r="E45" t="s">
        <v>323</v>
      </c>
      <c r="F45" t="s">
        <v>64</v>
      </c>
      <c r="G45">
        <v>50</v>
      </c>
      <c r="H45" t="s">
        <v>50</v>
      </c>
      <c r="I45">
        <v>47</v>
      </c>
      <c r="J45">
        <v>3</v>
      </c>
      <c r="K45">
        <v>3</v>
      </c>
      <c r="L45">
        <v>3</v>
      </c>
      <c r="M45">
        <v>3</v>
      </c>
      <c r="N45" t="s">
        <v>51</v>
      </c>
      <c r="O45">
        <v>77</v>
      </c>
      <c r="P45">
        <v>2</v>
      </c>
      <c r="Q45">
        <v>2</v>
      </c>
      <c r="R45">
        <v>3</v>
      </c>
      <c r="S45">
        <v>3</v>
      </c>
      <c r="T45" t="s">
        <v>52</v>
      </c>
      <c r="U45">
        <v>61</v>
      </c>
      <c r="V45">
        <v>3</v>
      </c>
      <c r="W45">
        <v>3</v>
      </c>
      <c r="X45">
        <v>2</v>
      </c>
      <c r="Y45">
        <v>2</v>
      </c>
      <c r="Z45" t="s">
        <v>53</v>
      </c>
      <c r="AA45">
        <v>60</v>
      </c>
      <c r="AB45">
        <v>1</v>
      </c>
      <c r="AC45">
        <v>1</v>
      </c>
      <c r="AD45">
        <v>2</v>
      </c>
      <c r="AE45">
        <v>2</v>
      </c>
      <c r="AF45" t="s">
        <v>54</v>
      </c>
      <c r="AG45">
        <v>41</v>
      </c>
      <c r="AH45">
        <v>1</v>
      </c>
      <c r="AI45">
        <v>1</v>
      </c>
      <c r="AJ45">
        <v>3</v>
      </c>
      <c r="AK45">
        <v>3</v>
      </c>
      <c r="AL45">
        <v>23</v>
      </c>
      <c r="AM45" t="s">
        <v>55</v>
      </c>
      <c r="AN45">
        <v>27</v>
      </c>
      <c r="AO45">
        <v>27</v>
      </c>
      <c r="AP45" t="s">
        <v>324</v>
      </c>
      <c r="AQ45" t="str">
        <f>HYPERLINK("https://icf.clappia.com/app/GMB253374/submission/QMK55470160/ICF247370-GMB253374-1gdhfph8m8gng0000000/SIG-20250630_09591a7d13.jpeg", "SIG-20250630_09591a7d13.jpeg")</f>
        <v>SIG-20250630_09591a7d13.jpeg</v>
      </c>
      <c r="AR45" t="s">
        <v>325</v>
      </c>
      <c r="AS45" t="str">
        <f>HYPERLINK("https://icf.clappia.com/app/GMB253374/submission/QMK55470160/ICF247370-GMB253374-1ba3k6h0glomc0000000/SIG-20250630_100181i42.jpeg", "SIG-20250630_100181i42.jpeg")</f>
        <v>SIG-20250630_100181i42.jpeg</v>
      </c>
      <c r="AT45" t="s">
        <v>326</v>
      </c>
      <c r="AU45" t="str">
        <f>HYPERLINK("https://icf.clappia.com/app/GMB253374/submission/QMK55470160/ICF247370-GMB253374-4mknhdp0ff9200000000/SIG-20250630_1003b6756.jpeg", "SIG-20250630_1003b6756.jpeg")</f>
        <v>SIG-20250630_1003b6756.jpeg</v>
      </c>
      <c r="AV45" t="str">
        <f>HYPERLINK("https://www.google.com/maps/place/7.974125%2C-11.714915", "7.974125,-11.714915")</f>
        <v>7.974125,-11.714915</v>
      </c>
    </row>
    <row r="46">
      <c r="A46" t="s">
        <v>327</v>
      </c>
      <c r="B46" t="s">
        <v>82</v>
      </c>
      <c r="C46" t="s">
        <v>328</v>
      </c>
      <c r="D46" t="s">
        <v>329</v>
      </c>
      <c r="E46" t="s">
        <v>330</v>
      </c>
      <c r="F46" t="s">
        <v>64</v>
      </c>
      <c r="G46">
        <v>223</v>
      </c>
      <c r="H46" t="s">
        <v>50</v>
      </c>
      <c r="I46">
        <v>80</v>
      </c>
      <c r="J46">
        <v>37</v>
      </c>
      <c r="K46">
        <v>36</v>
      </c>
      <c r="L46">
        <v>43</v>
      </c>
      <c r="M46">
        <v>43</v>
      </c>
      <c r="N46" t="s">
        <v>51</v>
      </c>
      <c r="O46">
        <v>36</v>
      </c>
      <c r="P46">
        <v>16</v>
      </c>
      <c r="Q46">
        <v>16</v>
      </c>
      <c r="R46">
        <v>20</v>
      </c>
      <c r="S46">
        <v>19</v>
      </c>
      <c r="T46" t="s">
        <v>52</v>
      </c>
      <c r="U46">
        <v>41</v>
      </c>
      <c r="V46">
        <v>14</v>
      </c>
      <c r="W46">
        <v>14</v>
      </c>
      <c r="X46">
        <v>27</v>
      </c>
      <c r="Y46">
        <v>26</v>
      </c>
      <c r="Z46" t="s">
        <v>53</v>
      </c>
      <c r="AA46">
        <v>40</v>
      </c>
      <c r="AB46">
        <v>18</v>
      </c>
      <c r="AC46">
        <v>17</v>
      </c>
      <c r="AD46">
        <v>22</v>
      </c>
      <c r="AE46">
        <v>22</v>
      </c>
      <c r="AF46" t="s">
        <v>54</v>
      </c>
      <c r="AG46">
        <v>26</v>
      </c>
      <c r="AH46">
        <v>15</v>
      </c>
      <c r="AI46">
        <v>14</v>
      </c>
      <c r="AJ46">
        <v>10</v>
      </c>
      <c r="AK46">
        <v>10</v>
      </c>
      <c r="AL46">
        <v>217</v>
      </c>
      <c r="AM46">
        <v>6</v>
      </c>
      <c r="AN46" t="s">
        <v>55</v>
      </c>
      <c r="AO46" t="s">
        <v>55</v>
      </c>
      <c r="AP46" t="s">
        <v>331</v>
      </c>
      <c r="AQ46" t="str">
        <f>HYPERLINK("https://icf.clappia.com/app/GMB253374/submission/BVK64399603/ICF247370-GMB253374-m3i8cehodbpi0000000/SIG-20250630_10214fe7j.jpeg", "SIG-20250630_10214fe7j.jpeg")</f>
        <v>SIG-20250630_10214fe7j.jpeg</v>
      </c>
      <c r="AR46" t="s">
        <v>332</v>
      </c>
      <c r="AS46" t="str">
        <f>HYPERLINK("https://icf.clappia.com/app/GMB253374/submission/BVK64399603/ICF247370-GMB253374-54ohg9i8dmm000000000/SIG-20250630_1023n6ncj.jpeg", "SIG-20250630_1023n6ncj.jpeg")</f>
        <v>SIG-20250630_1023n6ncj.jpeg</v>
      </c>
      <c r="AT46" t="s">
        <v>333</v>
      </c>
      <c r="AU46" t="str">
        <f>HYPERLINK("https://icf.clappia.com/app/GMB253374/submission/BVK64399603/ICF247370-GMB253374-5abm1ffjk8ce00000000/SIG-20250630_1024p4dkm.jpeg", "SIG-20250630_1024p4dkm.jpeg")</f>
        <v>SIG-20250630_1024p4dkm.jpeg</v>
      </c>
      <c r="AV46" t="str">
        <f>HYPERLINK("https://www.google.com/maps/place/7.88549%2C-11.4601783", "7.88549,-11.4601783")</f>
        <v>7.88549,-11.4601783</v>
      </c>
    </row>
    <row r="47">
      <c r="A47" t="s">
        <v>334</v>
      </c>
      <c r="B47" t="s">
        <v>82</v>
      </c>
      <c r="C47" t="s">
        <v>335</v>
      </c>
      <c r="D47" t="s">
        <v>335</v>
      </c>
      <c r="E47" t="s">
        <v>336</v>
      </c>
      <c r="F47" t="s">
        <v>64</v>
      </c>
      <c r="G47">
        <v>300</v>
      </c>
      <c r="H47" t="s">
        <v>50</v>
      </c>
      <c r="I47">
        <v>80</v>
      </c>
      <c r="J47">
        <v>39</v>
      </c>
      <c r="K47">
        <v>39</v>
      </c>
      <c r="L47">
        <v>41</v>
      </c>
      <c r="M47">
        <v>40</v>
      </c>
      <c r="N47" t="s">
        <v>51</v>
      </c>
      <c r="O47">
        <v>70</v>
      </c>
      <c r="P47">
        <v>40</v>
      </c>
      <c r="Q47">
        <v>40</v>
      </c>
      <c r="R47">
        <v>30</v>
      </c>
      <c r="S47">
        <v>30</v>
      </c>
      <c r="T47" t="s">
        <v>52</v>
      </c>
      <c r="U47">
        <v>54</v>
      </c>
      <c r="V47">
        <v>20</v>
      </c>
      <c r="W47">
        <v>20</v>
      </c>
      <c r="X47">
        <v>34</v>
      </c>
      <c r="Y47">
        <v>34</v>
      </c>
      <c r="Z47" t="s">
        <v>53</v>
      </c>
      <c r="AA47">
        <v>38</v>
      </c>
      <c r="AB47">
        <v>34</v>
      </c>
      <c r="AC47">
        <v>32</v>
      </c>
      <c r="AD47">
        <v>4</v>
      </c>
      <c r="AE47">
        <v>4</v>
      </c>
      <c r="AF47" t="s">
        <v>54</v>
      </c>
      <c r="AG47">
        <v>12</v>
      </c>
      <c r="AH47">
        <v>6</v>
      </c>
      <c r="AI47">
        <v>6</v>
      </c>
      <c r="AJ47">
        <v>6</v>
      </c>
      <c r="AK47">
        <v>6</v>
      </c>
      <c r="AL47">
        <v>251</v>
      </c>
      <c r="AM47">
        <v>3</v>
      </c>
      <c r="AN47">
        <v>46</v>
      </c>
      <c r="AO47">
        <v>46</v>
      </c>
      <c r="AP47" t="s">
        <v>337</v>
      </c>
      <c r="AQ47" t="str">
        <f>HYPERLINK("https://icf.clappia.com/app/GMB253374/submission/BWF12528097/ICF247370-GMB253374-118jggholce1e0000000/SIG-20250630_1013i0l99.jpeg", "SIG-20250630_1013i0l99.jpeg")</f>
        <v>SIG-20250630_1013i0l99.jpeg</v>
      </c>
      <c r="AR47" t="s">
        <v>338</v>
      </c>
      <c r="AS47" t="str">
        <f>HYPERLINK("https://icf.clappia.com/app/GMB253374/submission/BWF12528097/ICF247370-GMB253374-2288ko6an8ln60000000/SIG-20250630_10149b0ge.jpeg", "SIG-20250630_10149b0ge.jpeg")</f>
        <v>SIG-20250630_10149b0ge.jpeg</v>
      </c>
      <c r="AT47" t="s">
        <v>339</v>
      </c>
      <c r="AU47" t="str">
        <f>HYPERLINK("https://icf.clappia.com/app/GMB253374/submission/BWF12528097/ICF247370-GMB253374-29iffc5h37d1a0000000/SIG-20250630_10141815fn.jpeg", "SIG-20250630_10141815fn.jpeg")</f>
        <v>SIG-20250630_10141815fn.jpeg</v>
      </c>
      <c r="AV47" t="str">
        <f>HYPERLINK("https://www.google.com/maps/place/7.8573317%2C-11.54769", "7.8573317,-11.54769")</f>
        <v>7.8573317,-11.54769</v>
      </c>
    </row>
    <row r="48">
      <c r="A48" t="s">
        <v>340</v>
      </c>
      <c r="B48" t="s">
        <v>46</v>
      </c>
      <c r="C48" t="s">
        <v>341</v>
      </c>
      <c r="D48" t="s">
        <v>342</v>
      </c>
      <c r="E48" t="s">
        <v>343</v>
      </c>
      <c r="F48" t="s">
        <v>64</v>
      </c>
      <c r="G48">
        <v>329</v>
      </c>
      <c r="H48" t="s">
        <v>50</v>
      </c>
      <c r="I48">
        <v>40</v>
      </c>
      <c r="J48">
        <v>20</v>
      </c>
      <c r="K48">
        <v>20</v>
      </c>
      <c r="L48">
        <v>20</v>
      </c>
      <c r="M48">
        <v>20</v>
      </c>
      <c r="N48" t="s">
        <v>51</v>
      </c>
      <c r="O48">
        <v>50</v>
      </c>
      <c r="P48">
        <v>30</v>
      </c>
      <c r="Q48">
        <v>30</v>
      </c>
      <c r="R48">
        <v>20</v>
      </c>
      <c r="S48">
        <v>20</v>
      </c>
      <c r="T48" t="s">
        <v>52</v>
      </c>
      <c r="U48">
        <v>60</v>
      </c>
      <c r="V48">
        <v>40</v>
      </c>
      <c r="W48">
        <v>40</v>
      </c>
      <c r="X48">
        <v>20</v>
      </c>
      <c r="Y48">
        <v>20</v>
      </c>
      <c r="Z48" t="s">
        <v>53</v>
      </c>
      <c r="AA48">
        <v>100</v>
      </c>
      <c r="AB48">
        <v>30</v>
      </c>
      <c r="AC48">
        <v>30</v>
      </c>
      <c r="AD48">
        <v>70</v>
      </c>
      <c r="AE48">
        <v>70</v>
      </c>
      <c r="AF48" t="s">
        <v>54</v>
      </c>
      <c r="AG48">
        <v>79</v>
      </c>
      <c r="AH48">
        <v>50</v>
      </c>
      <c r="AI48">
        <v>50</v>
      </c>
      <c r="AJ48">
        <v>29</v>
      </c>
      <c r="AK48">
        <v>29</v>
      </c>
      <c r="AL48">
        <v>329</v>
      </c>
      <c r="AM48">
        <v>10</v>
      </c>
      <c r="AN48">
        <v>-10</v>
      </c>
      <c r="AO48">
        <v>-10</v>
      </c>
      <c r="AP48" t="s">
        <v>344</v>
      </c>
      <c r="AQ48" t="str">
        <f>HYPERLINK("https://icf.clappia.com/app/GMB253374/submission/OSP37744528/ICF247370-GMB253374-5ejjb6f8e8j600000000/SIG-20250626_15461568gc.jpeg", "SIG-20250626_15461568gc.jpeg")</f>
        <v>SIG-20250626_15461568gc.jpeg</v>
      </c>
      <c r="AR48" t="s">
        <v>345</v>
      </c>
      <c r="AS48" t="str">
        <f>HYPERLINK("https://icf.clappia.com/app/GMB253374/submission/OSP37744528/ICF247370-GMB253374-5e40pj11k1m600000000/SIG-20250626_181316fejp.jpeg", "SIG-20250626_181316fejp.jpeg")</f>
        <v>SIG-20250626_181316fejp.jpeg</v>
      </c>
      <c r="AT48" t="s">
        <v>346</v>
      </c>
      <c r="AU48" t="str">
        <f>HYPERLINK("https://icf.clappia.com/app/GMB253374/submission/OSP37744528/ICF247370-GMB253374-5917n3ff87a400000000/SIG-20250626_18131ln5g.jpeg", "SIG-20250626_18131ln5g.jpeg")</f>
        <v>SIG-20250626_18131ln5g.jpeg</v>
      </c>
      <c r="AV48" t="str">
        <f>HYPERLINK("https://www.google.com/maps/place/7.8852186%2C-11.7856751", "7.8852186,-11.7856751")</f>
        <v>7.8852186,-11.7856751</v>
      </c>
    </row>
    <row r="49">
      <c r="A49" t="s">
        <v>347</v>
      </c>
      <c r="B49" t="s">
        <v>46</v>
      </c>
      <c r="C49" t="s">
        <v>348</v>
      </c>
      <c r="D49" t="s">
        <v>349</v>
      </c>
      <c r="E49" t="s">
        <v>350</v>
      </c>
      <c r="F49" t="s">
        <v>64</v>
      </c>
      <c r="G49">
        <v>350</v>
      </c>
      <c r="H49" t="s">
        <v>50</v>
      </c>
      <c r="I49">
        <v>48</v>
      </c>
      <c r="J49">
        <v>28</v>
      </c>
      <c r="K49">
        <v>28</v>
      </c>
      <c r="L49">
        <v>20</v>
      </c>
      <c r="M49">
        <v>20</v>
      </c>
      <c r="N49" t="s">
        <v>51</v>
      </c>
      <c r="O49">
        <v>82</v>
      </c>
      <c r="P49">
        <v>12</v>
      </c>
      <c r="Q49">
        <v>12</v>
      </c>
      <c r="R49">
        <v>70</v>
      </c>
      <c r="S49">
        <v>70</v>
      </c>
      <c r="T49" t="s">
        <v>52</v>
      </c>
      <c r="U49">
        <v>66</v>
      </c>
      <c r="V49">
        <v>26</v>
      </c>
      <c r="W49">
        <v>26</v>
      </c>
      <c r="X49">
        <v>40</v>
      </c>
      <c r="Y49">
        <v>40</v>
      </c>
      <c r="Z49" t="s">
        <v>53</v>
      </c>
      <c r="AA49">
        <v>81</v>
      </c>
      <c r="AB49">
        <v>41</v>
      </c>
      <c r="AC49">
        <v>41</v>
      </c>
      <c r="AD49">
        <v>40</v>
      </c>
      <c r="AE49">
        <v>39</v>
      </c>
      <c r="AF49" t="s">
        <v>54</v>
      </c>
      <c r="AG49">
        <v>55</v>
      </c>
      <c r="AH49">
        <v>25</v>
      </c>
      <c r="AI49">
        <v>24</v>
      </c>
      <c r="AJ49">
        <v>30</v>
      </c>
      <c r="AK49">
        <v>30</v>
      </c>
      <c r="AL49">
        <v>330</v>
      </c>
      <c r="AM49">
        <v>2</v>
      </c>
      <c r="AN49">
        <v>18</v>
      </c>
      <c r="AO49">
        <v>18</v>
      </c>
      <c r="AP49" t="s">
        <v>351</v>
      </c>
      <c r="AQ49" t="str">
        <f>HYPERLINK("https://icf.clappia.com/app/GMB253374/submission/RCA53649040/ICF247370-GMB253374-25b3lbmhbep280000000/SIG-20250626_1640ehdn4.jpeg", "SIG-20250626_1640ehdn4.jpeg")</f>
        <v>SIG-20250626_1640ehdn4.jpeg</v>
      </c>
      <c r="AR49" t="s">
        <v>352</v>
      </c>
      <c r="AS49" t="str">
        <f>HYPERLINK("https://icf.clappia.com/app/GMB253374/submission/RCA53649040/ICF247370-GMB253374-65c763ophmgk00000000/SIG-20250626_164017ffj4.jpeg", "SIG-20250626_164017ffj4.jpeg")</f>
        <v>SIG-20250626_164017ffj4.jpeg</v>
      </c>
      <c r="AT49" t="s">
        <v>353</v>
      </c>
      <c r="AU49" t="str">
        <f>HYPERLINK("https://icf.clappia.com/app/GMB253374/submission/RCA53649040/ICF247370-GMB253374-1n77lao736jpa0000000/SIG-20250626_1640ekc2g.jpeg", "SIG-20250626_1640ekc2g.jpeg")</f>
        <v>SIG-20250626_1640ekc2g.jpeg</v>
      </c>
      <c r="AV49" t="str">
        <f>HYPERLINK("https://www.google.com/maps/place/8.8720702%2C-12.0502285", "8.8720702,-12.0502285")</f>
        <v>8.8720702,-12.0502285</v>
      </c>
    </row>
    <row r="50">
      <c r="A50" t="s">
        <v>354</v>
      </c>
      <c r="B50" t="s">
        <v>46</v>
      </c>
      <c r="C50" t="s">
        <v>355</v>
      </c>
      <c r="D50" t="s">
        <v>356</v>
      </c>
      <c r="E50" t="s">
        <v>357</v>
      </c>
      <c r="F50" t="s">
        <v>64</v>
      </c>
      <c r="G50">
        <v>100</v>
      </c>
      <c r="H50" t="s">
        <v>50</v>
      </c>
      <c r="I50">
        <v>20</v>
      </c>
      <c r="J50">
        <v>10</v>
      </c>
      <c r="K50">
        <v>10</v>
      </c>
      <c r="L50">
        <v>10</v>
      </c>
      <c r="M50">
        <v>10</v>
      </c>
      <c r="N50" t="s">
        <v>51</v>
      </c>
      <c r="O50">
        <v>20</v>
      </c>
      <c r="P50">
        <v>8</v>
      </c>
      <c r="Q50">
        <v>8</v>
      </c>
      <c r="R50">
        <v>12</v>
      </c>
      <c r="S50">
        <v>12</v>
      </c>
      <c r="T50" t="s">
        <v>52</v>
      </c>
      <c r="U50">
        <v>20</v>
      </c>
      <c r="V50">
        <v>11</v>
      </c>
      <c r="W50">
        <v>11</v>
      </c>
      <c r="X50">
        <v>9</v>
      </c>
      <c r="Y50">
        <v>9</v>
      </c>
      <c r="Z50" t="s">
        <v>53</v>
      </c>
      <c r="AA50">
        <v>20</v>
      </c>
      <c r="AB50">
        <v>7</v>
      </c>
      <c r="AC50">
        <v>7</v>
      </c>
      <c r="AD50">
        <v>13</v>
      </c>
      <c r="AE50">
        <v>13</v>
      </c>
      <c r="AF50" t="s">
        <v>54</v>
      </c>
      <c r="AG50">
        <v>20</v>
      </c>
      <c r="AH50">
        <v>15</v>
      </c>
      <c r="AI50">
        <v>15</v>
      </c>
      <c r="AJ50">
        <v>5</v>
      </c>
      <c r="AK50">
        <v>5</v>
      </c>
      <c r="AL50">
        <v>100</v>
      </c>
      <c r="AM50" t="s">
        <v>55</v>
      </c>
      <c r="AN50" t="s">
        <v>55</v>
      </c>
      <c r="AO50" t="s">
        <v>55</v>
      </c>
      <c r="AP50" t="s">
        <v>358</v>
      </c>
      <c r="AQ50" t="str">
        <f>HYPERLINK("https://icf.clappia.com/app/GMB253374/submission/DPO26002393/ICF247370-GMB253374-4hnpa8ehha300000000/SIG-20250626_161627bhl.jpeg", "SIG-20250626_161627bhl.jpeg")</f>
        <v>SIG-20250626_161627bhl.jpeg</v>
      </c>
      <c r="AR50" t="s">
        <v>353</v>
      </c>
      <c r="AS50" t="str">
        <f>HYPERLINK("https://icf.clappia.com/app/GMB253374/submission/DPO26002393/ICF247370-GMB253374-45o2f40136mi00000000/SIG-20250626_16176fp8i.jpeg", "SIG-20250626_16176fp8i.jpeg")</f>
        <v>SIG-20250626_16176fp8i.jpeg</v>
      </c>
      <c r="AT50" t="s">
        <v>359</v>
      </c>
      <c r="AU50" t="str">
        <f>HYPERLINK("https://icf.clappia.com/app/GMB253374/submission/DPO26002393/ICF247370-GMB253374-2o4pji6j1if600000000/SIG-20250626_161734ijo.jpeg", "SIG-20250626_161734ijo.jpeg")</f>
        <v>SIG-20250626_161734ijo.jpeg</v>
      </c>
      <c r="AV50" t="str">
        <f>HYPERLINK("https://www.google.com/maps/place/8.8655467%2C-12.0499333", "8.8655467,-12.0499333")</f>
        <v>8.8655467,-12.0499333</v>
      </c>
    </row>
    <row r="51">
      <c r="A51" t="s">
        <v>360</v>
      </c>
      <c r="B51" t="s">
        <v>46</v>
      </c>
      <c r="C51" t="s">
        <v>361</v>
      </c>
      <c r="D51" t="s">
        <v>362</v>
      </c>
      <c r="E51" t="s">
        <v>363</v>
      </c>
      <c r="F51" t="s">
        <v>64</v>
      </c>
      <c r="G51">
        <v>217</v>
      </c>
      <c r="H51" t="s">
        <v>50</v>
      </c>
      <c r="I51">
        <v>60</v>
      </c>
      <c r="J51">
        <v>30</v>
      </c>
      <c r="K51">
        <v>30</v>
      </c>
      <c r="L51">
        <v>30</v>
      </c>
      <c r="M51">
        <v>30</v>
      </c>
      <c r="N51" t="s">
        <v>51</v>
      </c>
      <c r="O51">
        <v>57</v>
      </c>
      <c r="P51">
        <v>27</v>
      </c>
      <c r="Q51">
        <v>27</v>
      </c>
      <c r="R51">
        <v>30</v>
      </c>
      <c r="S51">
        <v>30</v>
      </c>
      <c r="T51" t="s">
        <v>52</v>
      </c>
      <c r="U51">
        <v>50</v>
      </c>
      <c r="V51">
        <v>25</v>
      </c>
      <c r="W51">
        <v>25</v>
      </c>
      <c r="X51">
        <v>25</v>
      </c>
      <c r="Y51">
        <v>25</v>
      </c>
      <c r="Z51" t="s">
        <v>53</v>
      </c>
      <c r="AA51">
        <v>20</v>
      </c>
      <c r="AB51">
        <v>10</v>
      </c>
      <c r="AC51">
        <v>10</v>
      </c>
      <c r="AD51">
        <v>10</v>
      </c>
      <c r="AE51">
        <v>10</v>
      </c>
      <c r="AF51" t="s">
        <v>54</v>
      </c>
      <c r="AG51">
        <v>30</v>
      </c>
      <c r="AH51">
        <v>15</v>
      </c>
      <c r="AI51">
        <v>15</v>
      </c>
      <c r="AJ51">
        <v>15</v>
      </c>
      <c r="AK51">
        <v>15</v>
      </c>
      <c r="AL51">
        <v>217</v>
      </c>
      <c r="AM51" t="s">
        <v>55</v>
      </c>
      <c r="AN51" t="s">
        <v>55</v>
      </c>
      <c r="AO51" t="s">
        <v>55</v>
      </c>
      <c r="AP51" t="s">
        <v>364</v>
      </c>
      <c r="AQ51" t="str">
        <f>HYPERLINK("https://icf.clappia.com/app/GMB253374/submission/HIA74571525/ICF247370-GMB253374-2gf517662ioe00000000/SIG-20250626_163813mjg9.jpeg", "SIG-20250626_163813mjg9.jpeg")</f>
        <v>SIG-20250626_163813mjg9.jpeg</v>
      </c>
      <c r="AR51" t="s">
        <v>365</v>
      </c>
      <c r="AS51" t="str">
        <f>HYPERLINK("https://icf.clappia.com/app/GMB253374/submission/HIA74571525/ICF247370-GMB253374-3o0cj5eld8mo00000000/SIG-20250626_16395mn9j.jpeg", "SIG-20250626_16395mn9j.jpeg")</f>
        <v>SIG-20250626_16395mn9j.jpeg</v>
      </c>
      <c r="AT51" t="s">
        <v>366</v>
      </c>
      <c r="AU51" t="str">
        <f>HYPERLINK("https://icf.clappia.com/app/GMB253374/submission/HIA74571525/ICF247370-GMB253374-63e0fodh1m0g00000000/SIG-20250626_1639156f2o.jpeg", "SIG-20250626_1639156f2o.jpeg")</f>
        <v>SIG-20250626_1639156f2o.jpeg</v>
      </c>
      <c r="AV51" t="str">
        <f>HYPERLINK("https://www.google.com/maps/place/8.8666453%2C-12.0505855", "8.8666453,-12.0505855")</f>
        <v>8.8666453,-12.0505855</v>
      </c>
    </row>
    <row r="52">
      <c r="A52" t="s">
        <v>367</v>
      </c>
      <c r="B52" t="s">
        <v>46</v>
      </c>
      <c r="C52" t="s">
        <v>368</v>
      </c>
      <c r="D52" t="s">
        <v>362</v>
      </c>
      <c r="E52" t="s">
        <v>369</v>
      </c>
      <c r="F52" t="s">
        <v>64</v>
      </c>
      <c r="G52">
        <v>400</v>
      </c>
      <c r="H52" t="s">
        <v>50</v>
      </c>
      <c r="I52">
        <v>100</v>
      </c>
      <c r="J52">
        <v>40</v>
      </c>
      <c r="K52">
        <v>35</v>
      </c>
      <c r="L52">
        <v>60</v>
      </c>
      <c r="M52">
        <v>60</v>
      </c>
      <c r="N52" t="s">
        <v>51</v>
      </c>
      <c r="O52">
        <v>100</v>
      </c>
      <c r="P52">
        <v>50</v>
      </c>
      <c r="Q52">
        <v>50</v>
      </c>
      <c r="R52">
        <v>50</v>
      </c>
      <c r="S52">
        <v>50</v>
      </c>
      <c r="T52" t="s">
        <v>52</v>
      </c>
      <c r="U52">
        <v>100</v>
      </c>
      <c r="V52">
        <v>50</v>
      </c>
      <c r="W52">
        <v>50</v>
      </c>
      <c r="X52">
        <v>50</v>
      </c>
      <c r="Y52">
        <v>50</v>
      </c>
      <c r="Z52" t="s">
        <v>53</v>
      </c>
      <c r="AA52">
        <v>50</v>
      </c>
      <c r="AB52">
        <v>25</v>
      </c>
      <c r="AC52">
        <v>25</v>
      </c>
      <c r="AD52">
        <v>25</v>
      </c>
      <c r="AE52">
        <v>25</v>
      </c>
      <c r="AF52" t="s">
        <v>54</v>
      </c>
      <c r="AG52">
        <v>50</v>
      </c>
      <c r="AH52">
        <v>25</v>
      </c>
      <c r="AI52">
        <v>25</v>
      </c>
      <c r="AJ52">
        <v>25</v>
      </c>
      <c r="AK52">
        <v>25</v>
      </c>
      <c r="AL52">
        <v>395</v>
      </c>
      <c r="AM52">
        <v>5</v>
      </c>
      <c r="AN52" t="s">
        <v>55</v>
      </c>
      <c r="AO52" t="s">
        <v>55</v>
      </c>
      <c r="AP52" t="s">
        <v>370</v>
      </c>
      <c r="AQ52" t="str">
        <f>HYPERLINK("https://icf.clappia.com/app/GMB253374/submission/ULC43177483/ICF247370-GMB253374-1ci2kp50p979i0000000/SIG-20250626_16211197f2.jpeg", "SIG-20250626_16211197f2.jpeg")</f>
        <v>SIG-20250626_16211197f2.jpeg</v>
      </c>
      <c r="AR52" t="s">
        <v>371</v>
      </c>
      <c r="AS52" t="str">
        <f>HYPERLINK("https://icf.clappia.com/app/GMB253374/submission/ULC43177483/ICF247370-GMB253374-2nke06d4nfc800000000/SIG-20250626_1622102jcc.jpeg", "SIG-20250626_1622102jcc.jpeg")</f>
        <v>SIG-20250626_1622102jcc.jpeg</v>
      </c>
      <c r="AT52" t="s">
        <v>372</v>
      </c>
      <c r="AU52" t="str">
        <f>HYPERLINK("https://icf.clappia.com/app/GMB253374/submission/ULC43177483/ICF247370-GMB253374-2g7gllp8hc3m00000000/SIG-20250626_1622aeaa4.jpeg", "SIG-20250626_1622aeaa4.jpeg")</f>
        <v>SIG-20250626_1622aeaa4.jpeg</v>
      </c>
      <c r="AV52" t="str">
        <f>HYPERLINK("https://www.google.com/maps/place/8.8655738%2C-12.0499372", "8.8655738,-12.0499372")</f>
        <v>8.8655738,-12.0499372</v>
      </c>
    </row>
    <row r="53">
      <c r="A53" t="s">
        <v>373</v>
      </c>
      <c r="B53" t="s">
        <v>46</v>
      </c>
      <c r="C53" t="s">
        <v>374</v>
      </c>
      <c r="D53" t="s">
        <v>374</v>
      </c>
      <c r="E53" t="s">
        <v>375</v>
      </c>
      <c r="F53" t="s">
        <v>64</v>
      </c>
      <c r="G53">
        <v>500</v>
      </c>
      <c r="H53" t="s">
        <v>50</v>
      </c>
      <c r="I53">
        <v>100</v>
      </c>
      <c r="J53">
        <v>50</v>
      </c>
      <c r="K53">
        <v>50</v>
      </c>
      <c r="L53">
        <v>50</v>
      </c>
      <c r="M53">
        <v>50</v>
      </c>
      <c r="N53" t="s">
        <v>51</v>
      </c>
      <c r="O53">
        <v>50</v>
      </c>
      <c r="P53">
        <v>25</v>
      </c>
      <c r="Q53">
        <v>25</v>
      </c>
      <c r="R53">
        <v>25</v>
      </c>
      <c r="S53">
        <v>25</v>
      </c>
      <c r="T53" t="s">
        <v>52</v>
      </c>
      <c r="U53">
        <v>100</v>
      </c>
      <c r="V53">
        <v>50</v>
      </c>
      <c r="W53">
        <v>50</v>
      </c>
      <c r="X53">
        <v>50</v>
      </c>
      <c r="Y53">
        <v>50</v>
      </c>
      <c r="Z53" t="s">
        <v>53</v>
      </c>
      <c r="AA53">
        <v>50</v>
      </c>
      <c r="AB53">
        <v>25</v>
      </c>
      <c r="AC53">
        <v>25</v>
      </c>
      <c r="AD53">
        <v>25</v>
      </c>
      <c r="AE53">
        <v>25</v>
      </c>
      <c r="AF53" t="s">
        <v>54</v>
      </c>
      <c r="AG53">
        <v>50</v>
      </c>
      <c r="AH53">
        <v>25</v>
      </c>
      <c r="AI53">
        <v>25</v>
      </c>
      <c r="AJ53">
        <v>25</v>
      </c>
      <c r="AK53">
        <v>25</v>
      </c>
      <c r="AL53">
        <v>350</v>
      </c>
      <c r="AM53">
        <v>10</v>
      </c>
      <c r="AN53">
        <v>140</v>
      </c>
      <c r="AO53">
        <v>140</v>
      </c>
      <c r="AP53" t="s">
        <v>376</v>
      </c>
      <c r="AQ53" t="str">
        <f>HYPERLINK("https://icf.clappia.com/app/GMB253374/submission/OAJ85397146/ICF247370-GMB253374-1712l8ig9910k0000000/SIG-20250630_090817g47g.jpeg", "SIG-20250630_090817g47g.jpeg")</f>
        <v>SIG-20250630_090817g47g.jpeg</v>
      </c>
      <c r="AR53" t="s">
        <v>377</v>
      </c>
      <c r="AS53" t="str">
        <f>HYPERLINK("https://icf.clappia.com/app/GMB253374/submission/OAJ85397146/ICF247370-GMB253374-ognl3c93ni7a0000000/SIG-20250630_090437d7a.jpeg", "SIG-20250630_090437d7a.jpeg")</f>
        <v>SIG-20250630_090437d7a.jpeg</v>
      </c>
      <c r="AT53" t="s">
        <v>65</v>
      </c>
      <c r="AU53" t="str">
        <f>HYPERLINK("https://icf.clappia.com/app/GMB253374/submission/OAJ85397146/ICF247370-GMB253374-50bb9blpkn2600000000/SIG-20250630_090629an5.jpeg", "SIG-20250630_090629an5.jpeg")</f>
        <v>SIG-20250630_090629an5.jpeg</v>
      </c>
      <c r="AV53" t="str">
        <f>HYPERLINK("https://www.google.com/maps/place/7.9289021%2C-11.7183944", "7.9289021,-11.7183944")</f>
        <v>7.9289021,-11.7183944</v>
      </c>
    </row>
    <row r="54">
      <c r="A54" t="s">
        <v>378</v>
      </c>
      <c r="B54" t="s">
        <v>46</v>
      </c>
      <c r="C54" t="s">
        <v>379</v>
      </c>
      <c r="D54" t="s">
        <v>380</v>
      </c>
      <c r="E54" t="s">
        <v>381</v>
      </c>
      <c r="F54" t="s">
        <v>64</v>
      </c>
      <c r="G54">
        <v>300</v>
      </c>
      <c r="H54" t="s">
        <v>50</v>
      </c>
      <c r="I54">
        <v>50</v>
      </c>
      <c r="J54">
        <v>25</v>
      </c>
      <c r="K54">
        <v>25</v>
      </c>
      <c r="L54">
        <v>25</v>
      </c>
      <c r="M54">
        <v>25</v>
      </c>
      <c r="N54" t="s">
        <v>51</v>
      </c>
      <c r="O54">
        <v>60</v>
      </c>
      <c r="P54">
        <v>30</v>
      </c>
      <c r="Q54">
        <v>30</v>
      </c>
      <c r="R54">
        <v>30</v>
      </c>
      <c r="S54">
        <v>30</v>
      </c>
      <c r="T54" t="s">
        <v>52</v>
      </c>
      <c r="U54">
        <v>50</v>
      </c>
      <c r="V54">
        <v>30</v>
      </c>
      <c r="W54">
        <v>30</v>
      </c>
      <c r="X54">
        <v>20</v>
      </c>
      <c r="Y54">
        <v>20</v>
      </c>
      <c r="Z54" t="s">
        <v>53</v>
      </c>
      <c r="AA54">
        <v>45</v>
      </c>
      <c r="AB54">
        <v>20</v>
      </c>
      <c r="AC54">
        <v>20</v>
      </c>
      <c r="AD54">
        <v>25</v>
      </c>
      <c r="AE54">
        <v>25</v>
      </c>
      <c r="AF54" t="s">
        <v>54</v>
      </c>
      <c r="AG54">
        <v>45</v>
      </c>
      <c r="AH54">
        <v>25</v>
      </c>
      <c r="AI54">
        <v>25</v>
      </c>
      <c r="AJ54">
        <v>20</v>
      </c>
      <c r="AK54">
        <v>20</v>
      </c>
      <c r="AL54">
        <v>250</v>
      </c>
      <c r="AM54" t="s">
        <v>55</v>
      </c>
      <c r="AN54">
        <v>50</v>
      </c>
      <c r="AO54">
        <v>50</v>
      </c>
      <c r="AP54" t="s">
        <v>382</v>
      </c>
      <c r="AQ54" t="str">
        <f>HYPERLINK("https://icf.clappia.com/app/GMB253374/submission/KFJ41094362/ICF247370-GMB253374-3kgdl0oe4gna00000000/SIG-20250626_16405d7bg.jpeg", "SIG-20250626_16405d7bg.jpeg")</f>
        <v>SIG-20250626_16405d7bg.jpeg</v>
      </c>
      <c r="AR54" t="s">
        <v>383</v>
      </c>
      <c r="AS54" t="str">
        <f>HYPERLINK("https://icf.clappia.com/app/GMB253374/submission/KFJ41094362/ICF247370-GMB253374-68n97a84036m0000000/SIG-20250626_16413men2.jpeg", "SIG-20250626_16413men2.jpeg")</f>
        <v>SIG-20250626_16413men2.jpeg</v>
      </c>
      <c r="AT54" t="s">
        <v>384</v>
      </c>
      <c r="AU54" t="str">
        <f>HYPERLINK("https://icf.clappia.com/app/GMB253374/submission/KFJ41094362/ICF247370-GMB253374-189nh4jo8a3040000000/SIG-20250626_16417g2dl.jpeg", "SIG-20250626_16417g2dl.jpeg")</f>
        <v>SIG-20250626_16417g2dl.jpeg</v>
      </c>
      <c r="AV54" t="str">
        <f>HYPERLINK("https://www.google.com/maps/place/8.8714748%2C-12.0477297", "8.8714748,-12.0477297")</f>
        <v>8.8714748,-12.0477297</v>
      </c>
    </row>
    <row r="55">
      <c r="A55" t="s">
        <v>385</v>
      </c>
      <c r="B55" t="s">
        <v>46</v>
      </c>
      <c r="C55" t="s">
        <v>386</v>
      </c>
      <c r="D55" t="s">
        <v>387</v>
      </c>
      <c r="E55" t="s">
        <v>388</v>
      </c>
      <c r="F55" t="s">
        <v>64</v>
      </c>
      <c r="G55">
        <v>200</v>
      </c>
      <c r="H55" t="s">
        <v>50</v>
      </c>
      <c r="I55">
        <v>40</v>
      </c>
      <c r="J55">
        <v>22</v>
      </c>
      <c r="K55">
        <v>22</v>
      </c>
      <c r="L55">
        <v>18</v>
      </c>
      <c r="M55">
        <v>18</v>
      </c>
      <c r="N55" t="s">
        <v>51</v>
      </c>
      <c r="O55">
        <v>50</v>
      </c>
      <c r="P55">
        <v>25</v>
      </c>
      <c r="Q55">
        <v>25</v>
      </c>
      <c r="R55">
        <v>25</v>
      </c>
      <c r="S55">
        <v>25</v>
      </c>
      <c r="T55" t="s">
        <v>52</v>
      </c>
      <c r="U55">
        <v>40</v>
      </c>
      <c r="V55">
        <v>19</v>
      </c>
      <c r="W55">
        <v>19</v>
      </c>
      <c r="X55">
        <v>21</v>
      </c>
      <c r="Y55">
        <v>21</v>
      </c>
      <c r="Z55" t="s">
        <v>53</v>
      </c>
      <c r="AA55">
        <v>30</v>
      </c>
      <c r="AB55">
        <v>12</v>
      </c>
      <c r="AC55">
        <v>12</v>
      </c>
      <c r="AD55">
        <v>18</v>
      </c>
      <c r="AE55">
        <v>18</v>
      </c>
      <c r="AF55" t="s">
        <v>54</v>
      </c>
      <c r="AG55">
        <v>40</v>
      </c>
      <c r="AH55">
        <v>20</v>
      </c>
      <c r="AI55">
        <v>20</v>
      </c>
      <c r="AJ55">
        <v>20</v>
      </c>
      <c r="AK55">
        <v>20</v>
      </c>
      <c r="AL55">
        <v>200</v>
      </c>
      <c r="AM55" t="s">
        <v>55</v>
      </c>
      <c r="AN55" t="s">
        <v>55</v>
      </c>
      <c r="AO55" t="s">
        <v>55</v>
      </c>
      <c r="AP55" t="s">
        <v>384</v>
      </c>
      <c r="AQ55" t="str">
        <f>HYPERLINK("https://icf.clappia.com/app/GMB253374/submission/ZHE54358058/ICF247370-GMB253374-29f19n3f2lm160000000/SIG-20250626_1615i2oc7.jpeg", "SIG-20250626_1615i2oc7.jpeg")</f>
        <v>SIG-20250626_1615i2oc7.jpeg</v>
      </c>
      <c r="AR55" t="s">
        <v>383</v>
      </c>
      <c r="AS55" t="str">
        <f>HYPERLINK("https://icf.clappia.com/app/GMB253374/submission/ZHE54358058/ICF247370-GMB253374-43p7ahao7bd200000000/SIG-20250626_16155p5ka.jpeg", "SIG-20250626_16155p5ka.jpeg")</f>
        <v>SIG-20250626_16155p5ka.jpeg</v>
      </c>
      <c r="AT55" t="s">
        <v>382</v>
      </c>
      <c r="AU55" t="str">
        <f>HYPERLINK("https://icf.clappia.com/app/GMB253374/submission/ZHE54358058/ICF247370-GMB253374-1gmme651mmd280000000/SIG-20250626_1616be96p.jpeg", "SIG-20250626_1616be96p.jpeg")</f>
        <v>SIG-20250626_1616be96p.jpeg</v>
      </c>
      <c r="AV55" t="str">
        <f>HYPERLINK("https://www.google.com/maps/place/8.8673336%2C-12.0502285", "8.8673336,-12.0502285")</f>
        <v>8.8673336,-12.0502285</v>
      </c>
    </row>
    <row r="56">
      <c r="A56" t="s">
        <v>389</v>
      </c>
      <c r="B56" t="s">
        <v>46</v>
      </c>
      <c r="C56" t="s">
        <v>390</v>
      </c>
      <c r="D56" t="s">
        <v>391</v>
      </c>
      <c r="E56" t="s">
        <v>392</v>
      </c>
      <c r="F56" t="s">
        <v>49</v>
      </c>
      <c r="G56">
        <v>500</v>
      </c>
      <c r="H56" t="s">
        <v>50</v>
      </c>
      <c r="I56">
        <v>120</v>
      </c>
      <c r="J56">
        <v>80</v>
      </c>
      <c r="K56">
        <v>80</v>
      </c>
      <c r="L56">
        <v>40</v>
      </c>
      <c r="M56">
        <v>40</v>
      </c>
      <c r="N56" t="s">
        <v>51</v>
      </c>
      <c r="O56">
        <v>80</v>
      </c>
      <c r="P56">
        <v>50</v>
      </c>
      <c r="Q56">
        <v>50</v>
      </c>
      <c r="R56">
        <v>30</v>
      </c>
      <c r="S56">
        <v>28</v>
      </c>
      <c r="T56" t="s">
        <v>52</v>
      </c>
      <c r="U56">
        <v>100</v>
      </c>
      <c r="V56">
        <v>70</v>
      </c>
      <c r="W56">
        <v>67</v>
      </c>
      <c r="X56">
        <v>30</v>
      </c>
      <c r="Y56">
        <v>30</v>
      </c>
      <c r="Z56" t="s">
        <v>53</v>
      </c>
      <c r="AA56">
        <v>50</v>
      </c>
      <c r="AB56">
        <v>25</v>
      </c>
      <c r="AC56">
        <v>25</v>
      </c>
      <c r="AD56">
        <v>25</v>
      </c>
      <c r="AE56">
        <v>25</v>
      </c>
      <c r="AF56" t="s">
        <v>54</v>
      </c>
      <c r="AG56">
        <v>150</v>
      </c>
      <c r="AH56">
        <v>50</v>
      </c>
      <c r="AI56">
        <v>50</v>
      </c>
      <c r="AJ56">
        <v>100</v>
      </c>
      <c r="AK56">
        <v>100</v>
      </c>
      <c r="AL56">
        <v>495</v>
      </c>
      <c r="AM56">
        <v>5</v>
      </c>
      <c r="AN56" t="s">
        <v>55</v>
      </c>
      <c r="AO56" t="s">
        <v>55</v>
      </c>
      <c r="AP56" t="s">
        <v>393</v>
      </c>
      <c r="AQ56" t="str">
        <f>HYPERLINK("https://icf.clappia.com/app/GMB253374/submission/NCU68027621/ICF247370-GMB253374-4mlklobi7md600000000/SIG-20250630_0055m01fl.jpeg", "SIG-20250630_0055m01fl.jpeg")</f>
        <v>SIG-20250630_0055m01fl.jpeg</v>
      </c>
      <c r="AR56" t="s">
        <v>394</v>
      </c>
      <c r="AS56" t="str">
        <f>HYPERLINK("https://icf.clappia.com/app/GMB253374/submission/NCU68027621/ICF247370-GMB253374-1n7hn9ma77ffm0000000/SIG-20250630_0055o1f97.jpeg", "SIG-20250630_0055o1f97.jpeg")</f>
        <v>SIG-20250630_0055o1f97.jpeg</v>
      </c>
      <c r="AT56" t="s">
        <v>395</v>
      </c>
      <c r="AU56" t="str">
        <f>HYPERLINK("https://icf.clappia.com/app/GMB253374/submission/NCU68027621/ICF247370-GMB253374-68cin0ok1bkk00000000/SIG-20250630_005525h7f.jpeg", "SIG-20250630_005525h7f.jpeg")</f>
        <v>SIG-20250630_005525h7f.jpeg</v>
      </c>
      <c r="AV56" t="str">
        <f>HYPERLINK("https://www.google.com/maps/place/8.912167%2C-12.0348794", "8.912167,-12.0348794")</f>
        <v>8.912167,-12.0348794</v>
      </c>
    </row>
    <row r="57">
      <c r="A57" t="s">
        <v>396</v>
      </c>
      <c r="B57" t="s">
        <v>46</v>
      </c>
      <c r="C57" t="s">
        <v>397</v>
      </c>
      <c r="D57" t="s">
        <v>398</v>
      </c>
      <c r="E57" t="s">
        <v>399</v>
      </c>
      <c r="F57" t="s">
        <v>64</v>
      </c>
      <c r="G57">
        <v>500</v>
      </c>
      <c r="H57" t="s">
        <v>50</v>
      </c>
      <c r="I57">
        <v>100</v>
      </c>
      <c r="J57">
        <v>60</v>
      </c>
      <c r="K57">
        <v>60</v>
      </c>
      <c r="L57">
        <v>40</v>
      </c>
      <c r="M57">
        <v>40</v>
      </c>
      <c r="N57" t="s">
        <v>51</v>
      </c>
      <c r="O57">
        <v>120</v>
      </c>
      <c r="P57">
        <v>60</v>
      </c>
      <c r="Q57">
        <v>60</v>
      </c>
      <c r="R57">
        <v>60</v>
      </c>
      <c r="S57">
        <v>55</v>
      </c>
      <c r="T57" t="s">
        <v>52</v>
      </c>
      <c r="U57">
        <v>100</v>
      </c>
      <c r="V57">
        <v>55</v>
      </c>
      <c r="W57">
        <v>55</v>
      </c>
      <c r="X57">
        <v>45</v>
      </c>
      <c r="Y57">
        <v>45</v>
      </c>
      <c r="Z57" t="s">
        <v>53</v>
      </c>
      <c r="AA57">
        <v>80</v>
      </c>
      <c r="AB57">
        <v>30</v>
      </c>
      <c r="AC57">
        <v>30</v>
      </c>
      <c r="AD57">
        <v>50</v>
      </c>
      <c r="AE57">
        <v>50</v>
      </c>
      <c r="AF57" t="s">
        <v>54</v>
      </c>
      <c r="AG57">
        <v>60</v>
      </c>
      <c r="AH57">
        <v>30</v>
      </c>
      <c r="AI57">
        <v>30</v>
      </c>
      <c r="AJ57">
        <v>30</v>
      </c>
      <c r="AK57">
        <v>30</v>
      </c>
      <c r="AL57">
        <v>455</v>
      </c>
      <c r="AM57">
        <v>5</v>
      </c>
      <c r="AN57">
        <v>40</v>
      </c>
      <c r="AO57">
        <v>40</v>
      </c>
      <c r="AP57" t="s">
        <v>400</v>
      </c>
      <c r="AQ57" t="str">
        <f>HYPERLINK("https://icf.clappia.com/app/GMB253374/submission/LRJ63816451/ICF247370-GMB253374-450p8jnc9imo00000000/SIG-20250630_0041bmkjl.jpeg", "SIG-20250630_0041bmkjl.jpeg")</f>
        <v>SIG-20250630_0041bmkjl.jpeg</v>
      </c>
      <c r="AR57" t="s">
        <v>401</v>
      </c>
      <c r="AS57" t="str">
        <f>HYPERLINK("https://icf.clappia.com/app/GMB253374/submission/LRJ63816451/ICF247370-GMB253374-13ehj75pil31i0000000/SIG-20250630_0041fi8ak.jpeg", "SIG-20250630_0041fi8ak.jpeg")</f>
        <v>SIG-20250630_0041fi8ak.jpeg</v>
      </c>
      <c r="AT57" t="s">
        <v>402</v>
      </c>
      <c r="AU57" t="str">
        <f>HYPERLINK("https://icf.clappia.com/app/GMB253374/submission/LRJ63816451/ICF247370-GMB253374-64p2lm8fgkcg00000000/SIG-20250630_0041adn90.jpeg", "SIG-20250630_0041adn90.jpeg")</f>
        <v>SIG-20250630_0041adn90.jpeg</v>
      </c>
      <c r="AV57" t="str">
        <f>HYPERLINK("https://www.google.com/maps/place/8.9123282%2C-12.0348234", "8.9123282,-12.0348234")</f>
        <v>8.9123282,-12.0348234</v>
      </c>
    </row>
    <row r="58">
      <c r="A58" t="s">
        <v>403</v>
      </c>
      <c r="B58" t="s">
        <v>46</v>
      </c>
      <c r="C58" t="s">
        <v>404</v>
      </c>
      <c r="D58" t="s">
        <v>405</v>
      </c>
      <c r="E58" t="s">
        <v>406</v>
      </c>
      <c r="F58" t="s">
        <v>49</v>
      </c>
      <c r="G58">
        <v>550</v>
      </c>
      <c r="H58" t="s">
        <v>50</v>
      </c>
      <c r="I58">
        <v>100</v>
      </c>
      <c r="J58">
        <v>60</v>
      </c>
      <c r="K58">
        <v>60</v>
      </c>
      <c r="L58">
        <v>40</v>
      </c>
      <c r="M58">
        <v>40</v>
      </c>
      <c r="N58" t="s">
        <v>51</v>
      </c>
      <c r="O58">
        <v>120</v>
      </c>
      <c r="P58">
        <v>40</v>
      </c>
      <c r="Q58">
        <v>40</v>
      </c>
      <c r="R58">
        <v>80</v>
      </c>
      <c r="S58">
        <v>75</v>
      </c>
      <c r="T58" t="s">
        <v>52</v>
      </c>
      <c r="U58">
        <v>100</v>
      </c>
      <c r="V58">
        <v>60</v>
      </c>
      <c r="W58">
        <v>60</v>
      </c>
      <c r="X58">
        <v>40</v>
      </c>
      <c r="Y58">
        <v>40</v>
      </c>
      <c r="Z58" t="s">
        <v>53</v>
      </c>
      <c r="AA58">
        <v>120</v>
      </c>
      <c r="AB58">
        <v>75</v>
      </c>
      <c r="AC58">
        <v>75</v>
      </c>
      <c r="AD58">
        <v>45</v>
      </c>
      <c r="AE58">
        <v>45</v>
      </c>
      <c r="AF58" t="s">
        <v>54</v>
      </c>
      <c r="AG58">
        <v>100</v>
      </c>
      <c r="AH58">
        <v>50</v>
      </c>
      <c r="AI58">
        <v>50</v>
      </c>
      <c r="AJ58">
        <v>50</v>
      </c>
      <c r="AK58">
        <v>50</v>
      </c>
      <c r="AL58">
        <v>535</v>
      </c>
      <c r="AM58">
        <v>5</v>
      </c>
      <c r="AN58">
        <v>10</v>
      </c>
      <c r="AO58">
        <v>10</v>
      </c>
      <c r="AP58" t="s">
        <v>407</v>
      </c>
      <c r="AQ58" t="str">
        <f>HYPERLINK("https://icf.clappia.com/app/GMB253374/submission/DOI24479303/ICF247370-GMB253374-4ma0fchmm85e00000000/SIG-20250630_000613l7ip.jpeg", "SIG-20250630_000613l7ip.jpeg")</f>
        <v>SIG-20250630_000613l7ip.jpeg</v>
      </c>
      <c r="AR58" t="s">
        <v>408</v>
      </c>
      <c r="AS58" t="str">
        <f>HYPERLINK("https://icf.clappia.com/app/GMB253374/submission/DOI24479303/ICF247370-GMB253374-26j0k74mi0kai0000000/SIG-20250630_0006mg5hg.jpeg", "SIG-20250630_0006mg5hg.jpeg")</f>
        <v>SIG-20250630_0006mg5hg.jpeg</v>
      </c>
      <c r="AT58" t="s">
        <v>409</v>
      </c>
      <c r="AU58" t="str">
        <f>HYPERLINK("https://icf.clappia.com/app/GMB253374/submission/DOI24479303/ICF247370-GMB253374-h9008h2h21a00000000/SIG-20250630_0006og5go.jpeg", "SIG-20250630_0006og5go.jpeg")</f>
        <v>SIG-20250630_0006og5go.jpeg</v>
      </c>
      <c r="AV58" t="str">
        <f>HYPERLINK("https://www.google.com/maps/place/8.9110687%2C-12.0349223", "8.9110687,-12.0349223")</f>
        <v>8.9110687,-12.0349223</v>
      </c>
    </row>
    <row r="59">
      <c r="A59" t="s">
        <v>410</v>
      </c>
      <c r="B59" t="s">
        <v>46</v>
      </c>
      <c r="C59" t="s">
        <v>411</v>
      </c>
      <c r="D59" t="s">
        <v>412</v>
      </c>
      <c r="E59" t="s">
        <v>413</v>
      </c>
      <c r="F59" t="s">
        <v>49</v>
      </c>
      <c r="G59">
        <v>500</v>
      </c>
      <c r="H59" t="s">
        <v>50</v>
      </c>
      <c r="I59">
        <v>100</v>
      </c>
      <c r="J59">
        <v>50</v>
      </c>
      <c r="K59">
        <v>50</v>
      </c>
      <c r="L59">
        <v>50</v>
      </c>
      <c r="M59">
        <v>50</v>
      </c>
      <c r="N59" t="s">
        <v>51</v>
      </c>
      <c r="O59">
        <v>120</v>
      </c>
      <c r="P59">
        <v>60</v>
      </c>
      <c r="Q59">
        <v>55</v>
      </c>
      <c r="R59">
        <v>60</v>
      </c>
      <c r="S59">
        <v>60</v>
      </c>
      <c r="T59" t="s">
        <v>52</v>
      </c>
      <c r="U59">
        <v>80</v>
      </c>
      <c r="V59">
        <v>50</v>
      </c>
      <c r="W59">
        <v>50</v>
      </c>
      <c r="X59">
        <v>30</v>
      </c>
      <c r="Y59">
        <v>30</v>
      </c>
      <c r="Z59" t="s">
        <v>53</v>
      </c>
      <c r="AA59">
        <v>100</v>
      </c>
      <c r="AB59">
        <v>40</v>
      </c>
      <c r="AC59">
        <v>40</v>
      </c>
      <c r="AD59">
        <v>60</v>
      </c>
      <c r="AE59">
        <v>60</v>
      </c>
      <c r="AF59" t="s">
        <v>54</v>
      </c>
      <c r="AG59">
        <v>100</v>
      </c>
      <c r="AH59">
        <v>60</v>
      </c>
      <c r="AI59">
        <v>60</v>
      </c>
      <c r="AJ59">
        <v>40</v>
      </c>
      <c r="AK59">
        <v>40</v>
      </c>
      <c r="AL59">
        <v>495</v>
      </c>
      <c r="AM59">
        <v>5</v>
      </c>
      <c r="AN59" t="s">
        <v>55</v>
      </c>
      <c r="AO59" t="s">
        <v>55</v>
      </c>
      <c r="AP59" t="s">
        <v>407</v>
      </c>
      <c r="AQ59" t="str">
        <f>HYPERLINK("https://icf.clappia.com/app/GMB253374/submission/QDB64927795/ICF247370-GMB253374-4iiomngea3oc00000000/SIG-20250629_2349p23pb.jpeg", "SIG-20250629_2349p23pb.jpeg")</f>
        <v>SIG-20250629_2349p23pb.jpeg</v>
      </c>
      <c r="AR59" t="s">
        <v>414</v>
      </c>
      <c r="AS59" t="str">
        <f>HYPERLINK("https://icf.clappia.com/app/GMB253374/submission/QDB64927795/ICF247370-GMB253374-52e9d5g765gk00000000/SIG-20250629_23501h6hc.jpeg", "SIG-20250629_23501h6hc.jpeg")</f>
        <v>SIG-20250629_23501h6hc.jpeg</v>
      </c>
      <c r="AT59" t="s">
        <v>415</v>
      </c>
      <c r="AU59" t="str">
        <f>HYPERLINK("https://icf.clappia.com/app/GMB253374/submission/QDB64927795/ICF247370-GMB253374-5ok79dmlk19e00000000/SIG-20250629_2350ihile.jpeg", "SIG-20250629_2350ihile.jpeg")</f>
        <v>SIG-20250629_2350ihile.jpeg</v>
      </c>
      <c r="AV59" t="str">
        <f>HYPERLINK("https://www.google.com/maps/place/8.9111515%2C-12.0348794", "8.9111515,-12.0348794")</f>
        <v>8.9111515,-12.0348794</v>
      </c>
    </row>
    <row r="60">
      <c r="A60" t="s">
        <v>416</v>
      </c>
      <c r="B60" t="s">
        <v>46</v>
      </c>
      <c r="C60" t="s">
        <v>417</v>
      </c>
      <c r="D60" t="s">
        <v>418</v>
      </c>
      <c r="E60" t="s">
        <v>419</v>
      </c>
      <c r="F60" t="s">
        <v>49</v>
      </c>
      <c r="G60">
        <v>500</v>
      </c>
      <c r="H60" t="s">
        <v>50</v>
      </c>
      <c r="I60">
        <v>100</v>
      </c>
      <c r="J60">
        <v>45</v>
      </c>
      <c r="K60">
        <v>40</v>
      </c>
      <c r="L60">
        <v>55</v>
      </c>
      <c r="M60">
        <v>55</v>
      </c>
      <c r="N60" t="s">
        <v>51</v>
      </c>
      <c r="O60">
        <v>80</v>
      </c>
      <c r="P60">
        <v>50</v>
      </c>
      <c r="Q60">
        <v>50</v>
      </c>
      <c r="R60">
        <v>30</v>
      </c>
      <c r="S60">
        <v>30</v>
      </c>
      <c r="T60" t="s">
        <v>52</v>
      </c>
      <c r="U60">
        <v>120</v>
      </c>
      <c r="V60">
        <v>65</v>
      </c>
      <c r="W60">
        <v>65</v>
      </c>
      <c r="X60">
        <v>55</v>
      </c>
      <c r="Y60">
        <v>55</v>
      </c>
      <c r="Z60" t="s">
        <v>53</v>
      </c>
      <c r="AA60">
        <v>100</v>
      </c>
      <c r="AB60">
        <v>60</v>
      </c>
      <c r="AC60">
        <v>60</v>
      </c>
      <c r="AD60">
        <v>40</v>
      </c>
      <c r="AE60">
        <v>40</v>
      </c>
      <c r="AF60" t="s">
        <v>54</v>
      </c>
      <c r="AG60">
        <v>100</v>
      </c>
      <c r="AH60">
        <v>50</v>
      </c>
      <c r="AI60">
        <v>50</v>
      </c>
      <c r="AJ60">
        <v>50</v>
      </c>
      <c r="AK60">
        <v>50</v>
      </c>
      <c r="AL60">
        <v>495</v>
      </c>
      <c r="AM60">
        <v>5</v>
      </c>
      <c r="AN60" t="s">
        <v>55</v>
      </c>
      <c r="AO60" t="s">
        <v>55</v>
      </c>
      <c r="AP60" t="s">
        <v>420</v>
      </c>
      <c r="AQ60" t="str">
        <f>HYPERLINK("https://icf.clappia.com/app/GMB253374/submission/VUJ55661574/ICF247370-GMB253374-o8g6l0bclo9e0000000/SIG-20250629_23411052j9.jpeg", "SIG-20250629_23411052j9.jpeg")</f>
        <v>SIG-20250629_23411052j9.jpeg</v>
      </c>
      <c r="AR60" t="s">
        <v>421</v>
      </c>
      <c r="AS60" t="str">
        <f>HYPERLINK("https://icf.clappia.com/app/GMB253374/submission/VUJ55661574/ICF247370-GMB253374-15pkafio89i320000000/SIG-20250629_2342m6m4m.jpeg", "SIG-20250629_2342m6m4m.jpeg")</f>
        <v>SIG-20250629_2342m6m4m.jpeg</v>
      </c>
      <c r="AT60" t="s">
        <v>422</v>
      </c>
      <c r="AU60" t="str">
        <f>HYPERLINK("https://icf.clappia.com/app/GMB253374/submission/VUJ55661574/ICF247370-GMB253374-jo9ife7om0b80000000/SIG-20250629_234234gcm.jpeg", "SIG-20250629_234234gcm.jpeg")</f>
        <v>SIG-20250629_234234gcm.jpeg</v>
      </c>
      <c r="AV60" t="str">
        <f>HYPERLINK("https://www.google.com/maps/place/8.9131943%2C-12.0345225", "8.9131943,-12.0345225")</f>
        <v>8.9131943,-12.0345225</v>
      </c>
    </row>
    <row r="61">
      <c r="A61" t="s">
        <v>423</v>
      </c>
      <c r="B61" t="s">
        <v>223</v>
      </c>
      <c r="C61" t="s">
        <v>424</v>
      </c>
      <c r="D61" t="s">
        <v>424</v>
      </c>
      <c r="E61" t="s">
        <v>425</v>
      </c>
      <c r="F61" t="s">
        <v>64</v>
      </c>
      <c r="G61">
        <v>250</v>
      </c>
      <c r="H61" t="s">
        <v>50</v>
      </c>
      <c r="I61">
        <v>50</v>
      </c>
      <c r="J61">
        <v>30</v>
      </c>
      <c r="K61">
        <v>30</v>
      </c>
      <c r="L61">
        <v>20</v>
      </c>
      <c r="M61">
        <v>20</v>
      </c>
      <c r="N61" t="s">
        <v>51</v>
      </c>
      <c r="O61">
        <v>30</v>
      </c>
      <c r="P61">
        <v>15</v>
      </c>
      <c r="Q61">
        <v>15</v>
      </c>
      <c r="R61">
        <v>15</v>
      </c>
      <c r="S61">
        <v>15</v>
      </c>
      <c r="T61" t="s">
        <v>52</v>
      </c>
      <c r="U61">
        <v>45</v>
      </c>
      <c r="V61">
        <v>20</v>
      </c>
      <c r="W61">
        <v>20</v>
      </c>
      <c r="X61">
        <v>25</v>
      </c>
      <c r="Y61">
        <v>25</v>
      </c>
      <c r="Z61" t="s">
        <v>53</v>
      </c>
      <c r="AA61">
        <v>70</v>
      </c>
      <c r="AB61">
        <v>40</v>
      </c>
      <c r="AC61">
        <v>40</v>
      </c>
      <c r="AD61">
        <v>30</v>
      </c>
      <c r="AE61">
        <v>30</v>
      </c>
      <c r="AF61" t="s">
        <v>54</v>
      </c>
      <c r="AG61">
        <v>35</v>
      </c>
      <c r="AH61">
        <v>20</v>
      </c>
      <c r="AI61">
        <v>20</v>
      </c>
      <c r="AJ61">
        <v>15</v>
      </c>
      <c r="AK61">
        <v>15</v>
      </c>
      <c r="AL61">
        <v>230</v>
      </c>
      <c r="AM61" t="s">
        <v>55</v>
      </c>
      <c r="AN61">
        <v>20</v>
      </c>
      <c r="AO61">
        <v>20</v>
      </c>
      <c r="AP61" t="s">
        <v>426</v>
      </c>
      <c r="AQ61" t="str">
        <f>HYPERLINK("https://icf.clappia.com/app/GMB253374/submission/CGP16745569/ICF247370-GMB253374-49dnh0207eb40000000/SIG-20250629_23334oceg.jpeg", "SIG-20250629_23334oceg.jpeg")</f>
        <v>SIG-20250629_23334oceg.jpeg</v>
      </c>
      <c r="AR61" t="s">
        <v>427</v>
      </c>
      <c r="AS61" t="str">
        <f>HYPERLINK("https://icf.clappia.com/app/GMB253374/submission/CGP16745569/ICF247370-GMB253374-1bc4cdn67o0na0000000/SIG-20250629_23346f16a.jpeg", "SIG-20250629_23346f16a.jpeg")</f>
        <v>SIG-20250629_23346f16a.jpeg</v>
      </c>
      <c r="AT61" t="s">
        <v>428</v>
      </c>
      <c r="AU61" t="str">
        <f>HYPERLINK("https://icf.clappia.com/app/GMB253374/submission/CGP16745569/ICF247370-GMB253374-25apdifa2k0pg0000000/SIG-20250629_2334ihedj.jpeg", "SIG-20250629_2334ihedj.jpeg")</f>
        <v>SIG-20250629_2334ihedj.jpeg</v>
      </c>
      <c r="AV61" t="str">
        <f>HYPERLINK("https://www.google.com/maps/place/7.9777632%2C-11.7408165", "7.9777632,-11.7408165")</f>
        <v>7.9777632,-11.7408165</v>
      </c>
    </row>
    <row r="62">
      <c r="A62" t="s">
        <v>429</v>
      </c>
      <c r="B62" t="s">
        <v>46</v>
      </c>
      <c r="C62" t="s">
        <v>430</v>
      </c>
      <c r="D62" t="s">
        <v>431</v>
      </c>
      <c r="E62" t="s">
        <v>432</v>
      </c>
      <c r="F62" t="s">
        <v>64</v>
      </c>
      <c r="G62">
        <v>500</v>
      </c>
      <c r="H62" t="s">
        <v>50</v>
      </c>
      <c r="I62">
        <v>100</v>
      </c>
      <c r="J62">
        <v>60</v>
      </c>
      <c r="K62">
        <v>60</v>
      </c>
      <c r="L62">
        <v>40</v>
      </c>
      <c r="M62">
        <v>40</v>
      </c>
      <c r="N62" t="s">
        <v>51</v>
      </c>
      <c r="O62">
        <v>80</v>
      </c>
      <c r="P62">
        <v>45</v>
      </c>
      <c r="Q62">
        <v>45</v>
      </c>
      <c r="R62">
        <v>35</v>
      </c>
      <c r="S62">
        <v>33</v>
      </c>
      <c r="T62" t="s">
        <v>52</v>
      </c>
      <c r="U62">
        <v>120</v>
      </c>
      <c r="V62">
        <v>50</v>
      </c>
      <c r="W62">
        <v>50</v>
      </c>
      <c r="X62">
        <v>70</v>
      </c>
      <c r="Y62">
        <v>67</v>
      </c>
      <c r="Z62" t="s">
        <v>53</v>
      </c>
      <c r="AA62">
        <v>100</v>
      </c>
      <c r="AB62">
        <v>40</v>
      </c>
      <c r="AC62">
        <v>40</v>
      </c>
      <c r="AD62">
        <v>60</v>
      </c>
      <c r="AE62">
        <v>60</v>
      </c>
      <c r="AF62" t="s">
        <v>54</v>
      </c>
      <c r="AG62">
        <v>100</v>
      </c>
      <c r="AH62">
        <v>70</v>
      </c>
      <c r="AI62">
        <v>70</v>
      </c>
      <c r="AJ62">
        <v>30</v>
      </c>
      <c r="AK62">
        <v>30</v>
      </c>
      <c r="AL62">
        <v>495</v>
      </c>
      <c r="AM62">
        <v>5</v>
      </c>
      <c r="AN62" t="s">
        <v>55</v>
      </c>
      <c r="AO62" t="s">
        <v>55</v>
      </c>
      <c r="AP62" t="s">
        <v>433</v>
      </c>
      <c r="AQ62" t="str">
        <f>HYPERLINK("https://icf.clappia.com/app/GMB253374/submission/OJU22103975/ICF247370-GMB253374-2p5ej57ekcb000000000/SIG-20250629_2322171kej.jpeg", "SIG-20250629_2322171kej.jpeg")</f>
        <v>SIG-20250629_2322171kej.jpeg</v>
      </c>
      <c r="AR62" t="s">
        <v>434</v>
      </c>
      <c r="AS62" t="str">
        <f>HYPERLINK("https://icf.clappia.com/app/GMB253374/submission/OJU22103975/ICF247370-GMB253374-h5m52e4l4kpm0000000/SIG-20250629_23222m9g8.jpeg", "SIG-20250629_23222m9g8.jpeg")</f>
        <v>SIG-20250629_23222m9g8.jpeg</v>
      </c>
      <c r="AT62" t="s">
        <v>435</v>
      </c>
      <c r="AU62" t="str">
        <f>HYPERLINK("https://icf.clappia.com/app/GMB253374/submission/OJU22103975/ICF247370-GMB253374-6b9dh829kifi00000000/SIG-20250629_232378ag8.jpeg", "SIG-20250629_232378ag8.jpeg")</f>
        <v>SIG-20250629_232378ag8.jpeg</v>
      </c>
      <c r="AV62" t="str">
        <f>HYPERLINK("https://www.google.com/maps/place/8.9131943%2C-12.0345225", "8.9131943,-12.0345225")</f>
        <v>8.9131943,-12.0345225</v>
      </c>
    </row>
    <row r="63">
      <c r="A63" t="s">
        <v>436</v>
      </c>
      <c r="B63" t="s">
        <v>46</v>
      </c>
      <c r="C63" t="s">
        <v>437</v>
      </c>
      <c r="D63" t="s">
        <v>438</v>
      </c>
      <c r="E63" t="s">
        <v>439</v>
      </c>
      <c r="F63" t="s">
        <v>64</v>
      </c>
      <c r="G63">
        <v>500</v>
      </c>
      <c r="H63" t="s">
        <v>50</v>
      </c>
      <c r="I63">
        <v>100</v>
      </c>
      <c r="J63">
        <v>50</v>
      </c>
      <c r="K63">
        <v>50</v>
      </c>
      <c r="L63">
        <v>50</v>
      </c>
      <c r="M63">
        <v>50</v>
      </c>
      <c r="N63" t="s">
        <v>51</v>
      </c>
      <c r="O63">
        <v>120</v>
      </c>
      <c r="P63">
        <v>60</v>
      </c>
      <c r="Q63">
        <v>55</v>
      </c>
      <c r="R63">
        <v>60</v>
      </c>
      <c r="S63">
        <v>60</v>
      </c>
      <c r="T63" t="s">
        <v>52</v>
      </c>
      <c r="U63">
        <v>80</v>
      </c>
      <c r="V63">
        <v>30</v>
      </c>
      <c r="W63">
        <v>30</v>
      </c>
      <c r="X63">
        <v>50</v>
      </c>
      <c r="Y63">
        <v>50</v>
      </c>
      <c r="Z63" t="s">
        <v>53</v>
      </c>
      <c r="AA63">
        <v>100</v>
      </c>
      <c r="AB63">
        <v>40</v>
      </c>
      <c r="AC63">
        <v>40</v>
      </c>
      <c r="AD63">
        <v>60</v>
      </c>
      <c r="AE63">
        <v>60</v>
      </c>
      <c r="AF63" t="s">
        <v>54</v>
      </c>
      <c r="AG63">
        <v>100</v>
      </c>
      <c r="AH63">
        <v>30</v>
      </c>
      <c r="AI63">
        <v>30</v>
      </c>
      <c r="AJ63">
        <v>70</v>
      </c>
      <c r="AK63">
        <v>70</v>
      </c>
      <c r="AL63">
        <v>495</v>
      </c>
      <c r="AM63">
        <v>5</v>
      </c>
      <c r="AN63" t="s">
        <v>55</v>
      </c>
      <c r="AO63" t="s">
        <v>55</v>
      </c>
      <c r="AP63" t="s">
        <v>440</v>
      </c>
      <c r="AQ63" t="str">
        <f>HYPERLINK("https://icf.clappia.com/app/GMB253374/submission/AVA76835465/ICF247370-GMB253374-29nfdd5lpdji80000000/SIG-20250629_22588221e.jpeg", "SIG-20250629_22588221e.jpeg")</f>
        <v>SIG-20250629_22588221e.jpeg</v>
      </c>
      <c r="AR63" t="s">
        <v>407</v>
      </c>
      <c r="AS63" t="str">
        <f>HYPERLINK("https://icf.clappia.com/app/GMB253374/submission/AVA76835465/ICF247370-GMB253374-k7acd7n1pac80000000/SIG-20250629_22595jak7.jpeg", "SIG-20250629_22595jak7.jpeg")</f>
        <v>SIG-20250629_22595jak7.jpeg</v>
      </c>
      <c r="AT63" t="s">
        <v>441</v>
      </c>
      <c r="AU63" t="str">
        <f>HYPERLINK("https://icf.clappia.com/app/GMB253374/submission/AVA76835465/ICF247370-GMB253374-41edlh3dl7fa00000000/SIG-20250629_2259ha18k.jpeg", "SIG-20250629_2259ha18k.jpeg")</f>
        <v>SIG-20250629_2259ha18k.jpeg</v>
      </c>
      <c r="AV63" t="str">
        <f>HYPERLINK("https://www.google.com/maps/place/8.9095171%2C-12.0330948", "8.9095171,-12.0330948")</f>
        <v>8.9095171,-12.0330948</v>
      </c>
    </row>
    <row r="64">
      <c r="A64" t="s">
        <v>442</v>
      </c>
      <c r="B64" t="s">
        <v>46</v>
      </c>
      <c r="C64" t="s">
        <v>443</v>
      </c>
      <c r="D64" t="s">
        <v>444</v>
      </c>
      <c r="E64" t="s">
        <v>445</v>
      </c>
      <c r="F64" t="s">
        <v>64</v>
      </c>
      <c r="G64">
        <v>500</v>
      </c>
      <c r="H64" t="s">
        <v>50</v>
      </c>
      <c r="I64">
        <v>100</v>
      </c>
      <c r="J64">
        <v>40</v>
      </c>
      <c r="K64">
        <v>40</v>
      </c>
      <c r="L64">
        <v>60</v>
      </c>
      <c r="M64">
        <v>55</v>
      </c>
      <c r="N64" t="s">
        <v>51</v>
      </c>
      <c r="O64">
        <v>80</v>
      </c>
      <c r="P64">
        <v>30</v>
      </c>
      <c r="Q64">
        <v>30</v>
      </c>
      <c r="R64">
        <v>50</v>
      </c>
      <c r="S64">
        <v>50</v>
      </c>
      <c r="T64" t="s">
        <v>52</v>
      </c>
      <c r="U64">
        <v>100</v>
      </c>
      <c r="V64">
        <v>60</v>
      </c>
      <c r="W64">
        <v>60</v>
      </c>
      <c r="X64">
        <v>40</v>
      </c>
      <c r="Y64">
        <v>40</v>
      </c>
      <c r="Z64" t="s">
        <v>53</v>
      </c>
      <c r="AA64">
        <v>70</v>
      </c>
      <c r="AB64">
        <v>35</v>
      </c>
      <c r="AC64">
        <v>35</v>
      </c>
      <c r="AD64">
        <v>35</v>
      </c>
      <c r="AE64">
        <v>35</v>
      </c>
      <c r="AF64" t="s">
        <v>54</v>
      </c>
      <c r="AG64">
        <v>120</v>
      </c>
      <c r="AH64">
        <v>50</v>
      </c>
      <c r="AI64">
        <v>50</v>
      </c>
      <c r="AJ64">
        <v>70</v>
      </c>
      <c r="AK64">
        <v>70</v>
      </c>
      <c r="AL64">
        <v>465</v>
      </c>
      <c r="AM64">
        <v>5</v>
      </c>
      <c r="AN64">
        <v>30</v>
      </c>
      <c r="AO64">
        <v>5</v>
      </c>
      <c r="AP64" t="s">
        <v>446</v>
      </c>
      <c r="AQ64" t="str">
        <f>HYPERLINK("https://icf.clappia.com/app/GMB253374/submission/OPD18026172/ICF247370-GMB253374-1mok3p321d5i00000000/SIG-20250629_22498nfbh.jpeg", "SIG-20250629_22498nfbh.jpeg")</f>
        <v>SIG-20250629_22498nfbh.jpeg</v>
      </c>
      <c r="AR64" t="s">
        <v>447</v>
      </c>
      <c r="AS64" t="str">
        <f>HYPERLINK("https://icf.clappia.com/app/GMB253374/submission/OPD18026172/ICF247370-GMB253374-2o2e1agko4oo00000000/SIG-20250629_22491109pn.jpeg", "SIG-20250629_22491109pn.jpeg")</f>
        <v>SIG-20250629_22491109pn.jpeg</v>
      </c>
      <c r="AT64" t="s">
        <v>448</v>
      </c>
      <c r="AU64" t="str">
        <f>HYPERLINK("https://icf.clappia.com/app/GMB253374/submission/OPD18026172/ICF247370-GMB253374-2dlgh2kl8c2000000000/SIG-20250629_2250k42lk.jpeg", "SIG-20250629_2250k42lk.jpeg")</f>
        <v>SIG-20250629_2250k42lk.jpeg</v>
      </c>
      <c r="AV64" t="str">
        <f>HYPERLINK("https://www.google.com/maps/place/8.9095171%2C-12.0330948", "8.9095171,-12.0330948")</f>
        <v>8.9095171,-12.0330948</v>
      </c>
    </row>
    <row r="65">
      <c r="A65" t="s">
        <v>449</v>
      </c>
      <c r="B65" t="s">
        <v>46</v>
      </c>
      <c r="C65" t="s">
        <v>450</v>
      </c>
      <c r="D65" t="s">
        <v>450</v>
      </c>
      <c r="E65" t="s">
        <v>451</v>
      </c>
      <c r="F65" t="s">
        <v>64</v>
      </c>
      <c r="G65">
        <v>300</v>
      </c>
      <c r="H65" t="s">
        <v>50</v>
      </c>
      <c r="I65">
        <v>30</v>
      </c>
      <c r="J65">
        <v>15</v>
      </c>
      <c r="K65">
        <v>15</v>
      </c>
      <c r="L65">
        <v>15</v>
      </c>
      <c r="M65">
        <v>15</v>
      </c>
      <c r="N65" t="s">
        <v>51</v>
      </c>
      <c r="O65">
        <v>50</v>
      </c>
      <c r="P65">
        <v>30</v>
      </c>
      <c r="Q65">
        <v>30</v>
      </c>
      <c r="R65">
        <v>20</v>
      </c>
      <c r="S65">
        <v>20</v>
      </c>
      <c r="T65" t="s">
        <v>52</v>
      </c>
      <c r="U65">
        <v>70</v>
      </c>
      <c r="V65">
        <v>50</v>
      </c>
      <c r="W65">
        <v>50</v>
      </c>
      <c r="X65">
        <v>20</v>
      </c>
      <c r="Y65">
        <v>20</v>
      </c>
      <c r="Z65" t="s">
        <v>53</v>
      </c>
      <c r="AA65">
        <v>45</v>
      </c>
      <c r="AB65">
        <v>15</v>
      </c>
      <c r="AC65">
        <v>15</v>
      </c>
      <c r="AD65">
        <v>30</v>
      </c>
      <c r="AE65">
        <v>30</v>
      </c>
      <c r="AF65" t="s">
        <v>54</v>
      </c>
      <c r="AG65">
        <v>80</v>
      </c>
      <c r="AH65">
        <v>35</v>
      </c>
      <c r="AI65">
        <v>35</v>
      </c>
      <c r="AJ65">
        <v>45</v>
      </c>
      <c r="AK65">
        <v>45</v>
      </c>
      <c r="AL65">
        <v>275</v>
      </c>
      <c r="AM65" t="s">
        <v>55</v>
      </c>
      <c r="AN65">
        <v>25</v>
      </c>
      <c r="AO65">
        <v>25</v>
      </c>
      <c r="AP65" t="s">
        <v>452</v>
      </c>
      <c r="AQ65" t="str">
        <f>HYPERLINK("https://icf.clappia.com/app/GMB253374/submission/HHK34332895/ICF247370-GMB253374-3233lmag331a00000000/SIG-20250626_1638j3hh2.jpeg", "SIG-20250626_1638j3hh2.jpeg")</f>
        <v>SIG-20250626_1638j3hh2.jpeg</v>
      </c>
      <c r="AR65" t="s">
        <v>453</v>
      </c>
      <c r="AS65" t="str">
        <f>HYPERLINK("https://icf.clappia.com/app/GMB253374/submission/HHK34332895/ICF247370-GMB253374-9ld616dn2ocg0000000/SIG-20250629_2106i1p3f.jpeg", "SIG-20250629_2106i1p3f.jpeg")</f>
        <v>SIG-20250629_2106i1p3f.jpeg</v>
      </c>
      <c r="AT65" t="s">
        <v>454</v>
      </c>
      <c r="AU65" t="str">
        <f>HYPERLINK("https://icf.clappia.com/app/GMB253374/submission/HHK34332895/ICF247370-GMB253374-1ig4cm5d06i2k0000000/SIG-20250629_2106bkbo.jpeg", "SIG-20250629_2106bkbo.jpeg")</f>
        <v>SIG-20250629_2106bkbo.jpeg</v>
      </c>
      <c r="AV65" t="str">
        <f>HYPERLINK("https://www.google.com/maps/place/8.912167%2C-12.0348794", "8.912167,-12.0348794")</f>
        <v>8.912167,-12.0348794</v>
      </c>
    </row>
    <row r="66">
      <c r="A66" t="s">
        <v>455</v>
      </c>
      <c r="B66" t="s">
        <v>46</v>
      </c>
      <c r="C66" t="s">
        <v>456</v>
      </c>
      <c r="D66" t="s">
        <v>457</v>
      </c>
      <c r="E66" t="s">
        <v>458</v>
      </c>
      <c r="F66" t="s">
        <v>64</v>
      </c>
      <c r="G66">
        <v>300</v>
      </c>
      <c r="H66" t="s">
        <v>50</v>
      </c>
      <c r="I66">
        <v>70</v>
      </c>
      <c r="J66">
        <v>35</v>
      </c>
      <c r="K66">
        <v>35</v>
      </c>
      <c r="L66">
        <v>35</v>
      </c>
      <c r="M66">
        <v>35</v>
      </c>
      <c r="N66" t="s">
        <v>51</v>
      </c>
      <c r="O66">
        <v>50</v>
      </c>
      <c r="P66">
        <v>25</v>
      </c>
      <c r="Q66">
        <v>25</v>
      </c>
      <c r="R66">
        <v>25</v>
      </c>
      <c r="S66">
        <v>25</v>
      </c>
      <c r="T66" t="s">
        <v>52</v>
      </c>
      <c r="U66">
        <v>30</v>
      </c>
      <c r="V66">
        <v>14</v>
      </c>
      <c r="W66">
        <v>14</v>
      </c>
      <c r="X66">
        <v>16</v>
      </c>
      <c r="Y66">
        <v>16</v>
      </c>
      <c r="Z66" t="s">
        <v>53</v>
      </c>
      <c r="AA66">
        <v>40</v>
      </c>
      <c r="AB66">
        <v>20</v>
      </c>
      <c r="AC66">
        <v>20</v>
      </c>
      <c r="AD66">
        <v>20</v>
      </c>
      <c r="AE66">
        <v>20</v>
      </c>
      <c r="AF66" t="s">
        <v>54</v>
      </c>
      <c r="AG66">
        <v>34</v>
      </c>
      <c r="AH66">
        <v>14</v>
      </c>
      <c r="AI66">
        <v>14</v>
      </c>
      <c r="AJ66">
        <v>20</v>
      </c>
      <c r="AK66">
        <v>20</v>
      </c>
      <c r="AL66">
        <v>224</v>
      </c>
      <c r="AM66" t="s">
        <v>55</v>
      </c>
      <c r="AN66">
        <v>76</v>
      </c>
      <c r="AO66">
        <v>76</v>
      </c>
      <c r="AP66" t="s">
        <v>459</v>
      </c>
      <c r="AQ66" t="str">
        <f>HYPERLINK("https://icf.clappia.com/app/GMB253374/submission/ECC57364881/ICF247370-GMB253374-57e719hk8eje00000000/SIG-20250626_1637295ni.jpeg", "SIG-20250626_1637295ni.jpeg")</f>
        <v>SIG-20250626_1637295ni.jpeg</v>
      </c>
      <c r="AR66" t="s">
        <v>459</v>
      </c>
      <c r="AS66" t="str">
        <f>HYPERLINK("https://icf.clappia.com/app/GMB253374/submission/ECC57364881/ICF247370-GMB253374-39bicpmipbo800000000/SIG-20250626_1637g47gi.jpeg", "SIG-20250626_1637g47gi.jpeg")</f>
        <v>SIG-20250626_1637g47gi.jpeg</v>
      </c>
      <c r="AT66" t="s">
        <v>460</v>
      </c>
      <c r="AU66" t="str">
        <f>HYPERLINK("https://icf.clappia.com/app/GMB253374/submission/ECC57364881/ICF247370-GMB253374-3fbobfc288ci00000000/SIG-20250626_16375amb5.jpeg", "SIG-20250626_16375amb5.jpeg")</f>
        <v>SIG-20250626_16375amb5.jpeg</v>
      </c>
      <c r="AV66" t="str">
        <f>HYPERLINK("https://www.google.com/maps/place/8.865565%2C-12.0500171", "8.865565,-12.0500171")</f>
        <v>8.865565,-12.0500171</v>
      </c>
    </row>
    <row r="67">
      <c r="A67" t="s">
        <v>461</v>
      </c>
      <c r="B67" t="s">
        <v>46</v>
      </c>
      <c r="C67" t="s">
        <v>462</v>
      </c>
      <c r="D67" t="s">
        <v>463</v>
      </c>
      <c r="E67" t="s">
        <v>464</v>
      </c>
      <c r="F67" t="s">
        <v>64</v>
      </c>
      <c r="G67">
        <v>300</v>
      </c>
      <c r="H67" t="s">
        <v>50</v>
      </c>
      <c r="I67">
        <v>95</v>
      </c>
      <c r="J67">
        <v>50</v>
      </c>
      <c r="K67">
        <v>50</v>
      </c>
      <c r="L67">
        <v>45</v>
      </c>
      <c r="M67">
        <v>45</v>
      </c>
      <c r="N67" t="s">
        <v>51</v>
      </c>
      <c r="O67">
        <v>60</v>
      </c>
      <c r="P67">
        <v>25</v>
      </c>
      <c r="Q67">
        <v>25</v>
      </c>
      <c r="R67">
        <v>35</v>
      </c>
      <c r="S67">
        <v>35</v>
      </c>
      <c r="T67" t="s">
        <v>52</v>
      </c>
      <c r="U67">
        <v>50</v>
      </c>
      <c r="V67">
        <v>25</v>
      </c>
      <c r="W67">
        <v>25</v>
      </c>
      <c r="X67">
        <v>25</v>
      </c>
      <c r="Y67">
        <v>25</v>
      </c>
      <c r="Z67" t="s">
        <v>53</v>
      </c>
      <c r="AA67">
        <v>34</v>
      </c>
      <c r="AB67">
        <v>17</v>
      </c>
      <c r="AC67">
        <v>17</v>
      </c>
      <c r="AD67">
        <v>17</v>
      </c>
      <c r="AE67">
        <v>17</v>
      </c>
      <c r="AF67" t="s">
        <v>54</v>
      </c>
      <c r="AG67">
        <v>35</v>
      </c>
      <c r="AH67">
        <v>17</v>
      </c>
      <c r="AI67">
        <v>17</v>
      </c>
      <c r="AJ67">
        <v>18</v>
      </c>
      <c r="AK67">
        <v>18</v>
      </c>
      <c r="AL67">
        <v>274</v>
      </c>
      <c r="AM67" t="s">
        <v>55</v>
      </c>
      <c r="AN67">
        <v>26</v>
      </c>
      <c r="AO67">
        <v>26</v>
      </c>
      <c r="AP67" t="s">
        <v>459</v>
      </c>
      <c r="AQ67" t="str">
        <f>HYPERLINK("https://icf.clappia.com/app/GMB253374/submission/SUM89873295/ICF247370-GMB253374-ohbk46giod920000000/SIG-20250626_1618e852o.jpeg", "SIG-20250626_1618e852o.jpeg")</f>
        <v>SIG-20250626_1618e852o.jpeg</v>
      </c>
      <c r="AR67" t="s">
        <v>459</v>
      </c>
      <c r="AS67" t="str">
        <f>HYPERLINK("https://icf.clappia.com/app/GMB253374/submission/SUM89873295/ICF247370-GMB253374-4fmh31d8nf5200000000/SIG-20250626_16181a29pd.jpeg", "SIG-20250626_16181a29pd.jpeg")</f>
        <v>SIG-20250626_16181a29pd.jpeg</v>
      </c>
      <c r="AT67" t="s">
        <v>465</v>
      </c>
      <c r="AU67" t="str">
        <f>HYPERLINK("https://icf.clappia.com/app/GMB253374/submission/SUM89873295/ICF247370-GMB253374-1417gp4oeo2f20000000/SIG-20250626_161919n16l.jpeg", "SIG-20250626_161919n16l.jpeg")</f>
        <v>SIG-20250626_161919n16l.jpeg</v>
      </c>
      <c r="AV67" t="str">
        <f>HYPERLINK("https://www.google.com/maps/place/8.8655231%2C-12.0498224", "8.8655231,-12.0498224")</f>
        <v>8.8655231,-12.0498224</v>
      </c>
    </row>
    <row r="68">
      <c r="A68" t="s">
        <v>466</v>
      </c>
      <c r="B68" t="s">
        <v>46</v>
      </c>
      <c r="C68" t="s">
        <v>467</v>
      </c>
      <c r="D68" t="s">
        <v>468</v>
      </c>
      <c r="E68" t="s">
        <v>469</v>
      </c>
      <c r="F68" t="s">
        <v>49</v>
      </c>
      <c r="G68">
        <v>300</v>
      </c>
      <c r="H68" t="s">
        <v>50</v>
      </c>
      <c r="I68">
        <v>45</v>
      </c>
      <c r="J68">
        <v>25</v>
      </c>
      <c r="K68">
        <v>25</v>
      </c>
      <c r="L68">
        <v>20</v>
      </c>
      <c r="M68">
        <v>20</v>
      </c>
      <c r="N68" t="s">
        <v>51</v>
      </c>
      <c r="O68">
        <v>30</v>
      </c>
      <c r="P68">
        <v>18</v>
      </c>
      <c r="Q68">
        <v>18</v>
      </c>
      <c r="R68">
        <v>12</v>
      </c>
      <c r="S68">
        <v>12</v>
      </c>
      <c r="T68" t="s">
        <v>52</v>
      </c>
      <c r="U68">
        <v>20</v>
      </c>
      <c r="V68">
        <v>9</v>
      </c>
      <c r="W68">
        <v>9</v>
      </c>
      <c r="X68">
        <v>11</v>
      </c>
      <c r="Y68">
        <v>11</v>
      </c>
      <c r="Z68" t="s">
        <v>53</v>
      </c>
      <c r="AA68">
        <v>20</v>
      </c>
      <c r="AB68">
        <v>12</v>
      </c>
      <c r="AC68">
        <v>12</v>
      </c>
      <c r="AD68">
        <v>8</v>
      </c>
      <c r="AE68">
        <v>8</v>
      </c>
      <c r="AF68" t="s">
        <v>54</v>
      </c>
      <c r="AG68">
        <v>30</v>
      </c>
      <c r="AH68">
        <v>20</v>
      </c>
      <c r="AI68">
        <v>20</v>
      </c>
      <c r="AJ68">
        <v>10</v>
      </c>
      <c r="AK68">
        <v>10</v>
      </c>
      <c r="AL68">
        <v>145</v>
      </c>
      <c r="AM68">
        <v>10</v>
      </c>
      <c r="AN68">
        <v>145</v>
      </c>
      <c r="AO68">
        <v>145</v>
      </c>
      <c r="AP68" t="s">
        <v>470</v>
      </c>
      <c r="AQ68" t="str">
        <f>HYPERLINK("https://icf.clappia.com/app/GMB253374/submission/POD20490845/ICF247370-GMB253374-69lgdbhmgofm00000000/SIG-20250626_1638k5b5g.jpeg", "SIG-20250626_1638k5b5g.jpeg")</f>
        <v>SIG-20250626_1638k5b5g.jpeg</v>
      </c>
      <c r="AR68" t="s">
        <v>471</v>
      </c>
      <c r="AS68" t="str">
        <f>HYPERLINK("https://icf.clappia.com/app/GMB253374/submission/POD20490845/ICF247370-GMB253374-66bcfpe581a000000000/SIG-20250626_163883136.jpeg", "SIG-20250626_163883136.jpeg")</f>
        <v>SIG-20250626_163883136.jpeg</v>
      </c>
      <c r="AT68" t="s">
        <v>472</v>
      </c>
      <c r="AU68" t="str">
        <f>HYPERLINK("https://icf.clappia.com/app/GMB253374/submission/POD20490845/ICF247370-GMB253374-571l5fgi8l4400000000/SIG-20250626_163915cf5o.jpeg", "SIG-20250626_163915cf5o.jpeg")</f>
        <v>SIG-20250626_163915cf5o.jpeg</v>
      </c>
      <c r="AV68" t="str">
        <f>HYPERLINK("https://www.google.com/maps/place/8.8654983%2C-12.0496833", "8.8654983,-12.0496833")</f>
        <v>8.8654983,-12.0496833</v>
      </c>
    </row>
    <row r="69">
      <c r="A69" t="s">
        <v>473</v>
      </c>
      <c r="B69" t="s">
        <v>46</v>
      </c>
      <c r="C69" t="s">
        <v>474</v>
      </c>
      <c r="D69" t="s">
        <v>475</v>
      </c>
      <c r="E69" t="s">
        <v>476</v>
      </c>
      <c r="F69" t="s">
        <v>64</v>
      </c>
      <c r="G69">
        <v>250</v>
      </c>
      <c r="H69" t="s">
        <v>50</v>
      </c>
      <c r="I69">
        <v>20</v>
      </c>
      <c r="J69">
        <v>10</v>
      </c>
      <c r="K69">
        <v>10</v>
      </c>
      <c r="L69">
        <v>10</v>
      </c>
      <c r="M69">
        <v>10</v>
      </c>
      <c r="N69" t="s">
        <v>51</v>
      </c>
      <c r="O69">
        <v>30</v>
      </c>
      <c r="P69">
        <v>20</v>
      </c>
      <c r="Q69">
        <v>20</v>
      </c>
      <c r="R69">
        <v>10</v>
      </c>
      <c r="S69">
        <v>10</v>
      </c>
      <c r="T69" t="s">
        <v>52</v>
      </c>
      <c r="U69">
        <v>30</v>
      </c>
      <c r="V69">
        <v>15</v>
      </c>
      <c r="W69">
        <v>15</v>
      </c>
      <c r="X69">
        <v>15</v>
      </c>
      <c r="Y69">
        <v>15</v>
      </c>
      <c r="Z69" t="s">
        <v>53</v>
      </c>
      <c r="AA69">
        <v>50</v>
      </c>
      <c r="AB69">
        <v>30</v>
      </c>
      <c r="AC69">
        <v>30</v>
      </c>
      <c r="AD69">
        <v>20</v>
      </c>
      <c r="AE69">
        <v>20</v>
      </c>
      <c r="AF69" t="s">
        <v>54</v>
      </c>
      <c r="AG69">
        <v>20</v>
      </c>
      <c r="AH69">
        <v>10</v>
      </c>
      <c r="AI69">
        <v>10</v>
      </c>
      <c r="AJ69">
        <v>10</v>
      </c>
      <c r="AK69">
        <v>10</v>
      </c>
      <c r="AL69">
        <v>150</v>
      </c>
      <c r="AM69">
        <v>8</v>
      </c>
      <c r="AN69">
        <v>92</v>
      </c>
      <c r="AO69">
        <v>92</v>
      </c>
      <c r="AP69" t="s">
        <v>471</v>
      </c>
      <c r="AQ69" t="str">
        <f>HYPERLINK("https://icf.clappia.com/app/GMB253374/submission/FAM47558271/ICF247370-GMB253374-134l3fb1m3o4g0000000/SIG-20250626_1614bl585.jpeg", "SIG-20250626_1614bl585.jpeg")</f>
        <v>SIG-20250626_1614bl585.jpeg</v>
      </c>
      <c r="AR69" t="s">
        <v>477</v>
      </c>
      <c r="AS69" t="str">
        <f>HYPERLINK("https://icf.clappia.com/app/GMB253374/submission/FAM47558271/ICF247370-GMB253374-k9lg98pbcoog000000/SIG-20250626_161413122p.jpeg", "SIG-20250626_161413122p.jpeg")</f>
        <v>SIG-20250626_161413122p.jpeg</v>
      </c>
      <c r="AT69" t="s">
        <v>478</v>
      </c>
      <c r="AU69" t="str">
        <f>HYPERLINK("https://icf.clappia.com/app/GMB253374/submission/FAM47558271/ICF247370-GMB253374-5eclflpbjkkg00000000/SIG-20250626_1614l7p0h.jpeg", "SIG-20250626_1614l7p0h.jpeg")</f>
        <v>SIG-20250626_1614l7p0h.jpeg</v>
      </c>
      <c r="AV69" t="str">
        <f>HYPERLINK("https://www.google.com/maps/place/8.8655019%2C-12.0499096", "8.8655019,-12.0499096")</f>
        <v>8.8655019,-12.0499096</v>
      </c>
    </row>
    <row r="70">
      <c r="A70" t="s">
        <v>479</v>
      </c>
      <c r="B70" t="s">
        <v>46</v>
      </c>
      <c r="C70" t="s">
        <v>361</v>
      </c>
      <c r="D70" t="s">
        <v>480</v>
      </c>
      <c r="E70" t="s">
        <v>481</v>
      </c>
      <c r="F70" t="s">
        <v>64</v>
      </c>
      <c r="G70">
        <v>250</v>
      </c>
      <c r="H70" t="s">
        <v>50</v>
      </c>
      <c r="I70">
        <v>50</v>
      </c>
      <c r="J70">
        <v>25</v>
      </c>
      <c r="K70">
        <v>25</v>
      </c>
      <c r="L70">
        <v>25</v>
      </c>
      <c r="M70">
        <v>25</v>
      </c>
      <c r="N70" t="s">
        <v>51</v>
      </c>
      <c r="O70">
        <v>100</v>
      </c>
      <c r="P70">
        <v>50</v>
      </c>
      <c r="Q70">
        <v>50</v>
      </c>
      <c r="R70">
        <v>50</v>
      </c>
      <c r="S70">
        <v>50</v>
      </c>
      <c r="T70" t="s">
        <v>52</v>
      </c>
      <c r="U70">
        <v>30</v>
      </c>
      <c r="V70">
        <v>15</v>
      </c>
      <c r="W70">
        <v>15</v>
      </c>
      <c r="X70">
        <v>15</v>
      </c>
      <c r="Y70">
        <v>15</v>
      </c>
      <c r="Z70" t="s">
        <v>53</v>
      </c>
      <c r="AA70">
        <v>45</v>
      </c>
      <c r="AB70">
        <v>10</v>
      </c>
      <c r="AC70">
        <v>10</v>
      </c>
      <c r="AD70">
        <v>15</v>
      </c>
      <c r="AE70">
        <v>15</v>
      </c>
      <c r="AF70" t="s">
        <v>54</v>
      </c>
      <c r="AG70">
        <v>25</v>
      </c>
      <c r="AH70">
        <v>10</v>
      </c>
      <c r="AI70">
        <v>10</v>
      </c>
      <c r="AJ70">
        <v>10</v>
      </c>
      <c r="AK70">
        <v>10</v>
      </c>
      <c r="AL70">
        <v>225</v>
      </c>
      <c r="AM70">
        <v>10</v>
      </c>
      <c r="AN70">
        <v>15</v>
      </c>
      <c r="AO70">
        <v>15</v>
      </c>
      <c r="AP70" t="s">
        <v>482</v>
      </c>
      <c r="AQ70" t="str">
        <f>HYPERLINK("https://icf.clappia.com/app/GMB253374/submission/ZYN23200169/ICF247370-GMB253374-k871mfnb0o000000000/SIG-20250626_16213p4mb.jpeg", "SIG-20250626_16213p4mb.jpeg")</f>
        <v>SIG-20250626_16213p4mb.jpeg</v>
      </c>
      <c r="AR70" t="s">
        <v>118</v>
      </c>
      <c r="AS70" t="str">
        <f>HYPERLINK("https://icf.clappia.com/app/GMB253374/submission/ZYN23200169/ICF247370-GMB253374-53ehmofm48fa00000000/SIG-20250626_16225e37c.jpeg", "SIG-20250626_16225e37c.jpeg")</f>
        <v>SIG-20250626_16225e37c.jpeg</v>
      </c>
      <c r="AT70" t="s">
        <v>483</v>
      </c>
      <c r="AU70" t="str">
        <f>HYPERLINK("https://icf.clappia.com/app/GMB253374/submission/ZYN23200169/ICF247370-GMB253374-4iinioon5o1i00000000/SIG-20250626_1622gp7c7.jpeg", "SIG-20250626_1622gp7c7.jpeg")</f>
        <v>SIG-20250626_1622gp7c7.jpeg</v>
      </c>
      <c r="AV70" t="str">
        <f>HYPERLINK("https://www.google.com/maps/place/8.8714748%2C-12.0477297", "8.8714748,-12.0477297")</f>
        <v>8.8714748,-12.0477297</v>
      </c>
    </row>
    <row r="71">
      <c r="A71" t="s">
        <v>484</v>
      </c>
      <c r="B71" t="s">
        <v>46</v>
      </c>
      <c r="C71" t="s">
        <v>348</v>
      </c>
      <c r="D71" t="s">
        <v>485</v>
      </c>
      <c r="E71">
        <v>14644023</v>
      </c>
      <c r="F71" t="s">
        <v>64</v>
      </c>
      <c r="G71">
        <v>250</v>
      </c>
      <c r="H71" t="s">
        <v>50</v>
      </c>
      <c r="I71">
        <v>48</v>
      </c>
      <c r="J71">
        <v>20</v>
      </c>
      <c r="K71">
        <v>20</v>
      </c>
      <c r="L71">
        <v>28</v>
      </c>
      <c r="M71">
        <v>28</v>
      </c>
      <c r="N71" t="s">
        <v>51</v>
      </c>
      <c r="O71">
        <v>48</v>
      </c>
      <c r="P71">
        <v>28</v>
      </c>
      <c r="Q71">
        <v>28</v>
      </c>
      <c r="R71">
        <v>20</v>
      </c>
      <c r="S71">
        <v>20</v>
      </c>
      <c r="T71" t="s">
        <v>52</v>
      </c>
      <c r="U71">
        <v>48</v>
      </c>
      <c r="V71">
        <v>24</v>
      </c>
      <c r="W71">
        <v>24</v>
      </c>
      <c r="X71">
        <v>24</v>
      </c>
      <c r="Y71">
        <v>24</v>
      </c>
      <c r="Z71" t="s">
        <v>53</v>
      </c>
      <c r="AA71">
        <v>48</v>
      </c>
      <c r="AB71">
        <v>20</v>
      </c>
      <c r="AC71">
        <v>20</v>
      </c>
      <c r="AD71">
        <v>28</v>
      </c>
      <c r="AE71">
        <v>20</v>
      </c>
      <c r="AF71" t="s">
        <v>54</v>
      </c>
      <c r="AG71">
        <v>48</v>
      </c>
      <c r="AH71">
        <v>28</v>
      </c>
      <c r="AI71">
        <v>28</v>
      </c>
      <c r="AJ71">
        <v>20</v>
      </c>
      <c r="AK71">
        <v>20</v>
      </c>
      <c r="AL71">
        <v>232</v>
      </c>
      <c r="AM71">
        <v>8</v>
      </c>
      <c r="AN71">
        <v>10</v>
      </c>
      <c r="AO71">
        <v>10</v>
      </c>
      <c r="AP71" t="s">
        <v>486</v>
      </c>
      <c r="AQ71" t="str">
        <f>HYPERLINK("https://icf.clappia.com/app/GMB253374/submission/RBN84256299/ICF247370-GMB253374-7gacmkeaede80000000/SIG-20250626_1638c60ah.jpeg", "SIG-20250626_1638c60ah.jpeg")</f>
        <v>SIG-20250626_1638c60ah.jpeg</v>
      </c>
      <c r="AR71" t="s">
        <v>487</v>
      </c>
      <c r="AS71" t="str">
        <f>HYPERLINK("https://icf.clappia.com/app/GMB253374/submission/RBN84256299/ICF247370-GMB253374-58no6kb544k000000000/SIG-20250626_1638k810p.jpeg", "SIG-20250626_1638k810p.jpeg")</f>
        <v>SIG-20250626_1638k810p.jpeg</v>
      </c>
      <c r="AT71" t="s">
        <v>487</v>
      </c>
      <c r="AU71" t="str">
        <f>HYPERLINK("https://icf.clappia.com/app/GMB253374/submission/RBN84256299/ICF247370-GMB253374-5e643eg22j4c00000000/SIG-20250626_1638158emb.jpeg", "SIG-20250626_1638158emb.jpeg")</f>
        <v>SIG-20250626_1638158emb.jpeg</v>
      </c>
      <c r="AV71" t="str">
        <f>HYPERLINK("https://www.google.com/maps/place/8.8653701%2C-12.0495235", "8.8653701,-12.0495235")</f>
        <v>8.8653701,-12.0495235</v>
      </c>
    </row>
    <row r="72">
      <c r="A72" t="s">
        <v>488</v>
      </c>
      <c r="B72" t="s">
        <v>46</v>
      </c>
      <c r="C72" t="s">
        <v>386</v>
      </c>
      <c r="D72" t="s">
        <v>485</v>
      </c>
      <c r="E72" t="s">
        <v>489</v>
      </c>
      <c r="F72" t="s">
        <v>64</v>
      </c>
      <c r="G72">
        <v>300</v>
      </c>
      <c r="H72" t="s">
        <v>50</v>
      </c>
      <c r="I72">
        <v>58</v>
      </c>
      <c r="J72">
        <v>29</v>
      </c>
      <c r="K72">
        <v>29</v>
      </c>
      <c r="L72">
        <v>29</v>
      </c>
      <c r="M72">
        <v>29</v>
      </c>
      <c r="N72" t="s">
        <v>51</v>
      </c>
      <c r="O72">
        <v>58</v>
      </c>
      <c r="P72">
        <v>28</v>
      </c>
      <c r="Q72">
        <v>28</v>
      </c>
      <c r="R72">
        <v>20</v>
      </c>
      <c r="S72">
        <v>20</v>
      </c>
      <c r="T72" t="s">
        <v>52</v>
      </c>
      <c r="U72">
        <v>58</v>
      </c>
      <c r="V72">
        <v>20</v>
      </c>
      <c r="W72">
        <v>20</v>
      </c>
      <c r="X72">
        <v>28</v>
      </c>
      <c r="Y72">
        <v>28</v>
      </c>
      <c r="Z72" t="s">
        <v>53</v>
      </c>
      <c r="AA72">
        <v>58</v>
      </c>
      <c r="AB72">
        <v>38</v>
      </c>
      <c r="AC72">
        <v>30</v>
      </c>
      <c r="AD72">
        <v>20</v>
      </c>
      <c r="AE72">
        <v>20</v>
      </c>
      <c r="AF72" t="s">
        <v>54</v>
      </c>
      <c r="AG72">
        <v>58</v>
      </c>
      <c r="AH72">
        <v>28</v>
      </c>
      <c r="AI72">
        <v>28</v>
      </c>
      <c r="AJ72">
        <v>28</v>
      </c>
      <c r="AK72">
        <v>28</v>
      </c>
      <c r="AL72">
        <v>260</v>
      </c>
      <c r="AM72">
        <v>8</v>
      </c>
      <c r="AN72">
        <v>32</v>
      </c>
      <c r="AO72">
        <v>32</v>
      </c>
      <c r="AP72" t="s">
        <v>490</v>
      </c>
      <c r="AQ72" t="str">
        <f>HYPERLINK("https://icf.clappia.com/app/GMB253374/submission/JCG67356494/ICF247370-GMB253374-21cai71ak532o0000000/SIG-20250626_1616i56c9.jpeg", "SIG-20250626_1616i56c9.jpeg")</f>
        <v>SIG-20250626_1616i56c9.jpeg</v>
      </c>
      <c r="AR72" t="s">
        <v>491</v>
      </c>
      <c r="AS72" t="str">
        <f>HYPERLINK("https://icf.clappia.com/app/GMB253374/submission/JCG67356494/ICF247370-GMB253374-18560a4kgo7li0000000/SIG-20250626_1616aaaj0.jpeg", "SIG-20250626_1616aaaj0.jpeg")</f>
        <v>SIG-20250626_1616aaaj0.jpeg</v>
      </c>
      <c r="AT72" t="s">
        <v>492</v>
      </c>
      <c r="AU72" t="str">
        <f>HYPERLINK("https://icf.clappia.com/app/GMB253374/submission/JCG67356494/ICF247370-GMB253374-4gdj2d7md9gi00000000/SIG-20250626_1616d2gf8.jpeg", "SIG-20250626_1616d2gf8.jpeg")</f>
        <v>SIG-20250626_1616d2gf8.jpeg</v>
      </c>
      <c r="AV72" t="str">
        <f>HYPERLINK("https://www.google.com/maps/place/8.8656272%2C-12.0499713", "8.8656272,-12.0499713")</f>
        <v>8.8656272,-12.0499713</v>
      </c>
    </row>
    <row r="73">
      <c r="A73" t="s">
        <v>493</v>
      </c>
      <c r="B73" t="s">
        <v>46</v>
      </c>
      <c r="C73" t="s">
        <v>494</v>
      </c>
      <c r="D73" t="s">
        <v>495</v>
      </c>
      <c r="E73" t="s">
        <v>496</v>
      </c>
      <c r="F73" t="s">
        <v>64</v>
      </c>
      <c r="G73">
        <v>250</v>
      </c>
      <c r="H73" t="s">
        <v>50</v>
      </c>
      <c r="I73">
        <v>40</v>
      </c>
      <c r="J73">
        <v>20</v>
      </c>
      <c r="K73">
        <v>20</v>
      </c>
      <c r="L73">
        <v>20</v>
      </c>
      <c r="M73">
        <v>20</v>
      </c>
      <c r="N73" t="s">
        <v>51</v>
      </c>
      <c r="O73">
        <v>50</v>
      </c>
      <c r="P73">
        <v>25</v>
      </c>
      <c r="Q73">
        <v>25</v>
      </c>
      <c r="R73">
        <v>25</v>
      </c>
      <c r="S73">
        <v>20</v>
      </c>
      <c r="T73" t="s">
        <v>52</v>
      </c>
      <c r="U73">
        <v>60</v>
      </c>
      <c r="V73">
        <v>30</v>
      </c>
      <c r="W73">
        <v>30</v>
      </c>
      <c r="X73">
        <v>30</v>
      </c>
      <c r="Y73">
        <v>30</v>
      </c>
      <c r="Z73" t="s">
        <v>53</v>
      </c>
      <c r="AA73">
        <v>40</v>
      </c>
      <c r="AB73">
        <v>20</v>
      </c>
      <c r="AC73">
        <v>20</v>
      </c>
      <c r="AD73">
        <v>20</v>
      </c>
      <c r="AE73">
        <v>20</v>
      </c>
      <c r="AF73" t="s">
        <v>54</v>
      </c>
      <c r="AG73">
        <v>50</v>
      </c>
      <c r="AH73">
        <v>20</v>
      </c>
      <c r="AI73">
        <v>20</v>
      </c>
      <c r="AJ73">
        <v>30</v>
      </c>
      <c r="AK73">
        <v>20</v>
      </c>
      <c r="AL73">
        <v>225</v>
      </c>
      <c r="AM73">
        <v>4</v>
      </c>
      <c r="AN73">
        <v>21</v>
      </c>
      <c r="AO73">
        <v>21</v>
      </c>
      <c r="AP73" t="s">
        <v>497</v>
      </c>
      <c r="AQ73" t="str">
        <f>HYPERLINK("https://icf.clappia.com/app/GMB253374/submission/TZG46070735/ICF247370-GMB253374-5l66mib1acc800000000/SIG-20250626_16427cpgb.jpeg", "SIG-20250626_16427cpgb.jpeg")</f>
        <v>SIG-20250626_16427cpgb.jpeg</v>
      </c>
      <c r="AR73" t="s">
        <v>498</v>
      </c>
      <c r="AS73" t="str">
        <f>HYPERLINK("https://icf.clappia.com/app/GMB253374/submission/TZG46070735/ICF247370-GMB253374-24f4233el417m0000000/SIG-20250626_1643k8lf6.jpeg", "SIG-20250626_1643k8lf6.jpeg")</f>
        <v>SIG-20250626_1643k8lf6.jpeg</v>
      </c>
      <c r="AT73" t="s">
        <v>499</v>
      </c>
      <c r="AU73" t="str">
        <f>HYPERLINK("https://icf.clappia.com/app/GMB253374/submission/TZG46070735/ICF247370-GMB253374-31f4lokd7db800000000/SIG-20250626_1643167pne.jpeg", "SIG-20250626_1643167pne.jpeg")</f>
        <v>SIG-20250626_1643167pne.jpeg</v>
      </c>
      <c r="AV73" t="str">
        <f>HYPERLINK("https://www.google.com/maps/place/8.8714748%2C-12.0477297", "8.8714748,-12.0477297")</f>
        <v>8.8714748,-12.0477297</v>
      </c>
    </row>
    <row r="74">
      <c r="A74" t="s">
        <v>500</v>
      </c>
      <c r="B74" t="s">
        <v>46</v>
      </c>
      <c r="C74" t="s">
        <v>355</v>
      </c>
      <c r="D74" t="s">
        <v>495</v>
      </c>
      <c r="E74" t="s">
        <v>501</v>
      </c>
      <c r="F74" t="s">
        <v>64</v>
      </c>
      <c r="G74">
        <v>250</v>
      </c>
      <c r="H74" t="s">
        <v>50</v>
      </c>
      <c r="I74">
        <v>50</v>
      </c>
      <c r="J74">
        <v>25</v>
      </c>
      <c r="K74">
        <v>25</v>
      </c>
      <c r="L74">
        <v>25</v>
      </c>
      <c r="M74">
        <v>25</v>
      </c>
      <c r="N74" t="s">
        <v>51</v>
      </c>
      <c r="O74">
        <v>40</v>
      </c>
      <c r="P74">
        <v>20</v>
      </c>
      <c r="Q74">
        <v>20</v>
      </c>
      <c r="R74">
        <v>20</v>
      </c>
      <c r="S74">
        <v>20</v>
      </c>
      <c r="T74" t="s">
        <v>52</v>
      </c>
      <c r="U74">
        <v>60</v>
      </c>
      <c r="V74">
        <v>30</v>
      </c>
      <c r="W74">
        <v>30</v>
      </c>
      <c r="X74">
        <v>30</v>
      </c>
      <c r="Y74">
        <v>30</v>
      </c>
      <c r="Z74" t="s">
        <v>53</v>
      </c>
      <c r="AA74">
        <v>30</v>
      </c>
      <c r="AB74">
        <v>15</v>
      </c>
      <c r="AC74">
        <v>15</v>
      </c>
      <c r="AD74">
        <v>15</v>
      </c>
      <c r="AE74">
        <v>15</v>
      </c>
      <c r="AF74" t="s">
        <v>54</v>
      </c>
      <c r="AG74">
        <v>40</v>
      </c>
      <c r="AH74">
        <v>20</v>
      </c>
      <c r="AI74">
        <v>20</v>
      </c>
      <c r="AJ74">
        <v>20</v>
      </c>
      <c r="AK74">
        <v>10</v>
      </c>
      <c r="AL74">
        <v>210</v>
      </c>
      <c r="AM74">
        <v>4</v>
      </c>
      <c r="AN74">
        <v>36</v>
      </c>
      <c r="AO74">
        <v>36</v>
      </c>
      <c r="AP74" t="s">
        <v>497</v>
      </c>
      <c r="AQ74" t="str">
        <f>HYPERLINK("https://icf.clappia.com/app/GMB253374/submission/PVX72257142/ICF247370-GMB253374-65jpnhom0c8200000000/SIG-20250626_1618dp1mh.jpeg", "SIG-20250626_1618dp1mh.jpeg")</f>
        <v>SIG-20250626_1618dp1mh.jpeg</v>
      </c>
      <c r="AR74" t="s">
        <v>498</v>
      </c>
      <c r="AS74" t="str">
        <f>HYPERLINK("https://icf.clappia.com/app/GMB253374/submission/PVX72257142/ICF247370-GMB253374-1g4mp4k1882d6000000/SIG-20250626_1619km426.jpeg", "SIG-20250626_1619km426.jpeg")</f>
        <v>SIG-20250626_1619km426.jpeg</v>
      </c>
      <c r="AT74" t="s">
        <v>499</v>
      </c>
      <c r="AU74" t="str">
        <f>HYPERLINK("https://icf.clappia.com/app/GMB253374/submission/PVX72257142/ICF247370-GMB253374-557h53pkb1ei00000000/SIG-20250626_1619f603c.jpeg", "SIG-20250626_1619f603c.jpeg")</f>
        <v>SIG-20250626_1619f603c.jpeg</v>
      </c>
      <c r="AV74" t="str">
        <f>HYPERLINK("https://www.google.com/maps/place/8.8655596%2C-12.0499997", "8.8655596,-12.0499997")</f>
        <v>8.8655596,-12.0499997</v>
      </c>
    </row>
    <row r="75">
      <c r="A75" t="s">
        <v>502</v>
      </c>
      <c r="B75" t="s">
        <v>46</v>
      </c>
      <c r="C75" t="s">
        <v>361</v>
      </c>
      <c r="D75" t="s">
        <v>503</v>
      </c>
      <c r="E75" t="s">
        <v>504</v>
      </c>
      <c r="F75" t="s">
        <v>64</v>
      </c>
      <c r="G75">
        <v>204</v>
      </c>
      <c r="H75" t="s">
        <v>50</v>
      </c>
      <c r="I75">
        <v>20</v>
      </c>
      <c r="J75">
        <v>11</v>
      </c>
      <c r="K75">
        <v>11</v>
      </c>
      <c r="L75">
        <v>9</v>
      </c>
      <c r="M75">
        <v>9</v>
      </c>
      <c r="N75" t="s">
        <v>51</v>
      </c>
      <c r="O75">
        <v>20</v>
      </c>
      <c r="P75">
        <v>8</v>
      </c>
      <c r="Q75">
        <v>8</v>
      </c>
      <c r="R75">
        <v>12</v>
      </c>
      <c r="S75">
        <v>12</v>
      </c>
      <c r="T75" t="s">
        <v>52</v>
      </c>
      <c r="U75">
        <v>20</v>
      </c>
      <c r="V75">
        <v>7</v>
      </c>
      <c r="W75">
        <v>7</v>
      </c>
      <c r="X75">
        <v>13</v>
      </c>
      <c r="Y75">
        <v>13</v>
      </c>
      <c r="Z75" t="s">
        <v>53</v>
      </c>
      <c r="AA75">
        <v>41</v>
      </c>
      <c r="AB75">
        <v>21</v>
      </c>
      <c r="AC75">
        <v>21</v>
      </c>
      <c r="AD75">
        <v>19</v>
      </c>
      <c r="AE75">
        <v>19</v>
      </c>
      <c r="AF75" t="s">
        <v>54</v>
      </c>
      <c r="AG75">
        <v>40</v>
      </c>
      <c r="AH75">
        <v>20</v>
      </c>
      <c r="AI75">
        <v>20</v>
      </c>
      <c r="AJ75">
        <v>20</v>
      </c>
      <c r="AK75">
        <v>20</v>
      </c>
      <c r="AL75">
        <v>140</v>
      </c>
      <c r="AM75" t="s">
        <v>55</v>
      </c>
      <c r="AN75">
        <v>64</v>
      </c>
      <c r="AO75">
        <v>64</v>
      </c>
      <c r="AP75" t="s">
        <v>505</v>
      </c>
      <c r="AQ75" t="str">
        <f>HYPERLINK("https://icf.clappia.com/app/GMB253374/submission/NUW14482274/ICF247370-GMB253374-2g5690o5ba2000000000/SIG-20250626_1645b4b45.jpeg", "SIG-20250626_1645b4b45.jpeg")</f>
        <v>SIG-20250626_1645b4b45.jpeg</v>
      </c>
      <c r="AR75" t="s">
        <v>506</v>
      </c>
      <c r="AS75" t="str">
        <f>HYPERLINK("https://icf.clappia.com/app/GMB253374/submission/NUW14482274/ICF247370-GMB253374-p82e92hj6jj60000000/SIG-20250626_1646eooac.jpeg", "SIG-20250626_1646eooac.jpeg")</f>
        <v>SIG-20250626_1646eooac.jpeg</v>
      </c>
      <c r="AT75" t="s">
        <v>507</v>
      </c>
      <c r="AU75" t="str">
        <f>HYPERLINK("https://icf.clappia.com/app/GMB253374/submission/NUW14482274/ICF247370-GMB253374-60pc755pe02k00000000/SIG-20250626_1646eij3f.jpeg", "SIG-20250626_1646eij3f.jpeg")</f>
        <v>SIG-20250626_1646eij3f.jpeg</v>
      </c>
      <c r="AV75" t="str">
        <f>HYPERLINK("https://www.google.com/maps/place/8.8692288%2C-12.0541554", "8.8692288,-12.0541554")</f>
        <v>8.8692288,-12.0541554</v>
      </c>
    </row>
    <row r="76">
      <c r="A76" t="s">
        <v>508</v>
      </c>
      <c r="B76" t="s">
        <v>46</v>
      </c>
      <c r="C76" t="s">
        <v>509</v>
      </c>
      <c r="D76" t="s">
        <v>503</v>
      </c>
      <c r="E76" t="s">
        <v>510</v>
      </c>
      <c r="F76" t="s">
        <v>64</v>
      </c>
      <c r="G76">
        <v>284</v>
      </c>
      <c r="H76" t="s">
        <v>50</v>
      </c>
      <c r="I76">
        <v>48</v>
      </c>
      <c r="J76">
        <v>25</v>
      </c>
      <c r="K76">
        <v>25</v>
      </c>
      <c r="L76">
        <v>23</v>
      </c>
      <c r="M76">
        <v>23</v>
      </c>
      <c r="N76" t="s">
        <v>51</v>
      </c>
      <c r="O76">
        <v>42</v>
      </c>
      <c r="P76">
        <v>20</v>
      </c>
      <c r="Q76">
        <v>20</v>
      </c>
      <c r="R76">
        <v>22</v>
      </c>
      <c r="S76">
        <v>22</v>
      </c>
      <c r="T76" t="s">
        <v>52</v>
      </c>
      <c r="U76">
        <v>65</v>
      </c>
      <c r="V76">
        <v>30</v>
      </c>
      <c r="W76">
        <v>30</v>
      </c>
      <c r="X76">
        <v>35</v>
      </c>
      <c r="Y76">
        <v>35</v>
      </c>
      <c r="Z76" t="s">
        <v>53</v>
      </c>
      <c r="AA76">
        <v>85</v>
      </c>
      <c r="AB76">
        <v>40</v>
      </c>
      <c r="AC76">
        <v>40</v>
      </c>
      <c r="AD76">
        <v>45</v>
      </c>
      <c r="AE76">
        <v>45</v>
      </c>
      <c r="AF76" t="s">
        <v>54</v>
      </c>
      <c r="AG76">
        <v>44</v>
      </c>
      <c r="AH76">
        <v>25</v>
      </c>
      <c r="AI76">
        <v>25</v>
      </c>
      <c r="AJ76">
        <v>19</v>
      </c>
      <c r="AK76">
        <v>19</v>
      </c>
      <c r="AL76">
        <v>284</v>
      </c>
      <c r="AM76" t="s">
        <v>55</v>
      </c>
      <c r="AN76" t="s">
        <v>55</v>
      </c>
      <c r="AO76" t="s">
        <v>55</v>
      </c>
      <c r="AP76" t="s">
        <v>353</v>
      </c>
      <c r="AQ76" t="str">
        <f>HYPERLINK("https://icf.clappia.com/app/GMB253374/submission/PZW90379542/ICF247370-GMB253374-125jf0b30io320000000/SIG-20250626_16201i65n.jpeg", "SIG-20250626_16201i65n.jpeg")</f>
        <v>SIG-20250626_16201i65n.jpeg</v>
      </c>
      <c r="AR76" t="s">
        <v>511</v>
      </c>
      <c r="AS76" t="str">
        <f>HYPERLINK("https://icf.clappia.com/app/GMB253374/submission/PZW90379542/ICF247370-GMB253374-45e8o6li13oo00000000/SIG-20250626_1620adilf.jpeg", "SIG-20250626_1620adilf.jpeg")</f>
        <v>SIG-20250626_1620adilf.jpeg</v>
      </c>
      <c r="AT76" t="s">
        <v>512</v>
      </c>
      <c r="AU76" t="str">
        <f>HYPERLINK("https://icf.clappia.com/app/GMB253374/submission/PZW90379542/ICF247370-GMB253374-36bgdfl2kplg00000000/SIG-20250626_1621npmii.jpeg", "SIG-20250626_1621npmii.jpeg")</f>
        <v>SIG-20250626_1621npmii.jpeg</v>
      </c>
      <c r="AV76" t="str">
        <f>HYPERLINK("https://www.google.com/maps/place/8.8714748%2C-12.0477297", "8.8714748,-12.0477297")</f>
        <v>8.8714748,-12.0477297</v>
      </c>
    </row>
    <row r="77">
      <c r="A77" t="s">
        <v>513</v>
      </c>
      <c r="B77" t="s">
        <v>514</v>
      </c>
      <c r="C77" t="s">
        <v>515</v>
      </c>
      <c r="D77" t="s">
        <v>515</v>
      </c>
      <c r="E77" t="s">
        <v>516</v>
      </c>
      <c r="F77" t="s">
        <v>64</v>
      </c>
      <c r="G77">
        <v>500</v>
      </c>
      <c r="H77" t="s">
        <v>50</v>
      </c>
      <c r="I77">
        <v>100</v>
      </c>
      <c r="J77">
        <v>50</v>
      </c>
      <c r="K77">
        <v>47</v>
      </c>
      <c r="L77">
        <v>50</v>
      </c>
      <c r="M77">
        <v>48</v>
      </c>
      <c r="N77" t="s">
        <v>51</v>
      </c>
      <c r="O77">
        <v>100</v>
      </c>
      <c r="P77">
        <v>60</v>
      </c>
      <c r="Q77">
        <v>59</v>
      </c>
      <c r="R77">
        <v>40</v>
      </c>
      <c r="S77">
        <v>40</v>
      </c>
      <c r="T77" t="s">
        <v>52</v>
      </c>
      <c r="U77">
        <v>40</v>
      </c>
      <c r="V77">
        <v>10</v>
      </c>
      <c r="W77">
        <v>10</v>
      </c>
      <c r="X77">
        <v>30</v>
      </c>
      <c r="Y77">
        <v>29</v>
      </c>
      <c r="Z77" t="s">
        <v>53</v>
      </c>
      <c r="AA77">
        <v>50</v>
      </c>
      <c r="AB77">
        <v>20</v>
      </c>
      <c r="AC77">
        <v>20</v>
      </c>
      <c r="AD77">
        <v>30</v>
      </c>
      <c r="AE77">
        <v>27</v>
      </c>
      <c r="AF77" t="s">
        <v>54</v>
      </c>
      <c r="AG77">
        <v>50</v>
      </c>
      <c r="AH77">
        <v>35</v>
      </c>
      <c r="AI77">
        <v>34</v>
      </c>
      <c r="AJ77">
        <v>15</v>
      </c>
      <c r="AK77">
        <v>15</v>
      </c>
      <c r="AL77">
        <v>329</v>
      </c>
      <c r="AM77" t="s">
        <v>55</v>
      </c>
      <c r="AN77">
        <v>171</v>
      </c>
      <c r="AO77">
        <v>171</v>
      </c>
      <c r="AP77" t="s">
        <v>517</v>
      </c>
      <c r="AQ77" t="str">
        <f>HYPERLINK("https://icf.clappia.com/app/GMB253374/submission/QBS68243521/ICF247370-GMB253374-4lhjc085e63600000000/SIG-20250628_10385cip3.jpeg", "SIG-20250628_10385cip3.jpeg")</f>
        <v>SIG-20250628_10385cip3.jpeg</v>
      </c>
      <c r="AR77" t="s">
        <v>518</v>
      </c>
      <c r="AS77" t="str">
        <f>HYPERLINK("https://icf.clappia.com/app/GMB253374/submission/QBS68243521/ICF247370-GMB253374-2gci99h7oa3400000000/SIG-20250628_103914n7nc.jpeg", "SIG-20250628_103914n7nc.jpeg")</f>
        <v>SIG-20250628_103914n7nc.jpeg</v>
      </c>
      <c r="AT77" t="s">
        <v>519</v>
      </c>
      <c r="AU77" t="str">
        <f>HYPERLINK("https://icf.clappia.com/app/GMB253374/submission/QBS68243521/ICF247370-GMB253374-coj70jdo926c0000000/SIG-20250628_1039ca56.jpeg", "SIG-20250628_1039ca56.jpeg")</f>
        <v>SIG-20250628_1039ca56.jpeg</v>
      </c>
      <c r="AV77" t="str">
        <f>HYPERLINK("https://www.google.com/maps/place/7.9674117%2C-11.7186716", "7.9674117,-11.7186716")</f>
        <v>7.9674117,-11.7186716</v>
      </c>
    </row>
    <row r="78">
      <c r="A78" t="s">
        <v>520</v>
      </c>
      <c r="B78" t="s">
        <v>46</v>
      </c>
      <c r="C78" t="s">
        <v>521</v>
      </c>
      <c r="D78" t="s">
        <v>521</v>
      </c>
      <c r="E78" t="s">
        <v>522</v>
      </c>
      <c r="F78" t="s">
        <v>64</v>
      </c>
      <c r="G78">
        <v>400</v>
      </c>
      <c r="H78" t="s">
        <v>50</v>
      </c>
      <c r="I78">
        <v>80</v>
      </c>
      <c r="J78">
        <v>40</v>
      </c>
      <c r="K78">
        <v>40</v>
      </c>
      <c r="L78">
        <v>40</v>
      </c>
      <c r="M78">
        <v>35</v>
      </c>
      <c r="N78" t="s">
        <v>51</v>
      </c>
      <c r="O78">
        <v>80</v>
      </c>
      <c r="P78">
        <v>45</v>
      </c>
      <c r="Q78">
        <v>35</v>
      </c>
      <c r="R78">
        <v>35</v>
      </c>
      <c r="S78">
        <v>30</v>
      </c>
      <c r="T78" t="s">
        <v>52</v>
      </c>
      <c r="U78">
        <v>100</v>
      </c>
      <c r="V78">
        <v>50</v>
      </c>
      <c r="W78">
        <v>45</v>
      </c>
      <c r="X78">
        <v>50</v>
      </c>
      <c r="Y78">
        <v>50</v>
      </c>
      <c r="Z78" t="s">
        <v>53</v>
      </c>
      <c r="AA78">
        <v>70</v>
      </c>
      <c r="AB78">
        <v>30</v>
      </c>
      <c r="AC78">
        <v>30</v>
      </c>
      <c r="AD78">
        <v>40</v>
      </c>
      <c r="AE78">
        <v>39</v>
      </c>
      <c r="AF78" t="s">
        <v>54</v>
      </c>
      <c r="AG78">
        <v>70</v>
      </c>
      <c r="AH78">
        <v>40</v>
      </c>
      <c r="AI78">
        <v>40</v>
      </c>
      <c r="AJ78">
        <v>30</v>
      </c>
      <c r="AK78">
        <v>27</v>
      </c>
      <c r="AL78">
        <v>371</v>
      </c>
      <c r="AM78" t="s">
        <v>55</v>
      </c>
      <c r="AN78">
        <v>29</v>
      </c>
      <c r="AO78">
        <v>29</v>
      </c>
      <c r="AP78" t="s">
        <v>523</v>
      </c>
      <c r="AQ78" t="str">
        <f>HYPERLINK("https://icf.clappia.com/app/GMB253374/submission/GOE36688458/ICF247370-GMB253374-3dda9on07h3000000000/SIG-20250627_19247gfc3.jpeg", "SIG-20250627_19247gfc3.jpeg")</f>
        <v>SIG-20250627_19247gfc3.jpeg</v>
      </c>
      <c r="AR78" t="s">
        <v>524</v>
      </c>
      <c r="AS78" t="str">
        <f>HYPERLINK("https://icf.clappia.com/app/GMB253374/submission/GOE36688458/ICF247370-GMB253374-p18jf31hni000000000/SIG-20250627_1924l4mec.jpeg", "SIG-20250627_1924l4mec.jpeg")</f>
        <v>SIG-20250627_1924l4mec.jpeg</v>
      </c>
      <c r="AT78" t="s">
        <v>525</v>
      </c>
      <c r="AU78" t="str">
        <f>HYPERLINK("https://icf.clappia.com/app/GMB253374/submission/GOE36688458/ICF247370-GMB253374-5n5acmnddb9200000000/SIG-20250627_192527lf5.jpeg", "SIG-20250627_192527lf5.jpeg")</f>
        <v>SIG-20250627_192527lf5.jpeg</v>
      </c>
      <c r="AV78" t="str">
        <f>HYPERLINK("https://www.google.com/maps/place/7.949655%2C-11.7176827", "7.949655,-11.7176827")</f>
        <v>7.949655,-11.7176827</v>
      </c>
    </row>
    <row r="79">
      <c r="A79" t="s">
        <v>526</v>
      </c>
      <c r="B79" t="s">
        <v>46</v>
      </c>
      <c r="C79" t="s">
        <v>527</v>
      </c>
      <c r="D79" t="s">
        <v>528</v>
      </c>
      <c r="E79" t="s">
        <v>529</v>
      </c>
      <c r="AV79" t="str">
        <f>HYPERLINK("https://www.google.com/maps/place/8.4696493%2C-13.2412245", "8.4696493,-13.2412245")</f>
        <v>8.4696493,-13.2412245</v>
      </c>
    </row>
    <row r="80">
      <c r="A80" t="s">
        <v>530</v>
      </c>
      <c r="B80" t="s">
        <v>46</v>
      </c>
      <c r="C80" t="s">
        <v>531</v>
      </c>
      <c r="D80" t="s">
        <v>528</v>
      </c>
      <c r="E80" t="s">
        <v>532</v>
      </c>
      <c r="AV80" t="str">
        <f>HYPERLINK("https://www.google.com/maps/place/8.4696502%2C-13.2412242", "8.4696502,-13.2412242")</f>
        <v>8.4696502,-13.2412242</v>
      </c>
    </row>
    <row r="81">
      <c r="A81" t="s">
        <v>533</v>
      </c>
      <c r="B81" t="s">
        <v>46</v>
      </c>
      <c r="C81" t="s">
        <v>534</v>
      </c>
      <c r="D81" t="s">
        <v>535</v>
      </c>
      <c r="E81" t="s">
        <v>536</v>
      </c>
      <c r="AV81" t="str">
        <f>HYPERLINK("https://www.google.com/maps/place/8.4696493%2C-13.241223", "8.4696493,-13.241223")</f>
        <v>8.4696493,-13.241223</v>
      </c>
    </row>
    <row r="82">
      <c r="A82" t="s">
        <v>537</v>
      </c>
      <c r="B82" t="s">
        <v>46</v>
      </c>
      <c r="C82" t="s">
        <v>538</v>
      </c>
      <c r="D82" t="s">
        <v>535</v>
      </c>
      <c r="E82" t="s">
        <v>539</v>
      </c>
      <c r="AV82" t="str">
        <f>HYPERLINK("https://www.google.com/maps/place/8.469641%2C-13.2412168", "8.469641,-13.2412168")</f>
        <v>8.469641,-13.2412168</v>
      </c>
    </row>
    <row r="83">
      <c r="A83" t="s">
        <v>540</v>
      </c>
      <c r="B83" t="s">
        <v>46</v>
      </c>
      <c r="C83" t="s">
        <v>541</v>
      </c>
      <c r="D83" t="s">
        <v>535</v>
      </c>
      <c r="E83" t="s">
        <v>542</v>
      </c>
      <c r="AV83" t="str">
        <f>HYPERLINK("https://www.google.com/maps/place/8.469713%2C-13.241237", "8.469713,-13.241237")</f>
        <v>8.469713,-13.241237</v>
      </c>
    </row>
    <row r="84">
      <c r="A84" t="s">
        <v>543</v>
      </c>
      <c r="B84" t="s">
        <v>46</v>
      </c>
      <c r="C84" t="s">
        <v>541</v>
      </c>
      <c r="D84" t="s">
        <v>535</v>
      </c>
      <c r="E84" t="s">
        <v>544</v>
      </c>
      <c r="AV84" t="str">
        <f>HYPERLINK("https://www.google.com/maps/place/8.4697104%2C-13.2412461", "8.4697104,-13.2412461")</f>
        <v>8.4697104,-13.2412461</v>
      </c>
    </row>
    <row r="85">
      <c r="A85" t="s">
        <v>545</v>
      </c>
      <c r="B85" t="s">
        <v>46</v>
      </c>
      <c r="C85" t="s">
        <v>546</v>
      </c>
      <c r="D85" t="s">
        <v>535</v>
      </c>
      <c r="E85" t="s">
        <v>547</v>
      </c>
      <c r="AV85" t="str">
        <f>HYPERLINK("https://www.google.com/maps/place/8.4696331%2C-13.2412139", "8.4696331,-13.2412139")</f>
        <v>8.4696331,-13.2412139</v>
      </c>
    </row>
    <row r="86">
      <c r="A86" t="s">
        <v>548</v>
      </c>
      <c r="B86" t="s">
        <v>46</v>
      </c>
      <c r="C86" t="s">
        <v>549</v>
      </c>
      <c r="D86" t="s">
        <v>549</v>
      </c>
      <c r="E86" t="s">
        <v>550</v>
      </c>
      <c r="F86" t="s">
        <v>64</v>
      </c>
      <c r="G86">
        <v>200</v>
      </c>
      <c r="H86" t="s">
        <v>50</v>
      </c>
      <c r="I86">
        <v>20</v>
      </c>
      <c r="J86">
        <v>10</v>
      </c>
      <c r="K86">
        <v>10</v>
      </c>
      <c r="L86">
        <v>10</v>
      </c>
      <c r="M86">
        <v>8</v>
      </c>
      <c r="N86" t="s">
        <v>51</v>
      </c>
      <c r="O86">
        <v>25</v>
      </c>
      <c r="P86">
        <v>15</v>
      </c>
      <c r="Q86">
        <v>15</v>
      </c>
      <c r="R86">
        <v>10</v>
      </c>
      <c r="S86">
        <v>10</v>
      </c>
      <c r="T86" t="s">
        <v>52</v>
      </c>
      <c r="U86">
        <v>35</v>
      </c>
      <c r="V86">
        <v>15</v>
      </c>
      <c r="W86">
        <v>10</v>
      </c>
      <c r="X86">
        <v>20</v>
      </c>
      <c r="Y86">
        <v>17</v>
      </c>
      <c r="Z86" t="s">
        <v>53</v>
      </c>
      <c r="AA86">
        <v>40</v>
      </c>
      <c r="AB86">
        <v>15</v>
      </c>
      <c r="AC86">
        <v>14</v>
      </c>
      <c r="AD86">
        <v>25</v>
      </c>
      <c r="AE86">
        <v>21</v>
      </c>
      <c r="AF86" t="s">
        <v>54</v>
      </c>
      <c r="AG86">
        <v>60</v>
      </c>
      <c r="AH86">
        <v>28</v>
      </c>
      <c r="AI86">
        <v>28</v>
      </c>
      <c r="AJ86">
        <v>32</v>
      </c>
      <c r="AK86">
        <v>30</v>
      </c>
      <c r="AL86">
        <v>163</v>
      </c>
      <c r="AM86" t="s">
        <v>55</v>
      </c>
      <c r="AN86">
        <v>37</v>
      </c>
      <c r="AO86">
        <v>37</v>
      </c>
      <c r="AP86" t="s">
        <v>551</v>
      </c>
      <c r="AQ86" t="str">
        <f>HYPERLINK("https://icf.clappia.com/app/GMB253374/submission/SZZ95875707/ICF247370-GMB253374-3cijp278f9no00000000/SIG-20250626_135310b1h6.jpeg", "SIG-20250626_135310b1h6.jpeg")</f>
        <v>SIG-20250626_135310b1h6.jpeg</v>
      </c>
      <c r="AR86" t="s">
        <v>552</v>
      </c>
      <c r="AS86" t="str">
        <f>HYPERLINK("https://icf.clappia.com/app/GMB253374/submission/SZZ95875707/ICF247370-GMB253374-1ogac7lp0p2800000000/SIG-20250626_1354ihkkp.jpeg", "SIG-20250626_1354ihkkp.jpeg")</f>
        <v>SIG-20250626_1354ihkkp.jpeg</v>
      </c>
      <c r="AT86" t="s">
        <v>553</v>
      </c>
      <c r="AU86" t="str">
        <f>HYPERLINK("https://icf.clappia.com/app/GMB253374/submission/SZZ95875707/ICF247370-GMB253374-53134fc88g8k00000000/SIG-20250626_1355135mi6.jpeg", "SIG-20250626_1355135mi6.jpeg")</f>
        <v>SIG-20250626_1355135mi6.jpeg</v>
      </c>
      <c r="AV86" t="str">
        <f>HYPERLINK("https://www.google.com/maps/place/8.8666453%2C-12.0505855", "8.8666453,-12.0505855")</f>
        <v>8.8666453,-12.0505855</v>
      </c>
    </row>
    <row r="87">
      <c r="A87" t="s">
        <v>554</v>
      </c>
      <c r="B87" t="s">
        <v>46</v>
      </c>
      <c r="C87" t="s">
        <v>555</v>
      </c>
      <c r="D87" t="s">
        <v>555</v>
      </c>
      <c r="E87" t="s">
        <v>556</v>
      </c>
      <c r="F87" t="s">
        <v>64</v>
      </c>
      <c r="G87">
        <v>300</v>
      </c>
      <c r="H87" t="s">
        <v>50</v>
      </c>
      <c r="I87">
        <v>70</v>
      </c>
      <c r="J87">
        <v>32</v>
      </c>
      <c r="K87">
        <v>31</v>
      </c>
      <c r="L87">
        <v>38</v>
      </c>
      <c r="M87">
        <v>38</v>
      </c>
      <c r="N87" t="s">
        <v>51</v>
      </c>
      <c r="O87">
        <v>60</v>
      </c>
      <c r="P87">
        <v>30</v>
      </c>
      <c r="Q87">
        <v>29</v>
      </c>
      <c r="R87">
        <v>30</v>
      </c>
      <c r="S87">
        <v>30</v>
      </c>
      <c r="T87" t="s">
        <v>52</v>
      </c>
      <c r="U87">
        <v>50</v>
      </c>
      <c r="V87">
        <v>23</v>
      </c>
      <c r="W87">
        <v>22</v>
      </c>
      <c r="X87">
        <v>27</v>
      </c>
      <c r="Y87">
        <v>27</v>
      </c>
      <c r="Z87" t="s">
        <v>53</v>
      </c>
      <c r="AA87">
        <v>50</v>
      </c>
      <c r="AB87">
        <v>20</v>
      </c>
      <c r="AC87">
        <v>20</v>
      </c>
      <c r="AD87">
        <v>30</v>
      </c>
      <c r="AE87">
        <v>29</v>
      </c>
      <c r="AF87" t="s">
        <v>54</v>
      </c>
      <c r="AG87">
        <v>70</v>
      </c>
      <c r="AH87">
        <v>30</v>
      </c>
      <c r="AI87">
        <v>29</v>
      </c>
      <c r="AJ87">
        <v>40</v>
      </c>
      <c r="AK87">
        <v>40</v>
      </c>
      <c r="AL87">
        <v>295</v>
      </c>
      <c r="AM87">
        <v>5</v>
      </c>
      <c r="AN87" t="s">
        <v>55</v>
      </c>
      <c r="AO87" t="s">
        <v>55</v>
      </c>
      <c r="AP87" t="s">
        <v>557</v>
      </c>
      <c r="AQ87" t="str">
        <f>HYPERLINK("https://icf.clappia.com/app/GMB253374/submission/PUO91249947/ICF247370-GMB253374-2j32m12dpln600000000/SIG-20250626_1717p7lhe.jpeg", "SIG-20250626_1717p7lhe.jpeg")</f>
        <v>SIG-20250626_1717p7lhe.jpeg</v>
      </c>
      <c r="AR87" t="s">
        <v>558</v>
      </c>
      <c r="AS87" t="str">
        <f>HYPERLINK("https://icf.clappia.com/app/GMB253374/submission/PUO91249947/ICF247370-GMB253374-5ia98ccph6n200000000/SIG-20250626_1720168gj.jpeg", "SIG-20250626_1720168gj.jpeg")</f>
        <v>SIG-20250626_1720168gj.jpeg</v>
      </c>
      <c r="AT87" t="s">
        <v>559</v>
      </c>
      <c r="AU87" t="str">
        <f>HYPERLINK("https://icf.clappia.com/app/GMB253374/submission/PUO91249947/ICF247370-GMB253374-11g10ffi1880g0000000/SIG-20250626_17191m0fd.jpeg", "SIG-20250626_17191m0fd.jpeg")</f>
        <v>SIG-20250626_17191m0fd.jpeg</v>
      </c>
      <c r="AV87" t="str">
        <f>HYPERLINK("https://www.google.com/maps/place/7.9661784%2C-11.7408605", "7.9661784,-11.7408605")</f>
        <v>7.9661784,-11.7408605</v>
      </c>
    </row>
    <row r="88">
      <c r="A88" t="s">
        <v>560</v>
      </c>
      <c r="B88" t="s">
        <v>46</v>
      </c>
      <c r="C88" t="s">
        <v>561</v>
      </c>
      <c r="D88" t="s">
        <v>561</v>
      </c>
      <c r="E88" t="s">
        <v>562</v>
      </c>
      <c r="F88" t="s">
        <v>64</v>
      </c>
      <c r="G88">
        <v>500</v>
      </c>
      <c r="H88" t="s">
        <v>50</v>
      </c>
      <c r="I88">
        <v>100</v>
      </c>
      <c r="J88">
        <v>50</v>
      </c>
      <c r="K88">
        <v>49</v>
      </c>
      <c r="L88">
        <v>50</v>
      </c>
      <c r="M88">
        <v>50</v>
      </c>
      <c r="N88" t="s">
        <v>51</v>
      </c>
      <c r="O88">
        <v>100</v>
      </c>
      <c r="P88">
        <v>50</v>
      </c>
      <c r="Q88">
        <v>47</v>
      </c>
      <c r="R88">
        <v>50</v>
      </c>
      <c r="S88">
        <v>49</v>
      </c>
      <c r="T88" t="s">
        <v>52</v>
      </c>
      <c r="U88">
        <v>100</v>
      </c>
      <c r="V88">
        <v>50</v>
      </c>
      <c r="W88">
        <v>50</v>
      </c>
      <c r="X88">
        <v>50</v>
      </c>
      <c r="Y88">
        <v>47</v>
      </c>
      <c r="Z88" t="s">
        <v>53</v>
      </c>
      <c r="AA88">
        <v>100</v>
      </c>
      <c r="AB88">
        <v>50</v>
      </c>
      <c r="AC88">
        <v>50</v>
      </c>
      <c r="AD88">
        <v>50</v>
      </c>
      <c r="AE88">
        <v>49</v>
      </c>
      <c r="AF88" t="s">
        <v>54</v>
      </c>
      <c r="AG88">
        <v>100</v>
      </c>
      <c r="AH88">
        <v>50</v>
      </c>
      <c r="AI88">
        <v>48</v>
      </c>
      <c r="AJ88">
        <v>50</v>
      </c>
      <c r="AK88">
        <v>50</v>
      </c>
      <c r="AL88">
        <v>489</v>
      </c>
      <c r="AM88">
        <v>10</v>
      </c>
      <c r="AN88">
        <v>1</v>
      </c>
      <c r="AO88">
        <v>1</v>
      </c>
      <c r="AP88" t="s">
        <v>563</v>
      </c>
      <c r="AQ88" t="str">
        <f>HYPERLINK("https://icf.clappia.com/app/GMB253374/submission/ZFW57520300/ICF247370-GMB253374-1o30j1epp6h8i0000000/SIG-20250626_161617gf6p.jpeg", "SIG-20250626_161617gf6p.jpeg")</f>
        <v>SIG-20250626_161617gf6p.jpeg</v>
      </c>
      <c r="AR88" t="s">
        <v>426</v>
      </c>
      <c r="AS88" t="str">
        <f>HYPERLINK("https://icf.clappia.com/app/GMB253374/submission/ZFW57520300/ICF247370-GMB253374-26bjg9a6j86ja0000000/SIG-20250626_1617eo94g.jpeg", "SIG-20250626_1617eo94g.jpeg")</f>
        <v>SIG-20250626_1617eo94g.jpeg</v>
      </c>
      <c r="AT88" t="s">
        <v>564</v>
      </c>
      <c r="AU88" t="str">
        <f>HYPERLINK("https://icf.clappia.com/app/GMB253374/submission/ZFW57520300/ICF247370-GMB253374-1m0n1jki6e9440000000/SIG-20250626_1619l0el0.jpeg", "SIG-20250626_1619l0el0.jpeg")</f>
        <v>SIG-20250626_1619l0el0.jpeg</v>
      </c>
      <c r="AV88" t="str">
        <f>HYPERLINK("https://www.google.com/maps/place/7.9659567%2C-11.7401618", "7.9659567,-11.7401618")</f>
        <v>7.9659567,-11.7401618</v>
      </c>
    </row>
    <row r="89">
      <c r="A89" t="s">
        <v>565</v>
      </c>
      <c r="B89" t="s">
        <v>46</v>
      </c>
      <c r="C89" t="s">
        <v>348</v>
      </c>
      <c r="D89" t="s">
        <v>566</v>
      </c>
      <c r="E89" t="s">
        <v>567</v>
      </c>
      <c r="F89" t="s">
        <v>64</v>
      </c>
      <c r="G89">
        <v>138</v>
      </c>
      <c r="H89" t="s">
        <v>50</v>
      </c>
      <c r="I89">
        <v>28</v>
      </c>
      <c r="J89">
        <v>14</v>
      </c>
      <c r="K89">
        <v>14</v>
      </c>
      <c r="L89">
        <v>14</v>
      </c>
      <c r="M89">
        <v>14</v>
      </c>
      <c r="N89" t="s">
        <v>51</v>
      </c>
      <c r="O89">
        <v>28</v>
      </c>
      <c r="P89">
        <v>15</v>
      </c>
      <c r="Q89">
        <v>15</v>
      </c>
      <c r="R89">
        <v>13</v>
      </c>
      <c r="S89">
        <v>13</v>
      </c>
      <c r="T89" t="s">
        <v>52</v>
      </c>
      <c r="U89">
        <v>27</v>
      </c>
      <c r="V89">
        <v>14</v>
      </c>
      <c r="W89">
        <v>14</v>
      </c>
      <c r="X89">
        <v>13</v>
      </c>
      <c r="Y89">
        <v>13</v>
      </c>
      <c r="Z89" t="s">
        <v>53</v>
      </c>
      <c r="AA89">
        <v>28</v>
      </c>
      <c r="AB89">
        <v>10</v>
      </c>
      <c r="AC89">
        <v>10</v>
      </c>
      <c r="AD89">
        <v>18</v>
      </c>
      <c r="AE89">
        <v>18</v>
      </c>
      <c r="AF89" t="s">
        <v>54</v>
      </c>
      <c r="AG89">
        <v>27</v>
      </c>
      <c r="AH89">
        <v>17</v>
      </c>
      <c r="AI89">
        <v>17</v>
      </c>
      <c r="AJ89">
        <v>10</v>
      </c>
      <c r="AK89">
        <v>10</v>
      </c>
      <c r="AL89">
        <v>138</v>
      </c>
      <c r="AM89" t="s">
        <v>55</v>
      </c>
      <c r="AN89" t="s">
        <v>55</v>
      </c>
      <c r="AO89" t="s">
        <v>55</v>
      </c>
      <c r="AP89" t="s">
        <v>568</v>
      </c>
      <c r="AQ89" t="str">
        <f>HYPERLINK("https://icf.clappia.com/app/GMB253374/submission/NRZ54025659/ICF247370-GMB253374-32od00h920i000000000/SIG-20250626_16399k410.jpeg", "SIG-20250626_16399k410.jpeg")</f>
        <v>SIG-20250626_16399k410.jpeg</v>
      </c>
      <c r="AR89" t="s">
        <v>569</v>
      </c>
      <c r="AS89" t="str">
        <f>HYPERLINK("https://icf.clappia.com/app/GMB253374/submission/NRZ54025659/ICF247370-GMB253374-309e2nmii4fi00000000/SIG-20250626_1640of4de.jpeg", "SIG-20250626_1640of4de.jpeg")</f>
        <v>SIG-20250626_1640of4de.jpeg</v>
      </c>
      <c r="AT89" t="s">
        <v>570</v>
      </c>
      <c r="AU89" t="str">
        <f>HYPERLINK("https://icf.clappia.com/app/GMB253374/submission/NRZ54025659/ICF247370-GMB253374-23g8ckgah8eae0000000/SIG-20250626_1640dfi47.jpeg", "SIG-20250626_1640dfi47.jpeg")</f>
        <v>SIG-20250626_1640dfi47.jpeg</v>
      </c>
      <c r="AV89" t="str">
        <f>HYPERLINK("https://www.google.com/maps/place/8.8714748%2C-12.0477297", "8.8714748,-12.0477297")</f>
        <v>8.8714748,-12.0477297</v>
      </c>
    </row>
    <row r="90">
      <c r="A90" t="s">
        <v>571</v>
      </c>
      <c r="B90" t="s">
        <v>46</v>
      </c>
      <c r="C90" t="s">
        <v>572</v>
      </c>
      <c r="D90" t="s">
        <v>573</v>
      </c>
      <c r="E90" t="s">
        <v>574</v>
      </c>
      <c r="F90" t="s">
        <v>64</v>
      </c>
      <c r="G90">
        <v>237</v>
      </c>
      <c r="H90" t="s">
        <v>50</v>
      </c>
      <c r="I90">
        <v>48</v>
      </c>
      <c r="J90">
        <v>20</v>
      </c>
      <c r="K90">
        <v>20</v>
      </c>
      <c r="L90">
        <v>28</v>
      </c>
      <c r="M90">
        <v>28</v>
      </c>
      <c r="N90" t="s">
        <v>51</v>
      </c>
      <c r="O90">
        <v>47</v>
      </c>
      <c r="P90">
        <v>27</v>
      </c>
      <c r="Q90">
        <v>27</v>
      </c>
      <c r="R90">
        <v>20</v>
      </c>
      <c r="S90">
        <v>20</v>
      </c>
      <c r="T90" t="s">
        <v>52</v>
      </c>
      <c r="U90">
        <v>47</v>
      </c>
      <c r="V90">
        <v>20</v>
      </c>
      <c r="W90">
        <v>20</v>
      </c>
      <c r="X90">
        <v>27</v>
      </c>
      <c r="Y90">
        <v>27</v>
      </c>
      <c r="Z90" t="s">
        <v>53</v>
      </c>
      <c r="AA90">
        <v>48</v>
      </c>
      <c r="AB90">
        <v>20</v>
      </c>
      <c r="AC90">
        <v>20</v>
      </c>
      <c r="AD90">
        <v>28</v>
      </c>
      <c r="AE90">
        <v>28</v>
      </c>
      <c r="AF90" t="s">
        <v>54</v>
      </c>
      <c r="AG90">
        <v>47</v>
      </c>
      <c r="AH90">
        <v>20</v>
      </c>
      <c r="AI90">
        <v>20</v>
      </c>
      <c r="AJ90">
        <v>27</v>
      </c>
      <c r="AK90">
        <v>27</v>
      </c>
      <c r="AL90">
        <v>237</v>
      </c>
      <c r="AM90" t="s">
        <v>55</v>
      </c>
      <c r="AN90" t="s">
        <v>55</v>
      </c>
      <c r="AO90" t="s">
        <v>55</v>
      </c>
      <c r="AP90" t="s">
        <v>568</v>
      </c>
      <c r="AQ90" t="str">
        <f>HYPERLINK("https://icf.clappia.com/app/GMB253374/submission/JYA72489348/ICF247370-GMB253374-28fd2kne1mhm00000000/SIG-20250626_16161acfi4.jpeg", "SIG-20250626_16161acfi4.jpeg")</f>
        <v>SIG-20250626_16161acfi4.jpeg</v>
      </c>
      <c r="AR90" t="s">
        <v>569</v>
      </c>
      <c r="AS90" t="str">
        <f>HYPERLINK("https://icf.clappia.com/app/GMB253374/submission/JYA72489348/ICF247370-GMB253374-1j5e046ng5go80000000/SIG-20250626_1617j4oc3.jpeg", "SIG-20250626_1617j4oc3.jpeg")</f>
        <v>SIG-20250626_1617j4oc3.jpeg</v>
      </c>
      <c r="AT90" t="s">
        <v>570</v>
      </c>
      <c r="AU90" t="str">
        <f>HYPERLINK("https://icf.clappia.com/app/GMB253374/submission/JYA72489348/ICF247370-GMB253374-5n6628ibmkcg00000000/SIG-20250626_1618ikcf2.jpeg", "SIG-20250626_1618ikcf2.jpeg")</f>
        <v>SIG-20250626_1618ikcf2.jpeg</v>
      </c>
      <c r="AV90" t="str">
        <f>HYPERLINK("https://www.google.com/maps/place/8.8656234%2C-12.0498633", "8.8656234,-12.0498633")</f>
        <v>8.8656234,-12.0498633</v>
      </c>
    </row>
    <row r="91">
      <c r="A91" t="s">
        <v>575</v>
      </c>
      <c r="B91" t="s">
        <v>46</v>
      </c>
      <c r="C91" t="s">
        <v>576</v>
      </c>
      <c r="D91" t="s">
        <v>576</v>
      </c>
      <c r="E91" t="s">
        <v>577</v>
      </c>
      <c r="F91" t="s">
        <v>64</v>
      </c>
      <c r="G91">
        <v>252</v>
      </c>
      <c r="H91" t="s">
        <v>50</v>
      </c>
      <c r="I91">
        <v>252</v>
      </c>
      <c r="J91">
        <v>25</v>
      </c>
      <c r="K91">
        <v>25</v>
      </c>
      <c r="L91">
        <v>25</v>
      </c>
      <c r="M91">
        <v>25</v>
      </c>
      <c r="N91" t="s">
        <v>51</v>
      </c>
      <c r="O91">
        <v>50</v>
      </c>
      <c r="P91">
        <v>25</v>
      </c>
      <c r="Q91">
        <v>25</v>
      </c>
      <c r="R91">
        <v>25</v>
      </c>
      <c r="S91">
        <v>25</v>
      </c>
      <c r="T91" t="s">
        <v>52</v>
      </c>
      <c r="U91">
        <v>50</v>
      </c>
      <c r="V91">
        <v>25</v>
      </c>
      <c r="W91">
        <v>25</v>
      </c>
      <c r="X91">
        <v>25</v>
      </c>
      <c r="Y91">
        <v>25</v>
      </c>
      <c r="Z91" t="s">
        <v>53</v>
      </c>
      <c r="AA91">
        <v>50</v>
      </c>
      <c r="AB91">
        <v>25</v>
      </c>
      <c r="AC91">
        <v>25</v>
      </c>
      <c r="AD91">
        <v>25</v>
      </c>
      <c r="AE91">
        <v>25</v>
      </c>
      <c r="AF91" t="s">
        <v>54</v>
      </c>
      <c r="AG91">
        <v>52</v>
      </c>
      <c r="AH91">
        <v>25</v>
      </c>
      <c r="AI91">
        <v>25</v>
      </c>
      <c r="AJ91">
        <v>27</v>
      </c>
      <c r="AK91">
        <v>25</v>
      </c>
      <c r="AL91">
        <v>250</v>
      </c>
      <c r="AM91" t="s">
        <v>55</v>
      </c>
      <c r="AN91">
        <v>2</v>
      </c>
      <c r="AO91" t="s">
        <v>55</v>
      </c>
      <c r="AP91" t="s">
        <v>578</v>
      </c>
      <c r="AQ91" t="str">
        <f>HYPERLINK("https://icf.clappia.com/app/GMB253374/submission/DJQ60337448/ICF247370-GMB253374-1nhn3hd9if3fm0000000/SIG-20250626_170511b3bc.jpeg", "SIG-20250626_170511b3bc.jpeg")</f>
        <v>SIG-20250626_170511b3bc.jpeg</v>
      </c>
      <c r="AR91" t="s">
        <v>358</v>
      </c>
      <c r="AS91" t="str">
        <f>HYPERLINK("https://icf.clappia.com/app/GMB253374/submission/DJQ60337448/ICF247370-GMB253374-4oa8apd4i4cm0000000/SIG-20250626_17051kgfi.jpeg", "SIG-20250626_17051kgfi.jpeg")</f>
        <v>SIG-20250626_17051kgfi.jpeg</v>
      </c>
      <c r="AT91" t="s">
        <v>579</v>
      </c>
      <c r="AU91" t="str">
        <f>HYPERLINK("https://icf.clappia.com/app/GMB253374/submission/DJQ60337448/ICF247370-GMB253374-2nh7i60dk0l000000000/SIG-20250626_170514278m.jpeg", "SIG-20250626_170514278m.jpeg")</f>
        <v>SIG-20250626_170514278m.jpeg</v>
      </c>
      <c r="AV91" t="str">
        <f>HYPERLINK("https://www.google.com/maps/place/8.8679638%2C-12.0516564", "8.8679638,-12.0516564")</f>
        <v>8.8679638,-12.0516564</v>
      </c>
    </row>
    <row r="92">
      <c r="A92" t="s">
        <v>580</v>
      </c>
      <c r="B92" t="s">
        <v>46</v>
      </c>
      <c r="C92" t="s">
        <v>581</v>
      </c>
      <c r="D92" t="s">
        <v>581</v>
      </c>
      <c r="E92" t="s">
        <v>582</v>
      </c>
      <c r="F92" t="s">
        <v>64</v>
      </c>
      <c r="G92">
        <v>500</v>
      </c>
      <c r="H92" t="s">
        <v>50</v>
      </c>
      <c r="I92">
        <v>80</v>
      </c>
      <c r="J92">
        <v>35</v>
      </c>
      <c r="K92">
        <v>35</v>
      </c>
      <c r="L92">
        <v>45</v>
      </c>
      <c r="M92">
        <v>45</v>
      </c>
      <c r="N92" t="s">
        <v>51</v>
      </c>
      <c r="O92">
        <v>53</v>
      </c>
      <c r="P92">
        <v>23</v>
      </c>
      <c r="Q92">
        <v>23</v>
      </c>
      <c r="R92">
        <v>30</v>
      </c>
      <c r="S92">
        <v>29</v>
      </c>
      <c r="T92" t="s">
        <v>52</v>
      </c>
      <c r="U92">
        <v>50</v>
      </c>
      <c r="V92">
        <v>24</v>
      </c>
      <c r="W92">
        <v>24</v>
      </c>
      <c r="X92">
        <v>26</v>
      </c>
      <c r="Y92">
        <v>25</v>
      </c>
      <c r="Z92" t="s">
        <v>53</v>
      </c>
      <c r="AA92">
        <v>60</v>
      </c>
      <c r="AB92">
        <v>29</v>
      </c>
      <c r="AC92">
        <v>28</v>
      </c>
      <c r="AD92">
        <v>31</v>
      </c>
      <c r="AE92">
        <v>30</v>
      </c>
      <c r="AF92" t="s">
        <v>54</v>
      </c>
      <c r="AG92">
        <v>65</v>
      </c>
      <c r="AH92">
        <v>30</v>
      </c>
      <c r="AI92">
        <v>30</v>
      </c>
      <c r="AJ92">
        <v>35</v>
      </c>
      <c r="AK92">
        <v>34</v>
      </c>
      <c r="AL92">
        <v>303</v>
      </c>
      <c r="AM92" t="s">
        <v>55</v>
      </c>
      <c r="AN92">
        <v>197</v>
      </c>
      <c r="AO92">
        <v>197</v>
      </c>
      <c r="AP92" t="s">
        <v>583</v>
      </c>
      <c r="AQ92" t="str">
        <f>HYPERLINK("https://icf.clappia.com/app/GMB253374/submission/MUW97274653/ICF247370-GMB253374-3pc1m70g48j800000000/SIG-20250626_17025b9d4.jpeg", "SIG-20250626_17025b9d4.jpeg")</f>
        <v>SIG-20250626_17025b9d4.jpeg</v>
      </c>
      <c r="AR92" t="s">
        <v>584</v>
      </c>
      <c r="AS92" t="str">
        <f>HYPERLINK("https://icf.clappia.com/app/GMB253374/submission/MUW97274653/ICF247370-GMB253374-5af3gd1ph96600000000/SIG-20250626_1702ij88i.jpeg", "SIG-20250626_1702ij88i.jpeg")</f>
        <v>SIG-20250626_1702ij88i.jpeg</v>
      </c>
      <c r="AT92" t="s">
        <v>585</v>
      </c>
      <c r="AU92" t="str">
        <f>HYPERLINK("https://icf.clappia.com/app/GMB253374/submission/MUW97274653/ICF247370-GMB253374-25df0e39bm4960000000/SIG-20250626_1703bio6c.jpeg", "SIG-20250626_1703bio6c.jpeg")</f>
        <v>SIG-20250626_1703bio6c.jpeg</v>
      </c>
      <c r="AV92" t="str">
        <f>HYPERLINK("https://www.google.com/maps/place/7.9625777%2C-11.7454439", "7.9625777,-11.7454439")</f>
        <v>7.9625777,-11.7454439</v>
      </c>
    </row>
    <row r="93">
      <c r="A93" t="s">
        <v>586</v>
      </c>
      <c r="B93" t="s">
        <v>46</v>
      </c>
      <c r="C93" t="s">
        <v>587</v>
      </c>
      <c r="D93" t="s">
        <v>587</v>
      </c>
      <c r="E93" t="s">
        <v>588</v>
      </c>
      <c r="F93" t="s">
        <v>64</v>
      </c>
      <c r="G93">
        <v>185</v>
      </c>
      <c r="H93" t="s">
        <v>50</v>
      </c>
      <c r="I93">
        <v>50</v>
      </c>
      <c r="J93">
        <v>22</v>
      </c>
      <c r="K93">
        <v>21</v>
      </c>
      <c r="L93">
        <v>28</v>
      </c>
      <c r="M93">
        <v>24</v>
      </c>
      <c r="N93" t="s">
        <v>51</v>
      </c>
      <c r="O93">
        <v>50</v>
      </c>
      <c r="P93">
        <v>20</v>
      </c>
      <c r="Q93">
        <v>19</v>
      </c>
      <c r="R93">
        <v>30</v>
      </c>
      <c r="S93">
        <v>28</v>
      </c>
      <c r="T93" t="s">
        <v>52</v>
      </c>
      <c r="U93">
        <v>55</v>
      </c>
      <c r="V93">
        <v>30</v>
      </c>
      <c r="W93">
        <v>28</v>
      </c>
      <c r="X93">
        <v>20</v>
      </c>
      <c r="Y93">
        <v>15</v>
      </c>
      <c r="Z93" t="s">
        <v>53</v>
      </c>
      <c r="AA93">
        <v>15</v>
      </c>
      <c r="AB93" t="s">
        <v>589</v>
      </c>
      <c r="AC93" t="s">
        <v>589</v>
      </c>
      <c r="AD93" t="s">
        <v>590</v>
      </c>
      <c r="AE93" t="s">
        <v>591</v>
      </c>
      <c r="AF93" t="s">
        <v>54</v>
      </c>
      <c r="AG93">
        <v>30</v>
      </c>
      <c r="AH93">
        <v>14</v>
      </c>
      <c r="AI93">
        <v>10</v>
      </c>
      <c r="AJ93">
        <v>16</v>
      </c>
      <c r="AK93">
        <v>14</v>
      </c>
      <c r="AL93">
        <v>171</v>
      </c>
      <c r="AM93">
        <v>10</v>
      </c>
      <c r="AN93">
        <v>4</v>
      </c>
      <c r="AO93">
        <v>1</v>
      </c>
      <c r="AP93" t="s">
        <v>592</v>
      </c>
      <c r="AQ93" t="str">
        <f>HYPERLINK("https://icf.clappia.com/app/GMB253374/submission/GXU70452053/ICF247370-GMB253374-43o5abnpbnaa00000000/SIG-20250626_1702o20i2.jpeg", "SIG-20250626_1702o20i2.jpeg")</f>
        <v>SIG-20250626_1702o20i2.jpeg</v>
      </c>
      <c r="AR93" t="s">
        <v>593</v>
      </c>
      <c r="AS93" t="str">
        <f>HYPERLINK("https://icf.clappia.com/app/GMB253374/submission/GXU70452053/ICF247370-GMB253374-13m9i1o5jhhd80000000/SIG-20250626_1702dmake.jpeg", "SIG-20250626_1702dmake.jpeg")</f>
        <v>SIG-20250626_1702dmake.jpeg</v>
      </c>
      <c r="AT93" t="s">
        <v>594</v>
      </c>
      <c r="AU93" t="str">
        <f>HYPERLINK("https://icf.clappia.com/app/GMB253374/submission/GXU70452053/ICF247370-GMB253374-11g6i83e9jele0000000/SIG-20250626_170314b911.jpeg", "SIG-20250626_170314b911.jpeg")</f>
        <v>SIG-20250626_170314b911.jpeg</v>
      </c>
      <c r="AV93" t="str">
        <f>HYPERLINK("https://www.google.com/maps/place/7.9661763%2C-11.7408682", "7.9661763,-11.7408682")</f>
        <v>7.9661763,-11.7408682</v>
      </c>
    </row>
    <row r="94">
      <c r="A94" t="s">
        <v>595</v>
      </c>
      <c r="B94" t="s">
        <v>46</v>
      </c>
      <c r="C94" t="s">
        <v>596</v>
      </c>
      <c r="D94" t="s">
        <v>596</v>
      </c>
      <c r="E94" t="s">
        <v>597</v>
      </c>
      <c r="F94" t="s">
        <v>64</v>
      </c>
      <c r="G94">
        <v>260</v>
      </c>
      <c r="H94" t="s">
        <v>50</v>
      </c>
      <c r="I94">
        <v>70</v>
      </c>
      <c r="J94">
        <v>30</v>
      </c>
      <c r="K94">
        <v>29</v>
      </c>
      <c r="L94">
        <v>40</v>
      </c>
      <c r="M94">
        <v>40</v>
      </c>
      <c r="N94" t="s">
        <v>51</v>
      </c>
      <c r="O94">
        <v>50</v>
      </c>
      <c r="P94">
        <v>25</v>
      </c>
      <c r="Q94">
        <v>24</v>
      </c>
      <c r="R94">
        <v>25</v>
      </c>
      <c r="S94">
        <v>24</v>
      </c>
      <c r="T94" t="s">
        <v>52</v>
      </c>
      <c r="U94">
        <v>50</v>
      </c>
      <c r="V94">
        <v>22</v>
      </c>
      <c r="W94">
        <v>22</v>
      </c>
      <c r="X94">
        <v>28</v>
      </c>
      <c r="Y94">
        <v>28</v>
      </c>
      <c r="Z94" t="s">
        <v>53</v>
      </c>
      <c r="AA94">
        <v>40</v>
      </c>
      <c r="AB94">
        <v>15</v>
      </c>
      <c r="AC94">
        <v>15</v>
      </c>
      <c r="AD94">
        <v>25</v>
      </c>
      <c r="AE94">
        <v>25</v>
      </c>
      <c r="AF94" t="s">
        <v>54</v>
      </c>
      <c r="AG94">
        <v>50</v>
      </c>
      <c r="AH94">
        <v>20</v>
      </c>
      <c r="AI94">
        <v>20</v>
      </c>
      <c r="AJ94">
        <v>30</v>
      </c>
      <c r="AK94">
        <v>30</v>
      </c>
      <c r="AL94">
        <v>257</v>
      </c>
      <c r="AM94">
        <v>3</v>
      </c>
      <c r="AN94" t="s">
        <v>55</v>
      </c>
      <c r="AO94" t="s">
        <v>55</v>
      </c>
      <c r="AP94" t="s">
        <v>598</v>
      </c>
      <c r="AQ94" t="str">
        <f>HYPERLINK("https://icf.clappia.com/app/GMB253374/submission/RYS98744362/ICF247370-GMB253374-1fdhgpo6l1gmi0000000/SIG-20250626_1627kdh2f.jpeg", "SIG-20250626_1627kdh2f.jpeg")</f>
        <v>SIG-20250626_1627kdh2f.jpeg</v>
      </c>
      <c r="AR94" t="s">
        <v>599</v>
      </c>
      <c r="AS94" t="str">
        <f>HYPERLINK("https://icf.clappia.com/app/GMB253374/submission/RYS98744362/ICF247370-GMB253374-3da2k7c9jdjk00000000/SIG-20250626_1627mp3fl.jpeg", "SIG-20250626_1627mp3fl.jpeg")</f>
        <v>SIG-20250626_1627mp3fl.jpeg</v>
      </c>
      <c r="AT94" t="s">
        <v>600</v>
      </c>
      <c r="AU94" t="str">
        <f>HYPERLINK("https://icf.clappia.com/app/GMB253374/submission/RYS98744362/ICF247370-GMB253374-61boajhjdcmo00000000/SIG-20250626_162713o51f.jpeg", "SIG-20250626_162713o51f.jpeg")</f>
        <v>SIG-20250626_162713o51f.jpeg</v>
      </c>
      <c r="AV94" t="str">
        <f>HYPERLINK("https://www.google.com/maps/place/7.966179%2C-11.7408609", "7.966179,-11.7408609")</f>
        <v>7.966179,-11.7408609</v>
      </c>
    </row>
    <row r="95">
      <c r="A95" t="s">
        <v>601</v>
      </c>
      <c r="B95" t="s">
        <v>46</v>
      </c>
      <c r="C95" t="s">
        <v>602</v>
      </c>
      <c r="D95" t="s">
        <v>602</v>
      </c>
      <c r="E95" t="s">
        <v>603</v>
      </c>
      <c r="F95" t="s">
        <v>64</v>
      </c>
      <c r="G95">
        <v>550</v>
      </c>
      <c r="H95" t="s">
        <v>50</v>
      </c>
      <c r="I95">
        <v>108</v>
      </c>
      <c r="J95">
        <v>58</v>
      </c>
      <c r="K95">
        <v>58</v>
      </c>
      <c r="L95">
        <v>50</v>
      </c>
      <c r="M95">
        <v>50</v>
      </c>
      <c r="N95" t="s">
        <v>51</v>
      </c>
      <c r="O95">
        <v>107</v>
      </c>
      <c r="P95">
        <v>48</v>
      </c>
      <c r="Q95">
        <v>48</v>
      </c>
      <c r="R95">
        <v>59</v>
      </c>
      <c r="S95">
        <v>59</v>
      </c>
      <c r="T95" t="s">
        <v>52</v>
      </c>
      <c r="U95">
        <v>107</v>
      </c>
      <c r="V95">
        <v>45</v>
      </c>
      <c r="W95">
        <v>45</v>
      </c>
      <c r="X95">
        <v>62</v>
      </c>
      <c r="Y95">
        <v>62</v>
      </c>
      <c r="Z95" t="s">
        <v>53</v>
      </c>
      <c r="AA95">
        <v>108</v>
      </c>
      <c r="AB95">
        <v>60</v>
      </c>
      <c r="AC95">
        <v>60</v>
      </c>
      <c r="AD95">
        <v>48</v>
      </c>
      <c r="AE95">
        <v>48</v>
      </c>
      <c r="AF95" t="s">
        <v>54</v>
      </c>
      <c r="AG95">
        <v>108</v>
      </c>
      <c r="AH95">
        <v>65</v>
      </c>
      <c r="AI95">
        <v>65</v>
      </c>
      <c r="AJ95">
        <v>43</v>
      </c>
      <c r="AK95">
        <v>43</v>
      </c>
      <c r="AL95">
        <v>538</v>
      </c>
      <c r="AM95" t="s">
        <v>55</v>
      </c>
      <c r="AN95">
        <v>12</v>
      </c>
      <c r="AO95">
        <v>12</v>
      </c>
      <c r="AP95" t="s">
        <v>604</v>
      </c>
      <c r="AQ95" t="str">
        <f>HYPERLINK("https://icf.clappia.com/app/GMB253374/submission/BMF39098878/ICF247370-GMB253374-4n88giopk4oe00000000/SIG-20250626_164217gg8m.jpeg", "SIG-20250626_164217gg8m.jpeg")</f>
        <v>SIG-20250626_164217gg8m.jpeg</v>
      </c>
      <c r="AR95" t="s">
        <v>605</v>
      </c>
      <c r="AS95" t="str">
        <f>HYPERLINK("https://icf.clappia.com/app/GMB253374/submission/BMF39098878/ICF247370-GMB253374-6b2l9f7b9h9i00000000/SIG-20250626_164316jp7l.jpeg", "SIG-20250626_164316jp7l.jpeg")</f>
        <v>SIG-20250626_164316jp7l.jpeg</v>
      </c>
      <c r="AT95" t="s">
        <v>606</v>
      </c>
      <c r="AU95" t="str">
        <f>HYPERLINK("https://icf.clappia.com/app/GMB253374/submission/BMF39098878/ICF247370-GMB253374-4g23b0e4c53c00000000/SIG-20250626_16471ahah9.jpeg", "SIG-20250626_16471ahah9.jpeg")</f>
        <v>SIG-20250626_16471ahah9.jpeg</v>
      </c>
      <c r="AV95" t="str">
        <f>HYPERLINK("https://www.google.com/maps/place/8.8672872%2C-12.0516564", "8.8672872,-12.0516564")</f>
        <v>8.8672872,-12.0516564</v>
      </c>
    </row>
    <row r="96">
      <c r="A96" t="s">
        <v>607</v>
      </c>
      <c r="B96" t="s">
        <v>46</v>
      </c>
      <c r="C96" t="s">
        <v>379</v>
      </c>
      <c r="D96" t="s">
        <v>608</v>
      </c>
      <c r="E96" t="s">
        <v>609</v>
      </c>
      <c r="F96" t="s">
        <v>49</v>
      </c>
      <c r="G96">
        <v>153</v>
      </c>
      <c r="H96" t="s">
        <v>50</v>
      </c>
      <c r="I96">
        <v>30</v>
      </c>
      <c r="J96">
        <v>12</v>
      </c>
      <c r="K96">
        <v>12</v>
      </c>
      <c r="L96">
        <v>18</v>
      </c>
      <c r="M96">
        <v>18</v>
      </c>
      <c r="N96" t="s">
        <v>51</v>
      </c>
      <c r="O96">
        <v>30</v>
      </c>
      <c r="P96">
        <v>10</v>
      </c>
      <c r="Q96">
        <v>10</v>
      </c>
      <c r="R96">
        <v>20</v>
      </c>
      <c r="S96">
        <v>20</v>
      </c>
      <c r="T96" t="s">
        <v>52</v>
      </c>
      <c r="U96">
        <v>31</v>
      </c>
      <c r="V96">
        <v>11</v>
      </c>
      <c r="W96">
        <v>11</v>
      </c>
      <c r="X96">
        <v>20</v>
      </c>
      <c r="Y96">
        <v>20</v>
      </c>
      <c r="Z96" t="s">
        <v>53</v>
      </c>
      <c r="AA96">
        <v>31</v>
      </c>
      <c r="AB96">
        <v>20</v>
      </c>
      <c r="AC96">
        <v>20</v>
      </c>
      <c r="AD96">
        <v>11</v>
      </c>
      <c r="AE96">
        <v>11</v>
      </c>
      <c r="AF96" t="s">
        <v>54</v>
      </c>
      <c r="AG96">
        <v>31</v>
      </c>
      <c r="AH96">
        <v>15</v>
      </c>
      <c r="AI96">
        <v>15</v>
      </c>
      <c r="AJ96">
        <v>16</v>
      </c>
      <c r="AK96">
        <v>16</v>
      </c>
      <c r="AL96">
        <v>153</v>
      </c>
      <c r="AM96" t="s">
        <v>55</v>
      </c>
      <c r="AN96" t="s">
        <v>55</v>
      </c>
      <c r="AO96" t="s">
        <v>55</v>
      </c>
      <c r="AP96" t="s">
        <v>610</v>
      </c>
      <c r="AQ96" t="str">
        <f>HYPERLINK("https://icf.clappia.com/app/GMB253374/submission/DEE55383725/ICF247370-GMB253374-45ij0b577ljo0000000/SIG-20250626_1641954kl.jpeg", "SIG-20250626_1641954kl.jpeg")</f>
        <v>SIG-20250626_1641954kl.jpeg</v>
      </c>
      <c r="AR96" t="s">
        <v>287</v>
      </c>
      <c r="AS96" t="str">
        <f>HYPERLINK("https://icf.clappia.com/app/GMB253374/submission/DEE55383725/ICF247370-GMB253374-46439jgjhg9800000000/SIG-20250626_1642156kll.jpeg", "SIG-20250626_1642156kll.jpeg")</f>
        <v>SIG-20250626_1642156kll.jpeg</v>
      </c>
      <c r="AT96" t="s">
        <v>137</v>
      </c>
      <c r="AU96" t="str">
        <f>HYPERLINK("https://icf.clappia.com/app/GMB253374/submission/DEE55383725/ICF247370-GMB253374-1ebbki12hnpi00000000/SIG-20250626_16428a8fk.jpeg", "SIG-20250626_16428a8fk.jpeg")</f>
        <v>SIG-20250626_16428a8fk.jpeg</v>
      </c>
      <c r="AV96" t="str">
        <f>HYPERLINK("https://www.google.com/maps/place/8.866889%2C-12.0430891", "8.866889,-12.0430891")</f>
        <v>8.866889,-12.0430891</v>
      </c>
    </row>
    <row r="97">
      <c r="A97" t="s">
        <v>611</v>
      </c>
      <c r="B97" t="s">
        <v>46</v>
      </c>
      <c r="C97" t="s">
        <v>386</v>
      </c>
      <c r="D97" t="s">
        <v>608</v>
      </c>
      <c r="E97" t="s">
        <v>612</v>
      </c>
      <c r="F97" t="s">
        <v>49</v>
      </c>
      <c r="G97">
        <v>250</v>
      </c>
      <c r="H97" t="s">
        <v>50</v>
      </c>
      <c r="I97">
        <v>42</v>
      </c>
      <c r="J97">
        <v>20</v>
      </c>
      <c r="K97">
        <v>20</v>
      </c>
      <c r="L97">
        <v>22</v>
      </c>
      <c r="M97">
        <v>22</v>
      </c>
      <c r="N97" t="s">
        <v>51</v>
      </c>
      <c r="O97">
        <v>50</v>
      </c>
      <c r="P97">
        <v>20</v>
      </c>
      <c r="Q97">
        <v>20</v>
      </c>
      <c r="R97">
        <v>30</v>
      </c>
      <c r="S97">
        <v>30</v>
      </c>
      <c r="T97" t="s">
        <v>52</v>
      </c>
      <c r="U97">
        <v>50</v>
      </c>
      <c r="V97">
        <v>27</v>
      </c>
      <c r="W97">
        <v>27</v>
      </c>
      <c r="X97">
        <v>23</v>
      </c>
      <c r="Y97">
        <v>23</v>
      </c>
      <c r="Z97" t="s">
        <v>53</v>
      </c>
      <c r="AA97">
        <v>50</v>
      </c>
      <c r="AB97">
        <v>20</v>
      </c>
      <c r="AC97">
        <v>20</v>
      </c>
      <c r="AD97">
        <v>30</v>
      </c>
      <c r="AE97">
        <v>30</v>
      </c>
      <c r="AF97" t="s">
        <v>54</v>
      </c>
      <c r="AG97">
        <v>50</v>
      </c>
      <c r="AH97">
        <v>20</v>
      </c>
      <c r="AI97">
        <v>20</v>
      </c>
      <c r="AJ97">
        <v>30</v>
      </c>
      <c r="AK97">
        <v>30</v>
      </c>
      <c r="AL97">
        <v>242</v>
      </c>
      <c r="AM97" t="s">
        <v>55</v>
      </c>
      <c r="AN97">
        <v>8</v>
      </c>
      <c r="AO97">
        <v>8</v>
      </c>
      <c r="AP97" t="s">
        <v>610</v>
      </c>
      <c r="AQ97" t="str">
        <f>HYPERLINK("https://icf.clappia.com/app/GMB253374/submission/YSE59877837/ICF247370-GMB253374-62mkn0cn7l6000000000/SIG-20250626_161517m5ad.jpeg", "SIG-20250626_161517m5ad.jpeg")</f>
        <v>SIG-20250626_161517m5ad.jpeg</v>
      </c>
      <c r="AR97" t="s">
        <v>287</v>
      </c>
      <c r="AS97" t="str">
        <f>HYPERLINK("https://icf.clappia.com/app/GMB253374/submission/YSE59877837/ICF247370-GMB253374-b0f61i6eohmg0000000/SIG-20250626_161562boo.jpeg", "SIG-20250626_161562boo.jpeg")</f>
        <v>SIG-20250626_161562boo.jpeg</v>
      </c>
      <c r="AT97" t="s">
        <v>613</v>
      </c>
      <c r="AU97" t="str">
        <f>HYPERLINK("https://icf.clappia.com/app/GMB253374/submission/YSE59877837/ICF247370-GMB253374-3h131g1ag6am00000000/SIG-20250626_1616mma78.jpeg", "SIG-20250626_1616mma78.jpeg")</f>
        <v>SIG-20250626_1616mma78.jpeg</v>
      </c>
      <c r="AV97" t="str">
        <f>HYPERLINK("https://www.google.com/maps/place/8.8656064%2C-12.0498283", "8.8656064,-12.0498283")</f>
        <v>8.8656064,-12.0498283</v>
      </c>
    </row>
    <row r="98">
      <c r="A98" t="s">
        <v>614</v>
      </c>
      <c r="B98" t="s">
        <v>46</v>
      </c>
      <c r="C98" t="s">
        <v>615</v>
      </c>
      <c r="D98" t="s">
        <v>615</v>
      </c>
      <c r="E98" t="s">
        <v>616</v>
      </c>
      <c r="F98" t="s">
        <v>64</v>
      </c>
      <c r="G98">
        <v>200</v>
      </c>
      <c r="H98" t="s">
        <v>50</v>
      </c>
      <c r="I98">
        <v>40</v>
      </c>
      <c r="J98">
        <v>15</v>
      </c>
      <c r="K98">
        <v>15</v>
      </c>
      <c r="L98">
        <v>25</v>
      </c>
      <c r="M98">
        <v>25</v>
      </c>
      <c r="N98" t="s">
        <v>51</v>
      </c>
      <c r="O98">
        <v>30</v>
      </c>
      <c r="P98">
        <v>15</v>
      </c>
      <c r="Q98">
        <v>15</v>
      </c>
      <c r="R98">
        <v>15</v>
      </c>
      <c r="S98">
        <v>15</v>
      </c>
      <c r="T98" t="s">
        <v>52</v>
      </c>
      <c r="U98">
        <v>50</v>
      </c>
      <c r="V98">
        <v>20</v>
      </c>
      <c r="W98">
        <v>20</v>
      </c>
      <c r="X98">
        <v>30</v>
      </c>
      <c r="Y98">
        <v>30</v>
      </c>
      <c r="Z98" t="s">
        <v>53</v>
      </c>
      <c r="AA98">
        <v>40</v>
      </c>
      <c r="AB98">
        <v>20</v>
      </c>
      <c r="AC98">
        <v>20</v>
      </c>
      <c r="AD98">
        <v>20</v>
      </c>
      <c r="AE98">
        <v>20</v>
      </c>
      <c r="AF98" t="s">
        <v>54</v>
      </c>
      <c r="AG98">
        <v>40</v>
      </c>
      <c r="AH98">
        <v>15</v>
      </c>
      <c r="AI98">
        <v>15</v>
      </c>
      <c r="AJ98">
        <v>25</v>
      </c>
      <c r="AK98">
        <v>25</v>
      </c>
      <c r="AL98">
        <v>200</v>
      </c>
      <c r="AM98" t="s">
        <v>55</v>
      </c>
      <c r="AN98" t="s">
        <v>55</v>
      </c>
      <c r="AO98" t="s">
        <v>55</v>
      </c>
      <c r="AP98" t="s">
        <v>617</v>
      </c>
      <c r="AQ98" t="str">
        <f>HYPERLINK("https://icf.clappia.com/app/GMB253374/submission/GJX17399454/ICF247370-GMB253374-1o9360p5507bg0000000/SIG-20250626_162511igm5.jpeg", "SIG-20250626_162511igm5.jpeg")</f>
        <v>SIG-20250626_162511igm5.jpeg</v>
      </c>
      <c r="AR98" t="s">
        <v>618</v>
      </c>
      <c r="AS98" t="str">
        <f>HYPERLINK("https://icf.clappia.com/app/GMB253374/submission/GJX17399454/ICF247370-GMB253374-1cla3dklc50240000000/SIG-20250626_162514ch16.jpeg", "SIG-20250626_162514ch16.jpeg")</f>
        <v>SIG-20250626_162514ch16.jpeg</v>
      </c>
      <c r="AT98" t="s">
        <v>619</v>
      </c>
      <c r="AU98" t="str">
        <f>HYPERLINK("https://icf.clappia.com/app/GMB253374/submission/GJX17399454/ICF247370-GMB253374-54567ep06g7200000000/SIG-20250626_162619g36h.jpeg", "SIG-20250626_162619g36h.jpeg")</f>
        <v>SIG-20250626_162619g36h.jpeg</v>
      </c>
      <c r="AV98" t="str">
        <f>HYPERLINK("https://www.google.com/maps/place/8.8666221%2C-12.0512994", "8.8666221,-12.0512994")</f>
        <v>8.8666221,-12.0512994</v>
      </c>
    </row>
    <row r="99">
      <c r="A99" t="s">
        <v>620</v>
      </c>
      <c r="B99" t="s">
        <v>46</v>
      </c>
      <c r="C99" t="s">
        <v>621</v>
      </c>
      <c r="D99" t="s">
        <v>621</v>
      </c>
      <c r="E99" t="s">
        <v>622</v>
      </c>
      <c r="F99" t="s">
        <v>64</v>
      </c>
      <c r="G99">
        <v>150</v>
      </c>
      <c r="H99" t="s">
        <v>50</v>
      </c>
      <c r="I99">
        <v>33</v>
      </c>
      <c r="J99">
        <v>25</v>
      </c>
      <c r="K99">
        <v>25</v>
      </c>
      <c r="L99">
        <v>7</v>
      </c>
      <c r="M99">
        <v>7</v>
      </c>
      <c r="N99" t="s">
        <v>51</v>
      </c>
      <c r="O99">
        <v>27</v>
      </c>
      <c r="P99">
        <v>19</v>
      </c>
      <c r="Q99">
        <v>19</v>
      </c>
      <c r="R99">
        <v>8</v>
      </c>
      <c r="S99">
        <v>8</v>
      </c>
      <c r="T99" t="s">
        <v>52</v>
      </c>
      <c r="U99">
        <v>22</v>
      </c>
      <c r="V99">
        <v>15</v>
      </c>
      <c r="W99">
        <v>15</v>
      </c>
      <c r="X99">
        <v>7</v>
      </c>
      <c r="Y99">
        <v>7</v>
      </c>
      <c r="Z99" t="s">
        <v>53</v>
      </c>
      <c r="AA99">
        <v>39</v>
      </c>
      <c r="AB99">
        <v>19</v>
      </c>
      <c r="AC99">
        <v>10</v>
      </c>
      <c r="AD99">
        <v>20</v>
      </c>
      <c r="AE99">
        <v>19</v>
      </c>
      <c r="AF99" t="s">
        <v>54</v>
      </c>
      <c r="AG99">
        <v>30</v>
      </c>
      <c r="AH99">
        <v>13</v>
      </c>
      <c r="AI99">
        <v>13</v>
      </c>
      <c r="AJ99">
        <v>17</v>
      </c>
      <c r="AK99">
        <v>17</v>
      </c>
      <c r="AL99">
        <v>140</v>
      </c>
      <c r="AM99">
        <v>10</v>
      </c>
      <c r="AN99" t="s">
        <v>55</v>
      </c>
      <c r="AO99" t="s">
        <v>55</v>
      </c>
      <c r="AP99" t="s">
        <v>623</v>
      </c>
      <c r="AQ99" t="str">
        <f>HYPERLINK("https://icf.clappia.com/app/GMB253374/submission/YAD86243671/ICF247370-GMB253374-394hd7loec5k00000000/SIG-20250626_1648a1a9d.jpeg", "SIG-20250626_1648a1a9d.jpeg")</f>
        <v>SIG-20250626_1648a1a9d.jpeg</v>
      </c>
      <c r="AR99" t="s">
        <v>624</v>
      </c>
      <c r="AS99" t="str">
        <f>HYPERLINK("https://icf.clappia.com/app/GMB253374/submission/YAD86243671/ICF247370-GMB253374-307cbn8c0mke0000000/SIG-20250626_1647jl392.jpeg", "SIG-20250626_1647jl392.jpeg")</f>
        <v>SIG-20250626_1647jl392.jpeg</v>
      </c>
      <c r="AT99" t="s">
        <v>625</v>
      </c>
      <c r="AU99" t="str">
        <f>HYPERLINK("https://icf.clappia.com/app/GMB253374/submission/YAD86243671/ICF247370-GMB253374-333jc64nf2jo0000000/SIG-20250626_1648kcp9i.jpeg", "SIG-20250626_1648kcp9i.jpeg")</f>
        <v>SIG-20250626_1648kcp9i.jpeg</v>
      </c>
      <c r="AV99" t="str">
        <f>HYPERLINK("https://www.google.com/maps/place/7.9661793%2C-11.740861", "7.9661793,-11.740861")</f>
        <v>7.9661793,-11.740861</v>
      </c>
    </row>
    <row r="100">
      <c r="A100" t="s">
        <v>626</v>
      </c>
      <c r="B100" t="s">
        <v>514</v>
      </c>
      <c r="C100" t="s">
        <v>627</v>
      </c>
      <c r="D100" t="s">
        <v>628</v>
      </c>
      <c r="E100" t="s">
        <v>629</v>
      </c>
      <c r="F100" t="s">
        <v>64</v>
      </c>
      <c r="G100">
        <v>250</v>
      </c>
      <c r="H100" t="s">
        <v>50</v>
      </c>
      <c r="I100">
        <v>50</v>
      </c>
      <c r="J100">
        <v>30</v>
      </c>
      <c r="K100">
        <v>25</v>
      </c>
      <c r="L100">
        <v>20</v>
      </c>
      <c r="M100">
        <v>18</v>
      </c>
      <c r="N100" t="s">
        <v>51</v>
      </c>
      <c r="O100">
        <v>46</v>
      </c>
      <c r="P100">
        <v>26</v>
      </c>
      <c r="Q100">
        <v>20</v>
      </c>
      <c r="R100">
        <v>20</v>
      </c>
      <c r="S100">
        <v>20</v>
      </c>
      <c r="T100" t="s">
        <v>52</v>
      </c>
      <c r="U100">
        <v>60</v>
      </c>
      <c r="V100">
        <v>30</v>
      </c>
      <c r="W100">
        <v>30</v>
      </c>
      <c r="X100">
        <v>30</v>
      </c>
      <c r="Y100">
        <v>30</v>
      </c>
      <c r="Z100" t="s">
        <v>53</v>
      </c>
      <c r="AA100">
        <v>25</v>
      </c>
      <c r="AB100">
        <v>15</v>
      </c>
      <c r="AC100">
        <v>15</v>
      </c>
      <c r="AD100">
        <v>10</v>
      </c>
      <c r="AE100">
        <v>10</v>
      </c>
      <c r="AF100" t="s">
        <v>54</v>
      </c>
      <c r="AG100">
        <v>32</v>
      </c>
      <c r="AH100">
        <v>16</v>
      </c>
      <c r="AI100">
        <v>16</v>
      </c>
      <c r="AJ100">
        <v>16</v>
      </c>
      <c r="AK100">
        <v>16</v>
      </c>
      <c r="AL100">
        <v>200</v>
      </c>
      <c r="AM100" t="s">
        <v>55</v>
      </c>
      <c r="AN100">
        <v>50</v>
      </c>
      <c r="AO100">
        <v>50</v>
      </c>
      <c r="AP100" t="s">
        <v>630</v>
      </c>
      <c r="AQ100" t="str">
        <f>HYPERLINK("https://icf.clappia.com/app/GMB253374/submission/WAS34196021/ICF247370-GMB253374-11dp6o4hgf58k0000000/SIG-20250626_163617d13k.jpeg", "SIG-20250626_163617d13k.jpeg")</f>
        <v>SIG-20250626_163617d13k.jpeg</v>
      </c>
      <c r="AR100" t="s">
        <v>631</v>
      </c>
      <c r="AS100" t="str">
        <f>HYPERLINK("https://icf.clappia.com/app/GMB253374/submission/WAS34196021/ICF247370-GMB253374-1f48h3nbhomja0000000/SIG-20250626_1636mcd02.jpeg", "SIG-20250626_1636mcd02.jpeg")</f>
        <v>SIG-20250626_1636mcd02.jpeg</v>
      </c>
      <c r="AT100" t="s">
        <v>632</v>
      </c>
      <c r="AU100" t="str">
        <f>HYPERLINK("https://icf.clappia.com/app/GMB253374/submission/WAS34196021/ICF247370-GMB253374-24o78co8d38lm0000000/SIG-20250626_1636532n9.jpeg", "SIG-20250626_1636532n9.jpeg")</f>
        <v>SIG-20250626_1636532n9.jpeg</v>
      </c>
      <c r="AV100" t="str">
        <f>HYPERLINK("https://www.google.com/maps/place/7.9642224%2C-11.7438736", "7.9642224,-11.7438736")</f>
        <v>7.9642224,-11.7438736</v>
      </c>
    </row>
    <row r="101">
      <c r="A101" t="s">
        <v>633</v>
      </c>
      <c r="B101" t="s">
        <v>46</v>
      </c>
      <c r="C101" t="s">
        <v>361</v>
      </c>
      <c r="D101" t="s">
        <v>628</v>
      </c>
      <c r="E101" t="s">
        <v>634</v>
      </c>
      <c r="F101" t="s">
        <v>64</v>
      </c>
      <c r="G101">
        <v>250</v>
      </c>
      <c r="H101" t="s">
        <v>50</v>
      </c>
      <c r="I101">
        <v>50</v>
      </c>
      <c r="J101">
        <v>25</v>
      </c>
      <c r="K101">
        <v>24</v>
      </c>
      <c r="L101">
        <v>25</v>
      </c>
      <c r="M101">
        <v>24</v>
      </c>
      <c r="N101" t="s">
        <v>51</v>
      </c>
      <c r="O101">
        <v>50</v>
      </c>
      <c r="P101">
        <v>25</v>
      </c>
      <c r="Q101">
        <v>24</v>
      </c>
      <c r="R101">
        <v>25</v>
      </c>
      <c r="S101">
        <v>24</v>
      </c>
      <c r="T101" t="s">
        <v>52</v>
      </c>
      <c r="U101">
        <v>50</v>
      </c>
      <c r="V101">
        <v>25</v>
      </c>
      <c r="W101">
        <v>24</v>
      </c>
      <c r="X101">
        <v>25</v>
      </c>
      <c r="Y101">
        <v>24</v>
      </c>
      <c r="Z101" t="s">
        <v>53</v>
      </c>
      <c r="AA101">
        <v>50</v>
      </c>
      <c r="AB101">
        <v>25</v>
      </c>
      <c r="AC101">
        <v>24</v>
      </c>
      <c r="AD101">
        <v>25</v>
      </c>
      <c r="AE101">
        <v>24</v>
      </c>
      <c r="AF101" t="s">
        <v>54</v>
      </c>
      <c r="AG101">
        <v>50</v>
      </c>
      <c r="AH101">
        <v>25</v>
      </c>
      <c r="AI101">
        <v>24</v>
      </c>
      <c r="AJ101">
        <v>25</v>
      </c>
      <c r="AK101">
        <v>24</v>
      </c>
      <c r="AL101">
        <v>240</v>
      </c>
      <c r="AM101">
        <v>10</v>
      </c>
      <c r="AN101" t="s">
        <v>55</v>
      </c>
      <c r="AO101" t="s">
        <v>55</v>
      </c>
      <c r="AP101" t="s">
        <v>635</v>
      </c>
      <c r="AQ101" t="str">
        <f>HYPERLINK("https://icf.clappia.com/app/GMB253374/submission/CYO25860710/ICF247370-GMB253374-1j82m9bd6eidm0000000/SIG-20250626_1645ca4n9.jpeg", "SIG-20250626_1645ca4n9.jpeg")</f>
        <v>SIG-20250626_1645ca4n9.jpeg</v>
      </c>
      <c r="AR101" t="s">
        <v>353</v>
      </c>
      <c r="AS101" t="str">
        <f>HYPERLINK("https://icf.clappia.com/app/GMB253374/submission/CYO25860710/ICF247370-GMB253374-37kdnf1d88jo00000000/SIG-20250626_1645n5akn.jpeg", "SIG-20250626_1645n5akn.jpeg")</f>
        <v>SIG-20250626_1645n5akn.jpeg</v>
      </c>
      <c r="AT101" t="s">
        <v>636</v>
      </c>
      <c r="AU101" t="str">
        <f>HYPERLINK("https://icf.clappia.com/app/GMB253374/submission/CYO25860710/ICF247370-GMB253374-34i1b3bp3a1k0000000/SIG-20250626_16455b6nm.jpeg", "SIG-20250626_16455b6nm.jpeg")</f>
        <v>SIG-20250626_16455b6nm.jpeg</v>
      </c>
      <c r="AV101" t="str">
        <f>HYPERLINK("https://www.google.com/maps/place/8.867094%2C-12.0513469", "8.867094,-12.0513469")</f>
        <v>8.867094,-12.0513469</v>
      </c>
    </row>
    <row r="102">
      <c r="A102" t="s">
        <v>637</v>
      </c>
      <c r="B102" t="s">
        <v>514</v>
      </c>
      <c r="C102" t="s">
        <v>638</v>
      </c>
      <c r="D102" t="s">
        <v>628</v>
      </c>
      <c r="E102" t="s">
        <v>639</v>
      </c>
      <c r="F102" t="s">
        <v>64</v>
      </c>
      <c r="G102">
        <v>300</v>
      </c>
      <c r="H102" t="s">
        <v>50</v>
      </c>
      <c r="I102">
        <v>50</v>
      </c>
      <c r="J102">
        <v>30</v>
      </c>
      <c r="K102">
        <v>20</v>
      </c>
      <c r="L102">
        <v>20</v>
      </c>
      <c r="M102">
        <v>15</v>
      </c>
      <c r="N102" t="s">
        <v>51</v>
      </c>
      <c r="O102">
        <v>30</v>
      </c>
      <c r="P102">
        <v>15</v>
      </c>
      <c r="Q102">
        <v>15</v>
      </c>
      <c r="R102">
        <v>15</v>
      </c>
      <c r="S102">
        <v>15</v>
      </c>
      <c r="T102" t="s">
        <v>52</v>
      </c>
      <c r="U102">
        <v>40</v>
      </c>
      <c r="V102">
        <v>25</v>
      </c>
      <c r="W102">
        <v>20</v>
      </c>
      <c r="X102">
        <v>15</v>
      </c>
      <c r="Y102">
        <v>10</v>
      </c>
      <c r="Z102" t="s">
        <v>53</v>
      </c>
      <c r="AA102">
        <v>55</v>
      </c>
      <c r="AB102">
        <v>30</v>
      </c>
      <c r="AC102">
        <v>30</v>
      </c>
      <c r="AD102">
        <v>25</v>
      </c>
      <c r="AE102">
        <v>25</v>
      </c>
      <c r="AF102" t="s">
        <v>54</v>
      </c>
      <c r="AG102">
        <v>100</v>
      </c>
      <c r="AH102">
        <v>50</v>
      </c>
      <c r="AI102">
        <v>50</v>
      </c>
      <c r="AJ102">
        <v>50</v>
      </c>
      <c r="AK102">
        <v>50</v>
      </c>
      <c r="AL102">
        <v>250</v>
      </c>
      <c r="AM102">
        <v>10</v>
      </c>
      <c r="AN102">
        <v>40</v>
      </c>
      <c r="AO102">
        <v>40</v>
      </c>
      <c r="AP102" t="s">
        <v>640</v>
      </c>
      <c r="AQ102" t="str">
        <f>HYPERLINK("https://icf.clappia.com/app/GMB253374/submission/VRX89344853/ICF247370-GMB253374-612meh0mfj0o00000000/SIG-20250626_1545i976p.jpeg", "SIG-20250626_1545i976p.jpeg")</f>
        <v>SIG-20250626_1545i976p.jpeg</v>
      </c>
      <c r="AR102" t="s">
        <v>641</v>
      </c>
      <c r="AS102" t="str">
        <f>HYPERLINK("https://icf.clappia.com/app/GMB253374/submission/VRX89344853/ICF247370-GMB253374-ineg49cgp2000000000/SIG-20250626_154510ck5d.jpeg", "SIG-20250626_154510ck5d.jpeg")</f>
        <v>SIG-20250626_154510ck5d.jpeg</v>
      </c>
      <c r="AT102" t="s">
        <v>642</v>
      </c>
      <c r="AU102" t="str">
        <f>HYPERLINK("https://icf.clappia.com/app/GMB253374/submission/VRX89344853/ICF247370-GMB253374-ej9m649b73da0000000/SIG-20250626_15463b3mn.jpeg", "SIG-20250626_15463b3mn.jpeg")</f>
        <v>SIG-20250626_15463b3mn.jpeg</v>
      </c>
      <c r="AV102" t="str">
        <f>HYPERLINK("https://www.google.com/maps/place/7.9642617%2C-11.744118", "7.9642617,-11.744118")</f>
        <v>7.9642617,-11.744118</v>
      </c>
    </row>
    <row r="103">
      <c r="A103" t="s">
        <v>643</v>
      </c>
      <c r="B103" t="s">
        <v>46</v>
      </c>
      <c r="C103" t="s">
        <v>628</v>
      </c>
      <c r="D103" t="s">
        <v>628</v>
      </c>
      <c r="E103" t="s">
        <v>644</v>
      </c>
      <c r="F103" t="s">
        <v>64</v>
      </c>
      <c r="G103">
        <v>500</v>
      </c>
      <c r="H103" t="s">
        <v>50</v>
      </c>
      <c r="I103">
        <v>100</v>
      </c>
      <c r="J103">
        <v>50</v>
      </c>
      <c r="K103">
        <v>49</v>
      </c>
      <c r="L103">
        <v>50</v>
      </c>
      <c r="M103">
        <v>48</v>
      </c>
      <c r="N103" t="s">
        <v>51</v>
      </c>
      <c r="O103">
        <v>100</v>
      </c>
      <c r="P103">
        <v>50</v>
      </c>
      <c r="Q103">
        <v>48</v>
      </c>
      <c r="R103">
        <v>50</v>
      </c>
      <c r="S103">
        <v>50</v>
      </c>
      <c r="T103" t="s">
        <v>52</v>
      </c>
      <c r="U103">
        <v>100</v>
      </c>
      <c r="V103">
        <v>50</v>
      </c>
      <c r="W103">
        <v>49</v>
      </c>
      <c r="X103">
        <v>50</v>
      </c>
      <c r="Y103">
        <v>49</v>
      </c>
      <c r="Z103" t="s">
        <v>53</v>
      </c>
      <c r="AA103">
        <v>100</v>
      </c>
      <c r="AB103">
        <v>50</v>
      </c>
      <c r="AC103">
        <v>49</v>
      </c>
      <c r="AD103">
        <v>50</v>
      </c>
      <c r="AE103">
        <v>50</v>
      </c>
      <c r="AF103" t="s">
        <v>54</v>
      </c>
      <c r="AG103">
        <v>100</v>
      </c>
      <c r="AH103">
        <v>50</v>
      </c>
      <c r="AI103">
        <v>48</v>
      </c>
      <c r="AJ103">
        <v>50</v>
      </c>
      <c r="AK103">
        <v>49</v>
      </c>
      <c r="AL103">
        <v>489</v>
      </c>
      <c r="AM103" t="s">
        <v>55</v>
      </c>
      <c r="AN103">
        <v>11</v>
      </c>
      <c r="AO103">
        <v>11</v>
      </c>
      <c r="AP103" t="s">
        <v>645</v>
      </c>
      <c r="AQ103" t="str">
        <f>HYPERLINK("https://icf.clappia.com/app/GMB253374/submission/UCS78393403/ICF247370-GMB253374-3dn1k81oj8lk00000000/SIG-20250626_161512m86k.jpeg", "SIG-20250626_161512m86k.jpeg")</f>
        <v>SIG-20250626_161512m86k.jpeg</v>
      </c>
      <c r="AR103" t="s">
        <v>646</v>
      </c>
      <c r="AS103" t="str">
        <f>HYPERLINK("https://icf.clappia.com/app/GMB253374/submission/UCS78393403/ICF247370-GMB253374-gh0c1l7222k00000000/SIG-20250626_16164dhl0.jpeg", "SIG-20250626_16164dhl0.jpeg")</f>
        <v>SIG-20250626_16164dhl0.jpeg</v>
      </c>
      <c r="AT103" t="s">
        <v>647</v>
      </c>
      <c r="AU103" t="str">
        <f>HYPERLINK("https://icf.clappia.com/app/GMB253374/submission/UCS78393403/ICF247370-GMB253374-30ih5jhj727200000000/SIG-20250626_16174epf0.jpeg", "SIG-20250626_16174epf0.jpeg")</f>
        <v>SIG-20250626_16174epf0.jpeg</v>
      </c>
      <c r="AV103" t="str">
        <f>HYPERLINK("https://www.google.com/maps/place/7.9662698%2C-11.7405942", "7.9662698,-11.7405942")</f>
        <v>7.9662698,-11.7405942</v>
      </c>
    </row>
    <row r="104">
      <c r="A104" t="s">
        <v>648</v>
      </c>
      <c r="B104" t="s">
        <v>46</v>
      </c>
      <c r="C104" t="s">
        <v>649</v>
      </c>
      <c r="D104" t="s">
        <v>650</v>
      </c>
      <c r="E104" t="s">
        <v>651</v>
      </c>
      <c r="F104" t="s">
        <v>64</v>
      </c>
      <c r="G104">
        <v>250</v>
      </c>
      <c r="H104" t="s">
        <v>50</v>
      </c>
      <c r="I104">
        <v>50</v>
      </c>
      <c r="J104">
        <v>25</v>
      </c>
      <c r="K104">
        <v>24</v>
      </c>
      <c r="L104">
        <v>25</v>
      </c>
      <c r="M104">
        <v>24</v>
      </c>
      <c r="N104" t="s">
        <v>51</v>
      </c>
      <c r="O104">
        <v>50</v>
      </c>
      <c r="P104">
        <v>25</v>
      </c>
      <c r="Q104">
        <v>24</v>
      </c>
      <c r="R104">
        <v>25</v>
      </c>
      <c r="S104">
        <v>24</v>
      </c>
      <c r="T104" t="s">
        <v>52</v>
      </c>
      <c r="U104">
        <v>50</v>
      </c>
      <c r="V104">
        <v>25</v>
      </c>
      <c r="W104">
        <v>24</v>
      </c>
      <c r="X104">
        <v>25</v>
      </c>
      <c r="Y104">
        <v>24</v>
      </c>
      <c r="Z104" t="s">
        <v>53</v>
      </c>
      <c r="AA104">
        <v>50</v>
      </c>
      <c r="AB104">
        <v>25</v>
      </c>
      <c r="AC104">
        <v>24</v>
      </c>
      <c r="AD104">
        <v>25</v>
      </c>
      <c r="AE104">
        <v>24</v>
      </c>
      <c r="AF104" t="s">
        <v>54</v>
      </c>
      <c r="AG104">
        <v>50</v>
      </c>
      <c r="AH104">
        <v>25</v>
      </c>
      <c r="AI104">
        <v>24</v>
      </c>
      <c r="AJ104">
        <v>25</v>
      </c>
      <c r="AK104">
        <v>24</v>
      </c>
      <c r="AL104">
        <v>240</v>
      </c>
      <c r="AM104">
        <v>10</v>
      </c>
      <c r="AN104" t="s">
        <v>55</v>
      </c>
      <c r="AO104" t="s">
        <v>55</v>
      </c>
      <c r="AP104" t="s">
        <v>652</v>
      </c>
      <c r="AQ104" t="str">
        <f>HYPERLINK("https://icf.clappia.com/app/GMB253374/submission/IHM61374785/ICF247370-GMB253374-653cc2b4l8og00000000/SIG-20250626_162314m15m.jpeg", "SIG-20250626_162314m15m.jpeg")</f>
        <v>SIG-20250626_162314m15m.jpeg</v>
      </c>
      <c r="AR104" t="s">
        <v>635</v>
      </c>
      <c r="AS104" t="str">
        <f>HYPERLINK("https://icf.clappia.com/app/GMB253374/submission/IHM61374785/ICF247370-GMB253374-5531aplm8a4800000000/SIG-20250626_1624f25c0.jpeg", "SIG-20250626_1624f25c0.jpeg")</f>
        <v>SIG-20250626_1624f25c0.jpeg</v>
      </c>
      <c r="AT104" t="s">
        <v>653</v>
      </c>
      <c r="AU104" t="str">
        <f>HYPERLINK("https://icf.clappia.com/app/GMB253374/submission/IHM61374785/ICF247370-GMB253374-dd5409j5p9n60000000/SIG-20250626_16243ep6f.jpeg", "SIG-20250626_16243ep6f.jpeg")</f>
        <v>SIG-20250626_16243ep6f.jpeg</v>
      </c>
      <c r="AV104" t="str">
        <f>HYPERLINK("https://www.google.com/maps/place/8.8655649%2C-12.0498502", "8.8655649,-12.0498502")</f>
        <v>8.8655649,-12.0498502</v>
      </c>
    </row>
    <row r="105">
      <c r="A105" t="s">
        <v>654</v>
      </c>
      <c r="B105" t="s">
        <v>46</v>
      </c>
      <c r="C105" t="s">
        <v>650</v>
      </c>
      <c r="D105" t="s">
        <v>650</v>
      </c>
      <c r="E105" t="s">
        <v>655</v>
      </c>
      <c r="F105" t="s">
        <v>64</v>
      </c>
      <c r="G105">
        <v>100</v>
      </c>
      <c r="H105" t="s">
        <v>50</v>
      </c>
      <c r="I105">
        <v>19</v>
      </c>
      <c r="J105">
        <v>9</v>
      </c>
      <c r="K105">
        <v>9</v>
      </c>
      <c r="L105">
        <v>10</v>
      </c>
      <c r="M105">
        <v>10</v>
      </c>
      <c r="N105" t="s">
        <v>51</v>
      </c>
      <c r="O105">
        <v>20</v>
      </c>
      <c r="P105">
        <v>10</v>
      </c>
      <c r="Q105">
        <v>9</v>
      </c>
      <c r="R105">
        <v>10</v>
      </c>
      <c r="S105">
        <v>8</v>
      </c>
      <c r="T105" t="s">
        <v>52</v>
      </c>
      <c r="U105">
        <v>15</v>
      </c>
      <c r="V105">
        <v>7</v>
      </c>
      <c r="W105">
        <v>7</v>
      </c>
      <c r="X105">
        <v>8</v>
      </c>
      <c r="Y105">
        <v>8</v>
      </c>
      <c r="Z105" t="s">
        <v>53</v>
      </c>
      <c r="AA105">
        <v>15</v>
      </c>
      <c r="AB105">
        <v>5</v>
      </c>
      <c r="AC105">
        <v>5</v>
      </c>
      <c r="AD105">
        <v>10</v>
      </c>
      <c r="AE105">
        <v>10</v>
      </c>
      <c r="AF105" t="s">
        <v>54</v>
      </c>
      <c r="AG105">
        <v>10</v>
      </c>
      <c r="AH105">
        <v>6</v>
      </c>
      <c r="AI105">
        <v>4</v>
      </c>
      <c r="AJ105">
        <v>4</v>
      </c>
      <c r="AK105">
        <v>4</v>
      </c>
      <c r="AL105">
        <v>74</v>
      </c>
      <c r="AM105">
        <v>10</v>
      </c>
      <c r="AN105">
        <v>16</v>
      </c>
      <c r="AO105">
        <v>16</v>
      </c>
      <c r="AP105" t="s">
        <v>656</v>
      </c>
      <c r="AQ105" t="str">
        <f>HYPERLINK("https://icf.clappia.com/app/GMB253374/submission/LFQ72855440/ICF247370-GMB253374-37ool35kifdm00000000/SIG-20250626_164564m06.jpeg", "SIG-20250626_164564m06.jpeg")</f>
        <v>SIG-20250626_164564m06.jpeg</v>
      </c>
      <c r="AR105" t="s">
        <v>657</v>
      </c>
      <c r="AS105" t="str">
        <f>HYPERLINK("https://icf.clappia.com/app/GMB253374/submission/LFQ72855440/ICF247370-GMB253374-2h9oojdk172a00000000/SIG-20250626_164611l3f6.jpeg", "SIG-20250626_164611l3f6.jpeg")</f>
        <v>SIG-20250626_164611l3f6.jpeg</v>
      </c>
      <c r="AT105" t="s">
        <v>658</v>
      </c>
      <c r="AU105" t="str">
        <f>HYPERLINK("https://icf.clappia.com/app/GMB253374/submission/LFQ72855440/ICF247370-GMB253374-35d1lldk91f000000000/SIG-20250626_164619k645.jpeg", "SIG-20250626_164619k645.jpeg")</f>
        <v>SIG-20250626_164619k645.jpeg</v>
      </c>
      <c r="AV105" t="str">
        <f>HYPERLINK("https://www.google.com/maps/place/7.9647956%2C-11.7380514", "7.9647956,-11.7380514")</f>
        <v>7.9647956,-11.7380514</v>
      </c>
    </row>
    <row r="106">
      <c r="A106" t="s">
        <v>659</v>
      </c>
      <c r="B106" t="s">
        <v>46</v>
      </c>
      <c r="C106" t="s">
        <v>650</v>
      </c>
      <c r="D106" t="s">
        <v>650</v>
      </c>
      <c r="E106" t="s">
        <v>660</v>
      </c>
      <c r="F106" t="s">
        <v>64</v>
      </c>
      <c r="G106">
        <v>249</v>
      </c>
      <c r="H106" t="s">
        <v>50</v>
      </c>
      <c r="I106">
        <v>53</v>
      </c>
      <c r="J106">
        <v>25</v>
      </c>
      <c r="K106">
        <v>25</v>
      </c>
      <c r="L106">
        <v>28</v>
      </c>
      <c r="M106">
        <v>28</v>
      </c>
      <c r="N106" t="s">
        <v>51</v>
      </c>
      <c r="O106">
        <v>49</v>
      </c>
      <c r="P106">
        <v>24</v>
      </c>
      <c r="Q106">
        <v>24</v>
      </c>
      <c r="R106">
        <v>25</v>
      </c>
      <c r="S106">
        <v>25</v>
      </c>
      <c r="T106" t="s">
        <v>52</v>
      </c>
      <c r="U106">
        <v>49</v>
      </c>
      <c r="V106">
        <v>25</v>
      </c>
      <c r="W106">
        <v>25</v>
      </c>
      <c r="X106">
        <v>24</v>
      </c>
      <c r="Y106">
        <v>24</v>
      </c>
      <c r="Z106" t="s">
        <v>53</v>
      </c>
      <c r="AA106">
        <v>49</v>
      </c>
      <c r="AB106">
        <v>24</v>
      </c>
      <c r="AC106">
        <v>24</v>
      </c>
      <c r="AD106">
        <v>25</v>
      </c>
      <c r="AE106">
        <v>25</v>
      </c>
      <c r="AF106" t="s">
        <v>54</v>
      </c>
      <c r="AG106">
        <v>49</v>
      </c>
      <c r="AH106">
        <v>25</v>
      </c>
      <c r="AI106">
        <v>25</v>
      </c>
      <c r="AJ106">
        <v>24</v>
      </c>
      <c r="AK106">
        <v>24</v>
      </c>
      <c r="AL106">
        <v>249</v>
      </c>
      <c r="AM106" t="s">
        <v>55</v>
      </c>
      <c r="AN106" t="s">
        <v>55</v>
      </c>
      <c r="AO106" t="s">
        <v>55</v>
      </c>
      <c r="AP106" t="s">
        <v>661</v>
      </c>
      <c r="AQ106" t="str">
        <f>HYPERLINK("https://icf.clappia.com/app/GMB253374/submission/PEB59500750/ICF247370-GMB253374-25i9aegl1hha00000000/SIG-20250626_164514h455.jpeg", "SIG-20250626_164514h455.jpeg")</f>
        <v>SIG-20250626_164514h455.jpeg</v>
      </c>
      <c r="AR106" t="s">
        <v>662</v>
      </c>
      <c r="AS106" t="str">
        <f>HYPERLINK("https://icf.clappia.com/app/GMB253374/submission/PEB59500750/ICF247370-GMB253374-2oii9a6iadlc00000000/SIG-20250626_1646653aa.jpeg", "SIG-20250626_1646653aa.jpeg")</f>
        <v>SIG-20250626_1646653aa.jpeg</v>
      </c>
      <c r="AT106" t="s">
        <v>663</v>
      </c>
      <c r="AU106" t="str">
        <f>HYPERLINK("https://icf.clappia.com/app/GMB253374/submission/PEB59500750/ICF247370-GMB253374-59gh2glk25e600000000/SIG-20250626_164714boag.jpeg", "SIG-20250626_164714boag.jpeg")</f>
        <v>SIG-20250626_164714boag.jpeg</v>
      </c>
      <c r="AV106" t="str">
        <f>HYPERLINK("https://www.google.com/maps/place/8.8646503%2C-12.0495145", "8.8646503,-12.0495145")</f>
        <v>8.8646503,-12.0495145</v>
      </c>
    </row>
    <row r="107">
      <c r="A107" t="s">
        <v>664</v>
      </c>
      <c r="B107" t="s">
        <v>46</v>
      </c>
      <c r="C107" t="s">
        <v>361</v>
      </c>
      <c r="D107" t="s">
        <v>361</v>
      </c>
      <c r="E107" t="s">
        <v>665</v>
      </c>
      <c r="F107" t="s">
        <v>64</v>
      </c>
      <c r="G107">
        <v>400</v>
      </c>
      <c r="H107" t="s">
        <v>50</v>
      </c>
      <c r="I107">
        <v>50</v>
      </c>
      <c r="J107">
        <v>23</v>
      </c>
      <c r="K107">
        <v>23</v>
      </c>
      <c r="L107">
        <v>27</v>
      </c>
      <c r="M107">
        <v>27</v>
      </c>
      <c r="N107" t="s">
        <v>51</v>
      </c>
      <c r="O107">
        <v>100</v>
      </c>
      <c r="P107">
        <v>50</v>
      </c>
      <c r="Q107">
        <v>50</v>
      </c>
      <c r="R107">
        <v>50</v>
      </c>
      <c r="S107">
        <v>50</v>
      </c>
      <c r="T107" t="s">
        <v>52</v>
      </c>
      <c r="U107">
        <v>100</v>
      </c>
      <c r="V107">
        <v>35</v>
      </c>
      <c r="W107">
        <v>35</v>
      </c>
      <c r="X107">
        <v>65</v>
      </c>
      <c r="Y107">
        <v>65</v>
      </c>
      <c r="Z107" t="s">
        <v>53</v>
      </c>
      <c r="AA107">
        <v>50</v>
      </c>
      <c r="AB107">
        <v>25</v>
      </c>
      <c r="AC107">
        <v>25</v>
      </c>
      <c r="AD107">
        <v>25</v>
      </c>
      <c r="AE107">
        <v>25</v>
      </c>
      <c r="AF107" t="s">
        <v>54</v>
      </c>
      <c r="AG107">
        <v>100</v>
      </c>
      <c r="AH107">
        <v>30</v>
      </c>
      <c r="AI107">
        <v>30</v>
      </c>
      <c r="AJ107">
        <v>70</v>
      </c>
      <c r="AK107">
        <v>70</v>
      </c>
      <c r="AL107">
        <v>400</v>
      </c>
      <c r="AM107" t="s">
        <v>55</v>
      </c>
      <c r="AN107" t="s">
        <v>55</v>
      </c>
      <c r="AO107" t="s">
        <v>55</v>
      </c>
      <c r="AP107" t="s">
        <v>666</v>
      </c>
      <c r="AQ107" t="str">
        <f>HYPERLINK("https://icf.clappia.com/app/GMB253374/submission/UYQ78483978/ICF247370-GMB253374-4pn1gc6d9j4g00000000/SIG-20250626_16461a5pml.jpeg", "SIG-20250626_16461a5pml.jpeg")</f>
        <v>SIG-20250626_16461a5pml.jpeg</v>
      </c>
      <c r="AR107" t="s">
        <v>667</v>
      </c>
      <c r="AS107" t="str">
        <f>HYPERLINK("https://icf.clappia.com/app/GMB253374/submission/UYQ78483978/ICF247370-GMB253374-abci7lj6584g0000000/SIG-20250626_1645e9340.jpeg", "SIG-20250626_1645e9340.jpeg")</f>
        <v>SIG-20250626_1645e9340.jpeg</v>
      </c>
      <c r="AT107" t="s">
        <v>668</v>
      </c>
      <c r="AU107" t="str">
        <f>HYPERLINK("https://icf.clappia.com/app/GMB253374/submission/UYQ78483978/ICF247370-GMB253374-117d18ikee2he0000000/SIG-20250626_1623bkemk.jpeg", "SIG-20250626_1623bkemk.jpeg")</f>
        <v>SIG-20250626_1623bkemk.jpeg</v>
      </c>
      <c r="AV107" t="str">
        <f>HYPERLINK("https://www.google.com/maps/place/8.8663186%2C-12.0502285", "8.8663186,-12.0502285")</f>
        <v>8.8663186,-12.0502285</v>
      </c>
    </row>
    <row r="108">
      <c r="A108" t="s">
        <v>669</v>
      </c>
      <c r="B108" t="s">
        <v>46</v>
      </c>
      <c r="C108" t="s">
        <v>670</v>
      </c>
      <c r="D108" t="s">
        <v>670</v>
      </c>
      <c r="E108" t="s">
        <v>671</v>
      </c>
      <c r="F108" t="s">
        <v>64</v>
      </c>
      <c r="G108">
        <v>200</v>
      </c>
      <c r="H108" t="s">
        <v>50</v>
      </c>
      <c r="I108">
        <v>30</v>
      </c>
      <c r="J108">
        <v>20</v>
      </c>
      <c r="K108">
        <v>20</v>
      </c>
      <c r="L108">
        <v>10</v>
      </c>
      <c r="M108">
        <v>10</v>
      </c>
      <c r="N108" t="s">
        <v>51</v>
      </c>
      <c r="O108">
        <v>40</v>
      </c>
      <c r="P108">
        <v>20</v>
      </c>
      <c r="Q108">
        <v>20</v>
      </c>
      <c r="R108">
        <v>20</v>
      </c>
      <c r="S108">
        <v>20</v>
      </c>
      <c r="T108" t="s">
        <v>52</v>
      </c>
      <c r="U108">
        <v>50</v>
      </c>
      <c r="V108">
        <v>25</v>
      </c>
      <c r="W108">
        <v>25</v>
      </c>
      <c r="X108">
        <v>25</v>
      </c>
      <c r="Y108">
        <v>25</v>
      </c>
      <c r="Z108" t="s">
        <v>53</v>
      </c>
      <c r="AA108">
        <v>40</v>
      </c>
      <c r="AB108">
        <v>20</v>
      </c>
      <c r="AC108">
        <v>20</v>
      </c>
      <c r="AD108">
        <v>20</v>
      </c>
      <c r="AE108">
        <v>20</v>
      </c>
      <c r="AF108" t="s">
        <v>54</v>
      </c>
      <c r="AG108">
        <v>40</v>
      </c>
      <c r="AH108">
        <v>10</v>
      </c>
      <c r="AI108">
        <v>10</v>
      </c>
      <c r="AJ108">
        <v>20</v>
      </c>
      <c r="AK108">
        <v>20</v>
      </c>
      <c r="AL108">
        <v>190</v>
      </c>
      <c r="AM108">
        <v>10</v>
      </c>
      <c r="AN108" t="s">
        <v>55</v>
      </c>
      <c r="AO108" t="s">
        <v>55</v>
      </c>
      <c r="AP108" t="s">
        <v>672</v>
      </c>
      <c r="AQ108" t="str">
        <f>HYPERLINK("https://icf.clappia.com/app/GMB253374/submission/OFR19223087/ICF247370-GMB253374-1laj1ijkbih120000000/SIG-20250626_164115obec.jpeg", "SIG-20250626_164115obec.jpeg")</f>
        <v>SIG-20250626_164115obec.jpeg</v>
      </c>
      <c r="AR108" t="s">
        <v>673</v>
      </c>
      <c r="AS108" t="str">
        <f>HYPERLINK("https://icf.clappia.com/app/GMB253374/submission/OFR19223087/ICF247370-GMB253374-3iilc00kp8n400000000/SIG-20250626_1641g1nlc.jpeg", "SIG-20250626_1641g1nlc.jpeg")</f>
        <v>SIG-20250626_1641g1nlc.jpeg</v>
      </c>
      <c r="AT108" t="s">
        <v>674</v>
      </c>
      <c r="AU108" t="str">
        <f>HYPERLINK("https://icf.clappia.com/app/GMB253374/submission/OFR19223087/ICF247370-GMB253374-9a4e6l8517mk0000000/SIG-20250626_1642i4i6h.jpeg", "SIG-20250626_1642i4i6h.jpeg")</f>
        <v>SIG-20250626_1642i4i6h.jpeg</v>
      </c>
      <c r="AV108" t="str">
        <f>HYPERLINK("https://www.google.com/maps/place/8.8666221%2C-12.0512994", "8.8666221,-12.0512994")</f>
        <v>8.8666221,-12.0512994</v>
      </c>
    </row>
    <row r="109">
      <c r="A109" t="s">
        <v>675</v>
      </c>
      <c r="B109" t="s">
        <v>46</v>
      </c>
      <c r="C109" t="s">
        <v>494</v>
      </c>
      <c r="D109" t="s">
        <v>670</v>
      </c>
      <c r="E109" t="s">
        <v>676</v>
      </c>
      <c r="F109" t="s">
        <v>64</v>
      </c>
      <c r="G109">
        <v>260</v>
      </c>
      <c r="H109" t="s">
        <v>50</v>
      </c>
      <c r="I109">
        <v>30</v>
      </c>
      <c r="J109">
        <v>15</v>
      </c>
      <c r="K109">
        <v>15</v>
      </c>
      <c r="L109">
        <v>15</v>
      </c>
      <c r="M109">
        <v>15</v>
      </c>
      <c r="N109" t="s">
        <v>51</v>
      </c>
      <c r="O109">
        <v>45</v>
      </c>
      <c r="P109">
        <v>20</v>
      </c>
      <c r="Q109">
        <v>20</v>
      </c>
      <c r="R109">
        <v>25</v>
      </c>
      <c r="S109">
        <v>25</v>
      </c>
      <c r="T109" t="s">
        <v>52</v>
      </c>
      <c r="U109">
        <v>32</v>
      </c>
      <c r="V109">
        <v>16</v>
      </c>
      <c r="W109">
        <v>16</v>
      </c>
      <c r="X109">
        <v>16</v>
      </c>
      <c r="Y109">
        <v>16</v>
      </c>
      <c r="Z109" t="s">
        <v>53</v>
      </c>
      <c r="AA109">
        <v>58</v>
      </c>
      <c r="AB109">
        <v>29</v>
      </c>
      <c r="AC109">
        <v>29</v>
      </c>
      <c r="AD109">
        <v>29</v>
      </c>
      <c r="AE109">
        <v>29</v>
      </c>
      <c r="AF109" t="s">
        <v>54</v>
      </c>
      <c r="AG109">
        <v>95</v>
      </c>
      <c r="AH109">
        <v>45</v>
      </c>
      <c r="AI109">
        <v>45</v>
      </c>
      <c r="AJ109">
        <v>50</v>
      </c>
      <c r="AK109">
        <v>50</v>
      </c>
      <c r="AL109">
        <v>260</v>
      </c>
      <c r="AM109" t="s">
        <v>677</v>
      </c>
      <c r="AN109" t="s">
        <v>55</v>
      </c>
      <c r="AO109" t="s">
        <v>55</v>
      </c>
      <c r="AP109" t="s">
        <v>678</v>
      </c>
      <c r="AQ109" t="str">
        <f>HYPERLINK("https://icf.clappia.com/app/GMB253374/submission/GPQ38223127/ICF247370-GMB253374-c8nbn6724lc40000000/SIG-20250626_1643525ja.jpeg", "SIG-20250626_1643525ja.jpeg")</f>
        <v>SIG-20250626_1643525ja.jpeg</v>
      </c>
      <c r="AR109" t="s">
        <v>679</v>
      </c>
      <c r="AS109" t="str">
        <f>HYPERLINK("https://icf.clappia.com/app/GMB253374/submission/GPQ38223127/ICF247370-GMB253374-3jjjbb6j5g7a00000000/SIG-20250626_1643c8o4n.jpeg", "SIG-20250626_1643c8o4n.jpeg")</f>
        <v>SIG-20250626_1643c8o4n.jpeg</v>
      </c>
      <c r="AT109" t="s">
        <v>680</v>
      </c>
      <c r="AU109" t="str">
        <f>HYPERLINK("https://icf.clappia.com/app/GMB253374/submission/GPQ38223127/ICF247370-GMB253374-ag739g00idj60000000/SIG-20250626_1644hanlj.jpeg", "SIG-20250626_1644hanlj.jpeg")</f>
        <v>SIG-20250626_1644hanlj.jpeg</v>
      </c>
      <c r="AV109" t="str">
        <f>HYPERLINK("https://www.google.com/maps/place/8.8646503%2C-12.0495145", "8.8646503,-12.0495145")</f>
        <v>8.8646503,-12.0495145</v>
      </c>
    </row>
    <row r="110">
      <c r="A110" t="s">
        <v>681</v>
      </c>
      <c r="B110" t="s">
        <v>46</v>
      </c>
      <c r="C110" t="s">
        <v>649</v>
      </c>
      <c r="D110" t="s">
        <v>670</v>
      </c>
      <c r="E110" t="s">
        <v>682</v>
      </c>
      <c r="F110" t="s">
        <v>64</v>
      </c>
      <c r="G110">
        <v>200</v>
      </c>
      <c r="H110" t="s">
        <v>50</v>
      </c>
      <c r="I110">
        <v>30</v>
      </c>
      <c r="J110">
        <v>15</v>
      </c>
      <c r="K110">
        <v>15</v>
      </c>
      <c r="L110">
        <v>15</v>
      </c>
      <c r="M110">
        <v>15</v>
      </c>
      <c r="N110" t="s">
        <v>51</v>
      </c>
      <c r="O110">
        <v>40</v>
      </c>
      <c r="P110">
        <v>20</v>
      </c>
      <c r="Q110">
        <v>20</v>
      </c>
      <c r="R110">
        <v>20</v>
      </c>
      <c r="S110">
        <v>20</v>
      </c>
      <c r="T110" t="s">
        <v>52</v>
      </c>
      <c r="U110">
        <v>25</v>
      </c>
      <c r="V110">
        <v>12</v>
      </c>
      <c r="W110">
        <v>12</v>
      </c>
      <c r="X110">
        <v>13</v>
      </c>
      <c r="Y110">
        <v>13</v>
      </c>
      <c r="Z110" t="s">
        <v>53</v>
      </c>
      <c r="AA110">
        <v>20</v>
      </c>
      <c r="AB110">
        <v>10</v>
      </c>
      <c r="AC110">
        <v>10</v>
      </c>
      <c r="AD110">
        <v>10</v>
      </c>
      <c r="AE110">
        <v>10</v>
      </c>
      <c r="AF110" t="s">
        <v>54</v>
      </c>
      <c r="AG110">
        <v>45</v>
      </c>
      <c r="AH110">
        <v>20</v>
      </c>
      <c r="AI110">
        <v>20</v>
      </c>
      <c r="AJ110">
        <v>25</v>
      </c>
      <c r="AK110">
        <v>25</v>
      </c>
      <c r="AL110">
        <v>160</v>
      </c>
      <c r="AM110" t="s">
        <v>55</v>
      </c>
      <c r="AN110">
        <v>40</v>
      </c>
      <c r="AO110">
        <v>40</v>
      </c>
      <c r="AP110" t="s">
        <v>678</v>
      </c>
      <c r="AQ110" t="str">
        <f>HYPERLINK("https://icf.clappia.com/app/GMB253374/submission/VZP00556040/ICF247370-GMB253374-d6e6pmgogmja0000000/SIG-20250626_162218de1l.jpeg", "SIG-20250626_162218de1l.jpeg")</f>
        <v>SIG-20250626_162218de1l.jpeg</v>
      </c>
      <c r="AR110" t="s">
        <v>679</v>
      </c>
      <c r="AS110" t="str">
        <f>HYPERLINK("https://icf.clappia.com/app/GMB253374/submission/VZP00556040/ICF247370-GMB253374-2hd7ngn8l41i00000000/SIG-20250626_1623176mhd.jpeg", "SIG-20250626_1623176mhd.jpeg")</f>
        <v>SIG-20250626_1623176mhd.jpeg</v>
      </c>
      <c r="AT110" t="s">
        <v>683</v>
      </c>
      <c r="AU110" t="str">
        <f>HYPERLINK("https://icf.clappia.com/app/GMB253374/submission/VZP00556040/ICF247370-GMB253374-4n44f9jh79g000000000/SIG-20250626_16241iem5.jpeg", "SIG-20250626_16241iem5.jpeg")</f>
        <v>SIG-20250626_16241iem5.jpeg</v>
      </c>
      <c r="AV110" t="str">
        <f>HYPERLINK("https://www.google.com/maps/place/8.8657348%2C-12.0473727", "8.8657348,-12.0473727")</f>
        <v>8.8657348,-12.0473727</v>
      </c>
    </row>
    <row r="111">
      <c r="A111" t="s">
        <v>684</v>
      </c>
      <c r="B111" t="s">
        <v>46</v>
      </c>
      <c r="C111" t="s">
        <v>685</v>
      </c>
      <c r="D111" t="s">
        <v>685</v>
      </c>
      <c r="E111" t="s">
        <v>686</v>
      </c>
      <c r="F111" t="s">
        <v>64</v>
      </c>
      <c r="G111">
        <v>100</v>
      </c>
      <c r="H111" t="s">
        <v>50</v>
      </c>
      <c r="I111">
        <v>30</v>
      </c>
      <c r="J111">
        <v>15</v>
      </c>
      <c r="K111">
        <v>15</v>
      </c>
      <c r="L111">
        <v>15</v>
      </c>
      <c r="M111">
        <v>15</v>
      </c>
      <c r="N111" t="s">
        <v>51</v>
      </c>
      <c r="O111">
        <v>20</v>
      </c>
      <c r="P111">
        <v>10</v>
      </c>
      <c r="Q111">
        <v>10</v>
      </c>
      <c r="R111">
        <v>10</v>
      </c>
      <c r="S111">
        <v>10</v>
      </c>
      <c r="T111" t="s">
        <v>52</v>
      </c>
      <c r="U111">
        <v>15</v>
      </c>
      <c r="V111">
        <v>7</v>
      </c>
      <c r="W111">
        <v>7</v>
      </c>
      <c r="X111">
        <v>8</v>
      </c>
      <c r="Y111">
        <v>8</v>
      </c>
      <c r="Z111" t="s">
        <v>53</v>
      </c>
      <c r="AA111">
        <v>18</v>
      </c>
      <c r="AB111">
        <v>9</v>
      </c>
      <c r="AC111">
        <v>7</v>
      </c>
      <c r="AD111">
        <v>9</v>
      </c>
      <c r="AE111">
        <v>8</v>
      </c>
      <c r="AF111" t="s">
        <v>54</v>
      </c>
      <c r="AG111">
        <v>17</v>
      </c>
      <c r="AH111">
        <v>9</v>
      </c>
      <c r="AI111">
        <v>9</v>
      </c>
      <c r="AJ111">
        <v>8</v>
      </c>
      <c r="AK111">
        <v>8</v>
      </c>
      <c r="AL111">
        <v>97</v>
      </c>
      <c r="AM111">
        <v>3</v>
      </c>
      <c r="AN111" t="s">
        <v>55</v>
      </c>
      <c r="AO111" t="s">
        <v>55</v>
      </c>
      <c r="AP111" t="s">
        <v>687</v>
      </c>
      <c r="AQ111" t="str">
        <f>HYPERLINK("https://icf.clappia.com/app/GMB253374/submission/MPB79082938/ICF247370-GMB253374-1bbniaibm4oj20000000/SIG-20250626_1639kjlj9.jpeg", "SIG-20250626_1639kjlj9.jpeg")</f>
        <v>SIG-20250626_1639kjlj9.jpeg</v>
      </c>
      <c r="AR111" t="s">
        <v>688</v>
      </c>
      <c r="AS111" t="str">
        <f>HYPERLINK("https://icf.clappia.com/app/GMB253374/submission/MPB79082938/ICF247370-GMB253374-667p0o9mkg2k00000000/SIG-20250626_164019gb6n.jpeg", "SIG-20250626_164019gb6n.jpeg")</f>
        <v>SIG-20250626_164019gb6n.jpeg</v>
      </c>
      <c r="AT111" t="s">
        <v>689</v>
      </c>
      <c r="AU111" t="str">
        <f>HYPERLINK("https://icf.clappia.com/app/GMB253374/submission/MPB79082938/ICF247370-GMB253374-1kb92da5ed5ci0000000/SIG-20250626_16401a10j9.jpeg", "SIG-20250626_16401a10j9.jpeg")</f>
        <v>SIG-20250626_16401a10j9.jpeg</v>
      </c>
      <c r="AV111" t="str">
        <f>HYPERLINK("https://www.google.com/maps/place/8.8666221%2C-12.0512994", "8.8666221,-12.0512994")</f>
        <v>8.8666221,-12.0512994</v>
      </c>
    </row>
    <row r="112">
      <c r="A112" t="s">
        <v>690</v>
      </c>
      <c r="B112" t="s">
        <v>46</v>
      </c>
      <c r="C112" t="s">
        <v>685</v>
      </c>
      <c r="D112" t="s">
        <v>685</v>
      </c>
      <c r="E112" t="s">
        <v>691</v>
      </c>
      <c r="F112" t="s">
        <v>64</v>
      </c>
      <c r="G112">
        <v>200</v>
      </c>
      <c r="H112" t="s">
        <v>50</v>
      </c>
      <c r="I112">
        <v>50</v>
      </c>
      <c r="J112">
        <v>25</v>
      </c>
      <c r="K112">
        <v>25</v>
      </c>
      <c r="L112">
        <v>25</v>
      </c>
      <c r="M112">
        <v>25</v>
      </c>
      <c r="N112" t="s">
        <v>51</v>
      </c>
      <c r="O112">
        <v>50</v>
      </c>
      <c r="P112">
        <v>20</v>
      </c>
      <c r="Q112">
        <v>20</v>
      </c>
      <c r="R112">
        <v>30</v>
      </c>
      <c r="S112">
        <v>30</v>
      </c>
      <c r="T112" t="s">
        <v>52</v>
      </c>
      <c r="U112">
        <v>30</v>
      </c>
      <c r="V112">
        <v>15</v>
      </c>
      <c r="W112">
        <v>15</v>
      </c>
      <c r="X112">
        <v>15</v>
      </c>
      <c r="Y112">
        <v>15</v>
      </c>
      <c r="Z112" t="s">
        <v>53</v>
      </c>
      <c r="AA112">
        <v>30</v>
      </c>
      <c r="AB112">
        <v>20</v>
      </c>
      <c r="AC112">
        <v>10</v>
      </c>
      <c r="AD112">
        <v>10</v>
      </c>
      <c r="AE112">
        <v>10</v>
      </c>
      <c r="AF112" t="s">
        <v>54</v>
      </c>
      <c r="AG112">
        <v>50</v>
      </c>
      <c r="AH112">
        <v>30</v>
      </c>
      <c r="AI112">
        <v>30</v>
      </c>
      <c r="AJ112">
        <v>20</v>
      </c>
      <c r="AK112">
        <v>20</v>
      </c>
      <c r="AL112">
        <v>200</v>
      </c>
      <c r="AM112" t="s">
        <v>55</v>
      </c>
      <c r="AN112" t="s">
        <v>55</v>
      </c>
      <c r="AO112" t="s">
        <v>55</v>
      </c>
      <c r="AP112" t="s">
        <v>692</v>
      </c>
      <c r="AQ112" t="str">
        <f>HYPERLINK("https://icf.clappia.com/app/GMB253374/submission/DSV72909191/ICF247370-GMB253374-1pm17aijedljm0000000/SIG-20250626_161815kedd.jpeg", "SIG-20250626_161815kedd.jpeg")</f>
        <v>SIG-20250626_161815kedd.jpeg</v>
      </c>
      <c r="AR112" t="s">
        <v>693</v>
      </c>
      <c r="AS112" t="str">
        <f>HYPERLINK("https://icf.clappia.com/app/GMB253374/submission/DSV72909191/ICF247370-GMB253374-gf1jk6lple000000000/SIG-20250626_16186m4o9.jpeg", "SIG-20250626_16186m4o9.jpeg")</f>
        <v>SIG-20250626_16186m4o9.jpeg</v>
      </c>
      <c r="AT112" t="s">
        <v>694</v>
      </c>
      <c r="AU112" t="str">
        <f>HYPERLINK("https://icf.clappia.com/app/GMB253374/submission/DSV72909191/ICF247370-GMB253374-45bc1g0l8d1200000000/SIG-20250626_1642132fkj.jpeg", "SIG-20250626_1642132fkj.jpeg")</f>
        <v>SIG-20250626_1642132fkj.jpeg</v>
      </c>
      <c r="AV112" t="str">
        <f>HYPERLINK("https://www.google.com/maps/place/8.8656733%2C-12.0501267", "8.8656733,-12.0501267")</f>
        <v>8.8656733,-12.0501267</v>
      </c>
    </row>
    <row r="113">
      <c r="A113" t="s">
        <v>695</v>
      </c>
      <c r="B113" t="s">
        <v>46</v>
      </c>
      <c r="C113" t="s">
        <v>379</v>
      </c>
      <c r="D113" t="s">
        <v>379</v>
      </c>
      <c r="E113" t="s">
        <v>696</v>
      </c>
      <c r="F113" t="s">
        <v>64</v>
      </c>
      <c r="G113">
        <v>70</v>
      </c>
      <c r="H113" t="s">
        <v>50</v>
      </c>
      <c r="I113">
        <v>20</v>
      </c>
      <c r="J113">
        <v>10</v>
      </c>
      <c r="K113">
        <v>10</v>
      </c>
      <c r="L113">
        <v>10</v>
      </c>
      <c r="M113">
        <v>10</v>
      </c>
      <c r="N113" t="s">
        <v>51</v>
      </c>
      <c r="O113">
        <v>20</v>
      </c>
      <c r="P113">
        <v>10</v>
      </c>
      <c r="Q113">
        <v>10</v>
      </c>
      <c r="R113">
        <v>10</v>
      </c>
      <c r="S113">
        <v>10</v>
      </c>
      <c r="T113" t="s">
        <v>52</v>
      </c>
      <c r="U113">
        <v>20</v>
      </c>
      <c r="V113">
        <v>10</v>
      </c>
      <c r="W113">
        <v>10</v>
      </c>
      <c r="X113">
        <v>10</v>
      </c>
      <c r="Y113">
        <v>10</v>
      </c>
      <c r="Z113" t="s">
        <v>53</v>
      </c>
      <c r="AA113">
        <v>5</v>
      </c>
      <c r="AB113">
        <v>3</v>
      </c>
      <c r="AC113">
        <v>3</v>
      </c>
      <c r="AD113">
        <v>2</v>
      </c>
      <c r="AE113">
        <v>2</v>
      </c>
      <c r="AF113" t="s">
        <v>54</v>
      </c>
      <c r="AG113">
        <v>5</v>
      </c>
      <c r="AH113">
        <v>2</v>
      </c>
      <c r="AI113">
        <v>2</v>
      </c>
      <c r="AJ113">
        <v>3</v>
      </c>
      <c r="AK113">
        <v>3</v>
      </c>
      <c r="AL113">
        <v>70</v>
      </c>
      <c r="AM113" t="s">
        <v>55</v>
      </c>
      <c r="AN113" t="s">
        <v>55</v>
      </c>
      <c r="AO113" t="s">
        <v>55</v>
      </c>
      <c r="AP113" t="s">
        <v>697</v>
      </c>
      <c r="AQ113" t="str">
        <f>HYPERLINK("https://icf.clappia.com/app/GMB253374/submission/ZCX38394625/ICF247370-GMB253374-4546mp20ec9m00000000/SIG-20250626_1639kn484.jpeg", "SIG-20250626_1639kn484.jpeg")</f>
        <v>SIG-20250626_1639kn484.jpeg</v>
      </c>
      <c r="AR113" t="s">
        <v>698</v>
      </c>
      <c r="AS113" t="str">
        <f>HYPERLINK("https://icf.clappia.com/app/GMB253374/submission/ZCX38394625/ICF247370-GMB253374-323kcfhhbf460000000/SIG-20250626_16409lkp1.jpeg", "SIG-20250626_16409lkp1.jpeg")</f>
        <v>SIG-20250626_16409lkp1.jpeg</v>
      </c>
      <c r="AT113" t="s">
        <v>699</v>
      </c>
      <c r="AU113" t="str">
        <f>HYPERLINK("https://icf.clappia.com/app/GMB253374/submission/ZCX38394625/ICF247370-GMB253374-1h4cjbhpoccfg0000000/SIG-20250626_164218932l.jpeg", "SIG-20250626_164218932l.jpeg")</f>
        <v>SIG-20250626_164218932l.jpeg</v>
      </c>
      <c r="AV113" t="str">
        <f>HYPERLINK("https://www.google.com/maps/place/8.8672872%2C-12.0516564", "8.8672872,-12.0516564")</f>
        <v>8.8672872,-12.0516564</v>
      </c>
    </row>
    <row r="114">
      <c r="A114" t="s">
        <v>700</v>
      </c>
      <c r="B114" t="s">
        <v>46</v>
      </c>
      <c r="C114" t="s">
        <v>379</v>
      </c>
      <c r="D114" t="s">
        <v>379</v>
      </c>
      <c r="E114" t="s">
        <v>701</v>
      </c>
      <c r="F114" t="s">
        <v>64</v>
      </c>
      <c r="G114">
        <v>254</v>
      </c>
      <c r="H114" t="s">
        <v>50</v>
      </c>
      <c r="I114">
        <v>50</v>
      </c>
      <c r="J114">
        <v>25</v>
      </c>
      <c r="K114">
        <v>25</v>
      </c>
      <c r="L114">
        <v>25</v>
      </c>
      <c r="M114">
        <v>25</v>
      </c>
      <c r="N114" t="s">
        <v>51</v>
      </c>
      <c r="O114">
        <v>50</v>
      </c>
      <c r="P114">
        <v>25</v>
      </c>
      <c r="Q114">
        <v>25</v>
      </c>
      <c r="R114">
        <v>25</v>
      </c>
      <c r="S114">
        <v>25</v>
      </c>
      <c r="T114" t="s">
        <v>52</v>
      </c>
      <c r="U114">
        <v>50</v>
      </c>
      <c r="V114">
        <v>25</v>
      </c>
      <c r="W114">
        <v>25</v>
      </c>
      <c r="X114">
        <v>25</v>
      </c>
      <c r="Y114">
        <v>25</v>
      </c>
      <c r="Z114" t="s">
        <v>53</v>
      </c>
      <c r="AA114">
        <v>50</v>
      </c>
      <c r="AB114">
        <v>25</v>
      </c>
      <c r="AC114">
        <v>25</v>
      </c>
      <c r="AD114">
        <v>25</v>
      </c>
      <c r="AE114">
        <v>25</v>
      </c>
      <c r="AF114" t="s">
        <v>54</v>
      </c>
      <c r="AG114">
        <v>50</v>
      </c>
      <c r="AH114">
        <v>25</v>
      </c>
      <c r="AI114">
        <v>25</v>
      </c>
      <c r="AJ114">
        <v>25</v>
      </c>
      <c r="AK114">
        <v>25</v>
      </c>
      <c r="AL114">
        <v>250</v>
      </c>
      <c r="AM114">
        <v>4</v>
      </c>
      <c r="AN114" t="s">
        <v>55</v>
      </c>
      <c r="AO114" t="s">
        <v>55</v>
      </c>
      <c r="AP114" t="s">
        <v>702</v>
      </c>
      <c r="AQ114" t="str">
        <f>HYPERLINK("https://icf.clappia.com/app/GMB253374/submission/SHU84387575/ICF247370-GMB253374-3jkgkgd6docm00000000/SIG-20250626_1641j2p08.jpeg", "SIG-20250626_1641j2p08.jpeg")</f>
        <v>SIG-20250626_1641j2p08.jpeg</v>
      </c>
      <c r="AR114" t="s">
        <v>703</v>
      </c>
      <c r="AS114" t="str">
        <f>HYPERLINK("https://icf.clappia.com/app/GMB253374/submission/SHU84387575/ICF247370-GMB253374-22fl38pi5mpao0000000/SIG-20250626_1641aiela.jpeg", "SIG-20250626_1641aiela.jpeg")</f>
        <v>SIG-20250626_1641aiela.jpeg</v>
      </c>
      <c r="AT114" t="s">
        <v>704</v>
      </c>
      <c r="AU114" t="str">
        <f>HYPERLINK("https://icf.clappia.com/app/GMB253374/submission/SHU84387575/ICF247370-GMB253374-29gmc2l6612o00000000/SIG-20250626_1642ep2b2.jpeg", "SIG-20250626_1642ep2b2.jpeg")</f>
        <v>SIG-20250626_1642ep2b2.jpeg</v>
      </c>
      <c r="AV114" t="str">
        <f>HYPERLINK("https://www.google.com/maps/place/8.864254%2C-12.0512994", "8.864254,-12.0512994")</f>
        <v>8.864254,-12.0512994</v>
      </c>
    </row>
    <row r="115">
      <c r="A115" t="s">
        <v>705</v>
      </c>
      <c r="B115" t="s">
        <v>46</v>
      </c>
      <c r="C115" t="s">
        <v>348</v>
      </c>
      <c r="D115" t="s">
        <v>348</v>
      </c>
      <c r="E115" t="s">
        <v>706</v>
      </c>
      <c r="F115" t="s">
        <v>64</v>
      </c>
      <c r="G115">
        <v>310</v>
      </c>
      <c r="H115" t="s">
        <v>50</v>
      </c>
      <c r="I115">
        <v>90</v>
      </c>
      <c r="J115">
        <v>47</v>
      </c>
      <c r="K115">
        <v>47</v>
      </c>
      <c r="L115">
        <v>43</v>
      </c>
      <c r="M115">
        <v>43</v>
      </c>
      <c r="N115" t="s">
        <v>51</v>
      </c>
      <c r="O115">
        <v>70</v>
      </c>
      <c r="P115">
        <v>36</v>
      </c>
      <c r="Q115">
        <v>36</v>
      </c>
      <c r="R115">
        <v>34</v>
      </c>
      <c r="S115">
        <v>34</v>
      </c>
      <c r="T115" t="s">
        <v>52</v>
      </c>
      <c r="U115">
        <v>55</v>
      </c>
      <c r="V115">
        <v>35</v>
      </c>
      <c r="W115">
        <v>35</v>
      </c>
      <c r="X115">
        <v>20</v>
      </c>
      <c r="Y115">
        <v>20</v>
      </c>
      <c r="Z115" t="s">
        <v>53</v>
      </c>
      <c r="AA115">
        <v>52</v>
      </c>
      <c r="AB115">
        <v>28</v>
      </c>
      <c r="AC115">
        <v>28</v>
      </c>
      <c r="AD115">
        <v>24</v>
      </c>
      <c r="AE115">
        <v>24</v>
      </c>
      <c r="AF115" t="s">
        <v>54</v>
      </c>
      <c r="AG115">
        <v>41</v>
      </c>
      <c r="AH115">
        <v>23</v>
      </c>
      <c r="AI115">
        <v>23</v>
      </c>
      <c r="AJ115">
        <v>18</v>
      </c>
      <c r="AK115">
        <v>18</v>
      </c>
      <c r="AL115">
        <v>308</v>
      </c>
      <c r="AM115" t="s">
        <v>55</v>
      </c>
      <c r="AN115">
        <v>2</v>
      </c>
      <c r="AO115">
        <v>2</v>
      </c>
      <c r="AP115" t="s">
        <v>652</v>
      </c>
      <c r="AQ115" t="str">
        <f>HYPERLINK("https://icf.clappia.com/app/GMB253374/submission/WYC29499980/ICF247370-GMB253374-4bk7h570dmhi00000000/SIG-20250626_1639b2noe.jpeg", "SIG-20250626_1639b2noe.jpeg")</f>
        <v>SIG-20250626_1639b2noe.jpeg</v>
      </c>
      <c r="AR115" t="s">
        <v>707</v>
      </c>
      <c r="AS115" t="str">
        <f>HYPERLINK("https://icf.clappia.com/app/GMB253374/submission/WYC29499980/ICF247370-GMB253374-40n6cgph54gg00000000/SIG-20250626_16391e0mh.jpeg", "SIG-20250626_16391e0mh.jpeg")</f>
        <v>SIG-20250626_16391e0mh.jpeg</v>
      </c>
      <c r="AT115" t="s">
        <v>708</v>
      </c>
      <c r="AU115" t="str">
        <f>HYPERLINK("https://icf.clappia.com/app/GMB253374/submission/WYC29499980/ICF247370-GMB253374-2h7nfk1a449400000000/SIG-20250626_164041i0a.jpeg", "SIG-20250626_164041i0a.jpeg")</f>
        <v>SIG-20250626_164041i0a.jpeg</v>
      </c>
      <c r="AV115" t="str">
        <f>HYPERLINK("https://www.google.com/maps/place/8.8655341%2C-12.0498094", "8.8655341,-12.0498094")</f>
        <v>8.8655341,-12.0498094</v>
      </c>
    </row>
    <row r="116">
      <c r="A116" t="s">
        <v>709</v>
      </c>
      <c r="B116" t="s">
        <v>46</v>
      </c>
      <c r="C116" t="s">
        <v>348</v>
      </c>
      <c r="D116" t="s">
        <v>348</v>
      </c>
      <c r="E116" t="s">
        <v>710</v>
      </c>
      <c r="F116" t="s">
        <v>64</v>
      </c>
      <c r="G116">
        <v>250</v>
      </c>
      <c r="H116" t="s">
        <v>50</v>
      </c>
      <c r="I116">
        <v>30</v>
      </c>
      <c r="J116">
        <v>17</v>
      </c>
      <c r="K116">
        <v>17</v>
      </c>
      <c r="L116">
        <v>13</v>
      </c>
      <c r="M116">
        <v>13</v>
      </c>
      <c r="N116" t="s">
        <v>51</v>
      </c>
      <c r="O116">
        <v>35</v>
      </c>
      <c r="P116">
        <v>15</v>
      </c>
      <c r="Q116">
        <v>15</v>
      </c>
      <c r="R116">
        <v>20</v>
      </c>
      <c r="S116">
        <v>20</v>
      </c>
      <c r="T116" t="s">
        <v>52</v>
      </c>
      <c r="U116">
        <v>46</v>
      </c>
      <c r="V116">
        <v>20</v>
      </c>
      <c r="W116">
        <v>20</v>
      </c>
      <c r="X116">
        <v>26</v>
      </c>
      <c r="Y116">
        <v>26</v>
      </c>
      <c r="Z116" t="s">
        <v>53</v>
      </c>
      <c r="AA116">
        <v>39</v>
      </c>
      <c r="AB116">
        <v>19</v>
      </c>
      <c r="AC116">
        <v>19</v>
      </c>
      <c r="AD116">
        <v>20</v>
      </c>
      <c r="AE116">
        <v>20</v>
      </c>
      <c r="AF116" t="s">
        <v>54</v>
      </c>
      <c r="AG116">
        <v>50</v>
      </c>
      <c r="AH116">
        <v>20</v>
      </c>
      <c r="AI116">
        <v>20</v>
      </c>
      <c r="AJ116">
        <v>30</v>
      </c>
      <c r="AK116">
        <v>30</v>
      </c>
      <c r="AL116">
        <v>200</v>
      </c>
      <c r="AM116" t="s">
        <v>55</v>
      </c>
      <c r="AN116">
        <v>50</v>
      </c>
      <c r="AO116">
        <v>50</v>
      </c>
      <c r="AP116" t="s">
        <v>711</v>
      </c>
      <c r="AQ116" t="str">
        <f>HYPERLINK("https://icf.clappia.com/app/GMB253374/submission/DOQ35980125/ICF247370-GMB253374-l998705a95a00000000/SIG-20250626_16391354e1.jpeg", "SIG-20250626_16391354e1.jpeg")</f>
        <v>SIG-20250626_16391354e1.jpeg</v>
      </c>
      <c r="AR116" t="s">
        <v>712</v>
      </c>
      <c r="AS116" t="str">
        <f>HYPERLINK("https://icf.clappia.com/app/GMB253374/submission/DOQ35980125/ICF247370-GMB253374-3b13jhc3na1c00000000/SIG-20250626_16396mam0.jpeg", "SIG-20250626_16396mam0.jpeg")</f>
        <v>SIG-20250626_16396mam0.jpeg</v>
      </c>
      <c r="AT116" t="s">
        <v>578</v>
      </c>
      <c r="AU116" t="str">
        <f>HYPERLINK("https://icf.clappia.com/app/GMB253374/submission/DOQ35980125/ICF247370-GMB253374-1jne25dm1foak0000000/SIG-20250626_1639del13.jpeg", "SIG-20250626_1639del13.jpeg")</f>
        <v>SIG-20250626_1639del13.jpeg</v>
      </c>
      <c r="AV116" t="str">
        <f>HYPERLINK("https://www.google.com/maps/place/8.8663186%2C-12.0502285", "8.8663186,-12.0502285")</f>
        <v>8.8663186,-12.0502285</v>
      </c>
    </row>
    <row r="117">
      <c r="A117" t="s">
        <v>713</v>
      </c>
      <c r="B117" t="s">
        <v>46</v>
      </c>
      <c r="C117" t="s">
        <v>467</v>
      </c>
      <c r="D117" t="s">
        <v>467</v>
      </c>
      <c r="E117" t="s">
        <v>714</v>
      </c>
      <c r="F117" t="s">
        <v>64</v>
      </c>
      <c r="G117">
        <v>500</v>
      </c>
      <c r="H117" t="s">
        <v>50</v>
      </c>
      <c r="I117">
        <v>100</v>
      </c>
      <c r="J117">
        <v>50</v>
      </c>
      <c r="K117">
        <v>49</v>
      </c>
      <c r="L117">
        <v>50</v>
      </c>
      <c r="M117">
        <v>50</v>
      </c>
      <c r="N117" t="s">
        <v>51</v>
      </c>
      <c r="O117">
        <v>100</v>
      </c>
      <c r="P117">
        <v>50</v>
      </c>
      <c r="Q117">
        <v>47</v>
      </c>
      <c r="R117">
        <v>50</v>
      </c>
      <c r="S117">
        <v>50</v>
      </c>
      <c r="T117" t="s">
        <v>52</v>
      </c>
      <c r="U117">
        <v>100</v>
      </c>
      <c r="V117">
        <v>50</v>
      </c>
      <c r="W117">
        <v>50</v>
      </c>
      <c r="X117">
        <v>50</v>
      </c>
      <c r="Y117">
        <v>50</v>
      </c>
      <c r="Z117" t="s">
        <v>53</v>
      </c>
      <c r="AA117">
        <v>100</v>
      </c>
      <c r="AB117">
        <v>50</v>
      </c>
      <c r="AC117">
        <v>50</v>
      </c>
      <c r="AD117">
        <v>50</v>
      </c>
      <c r="AE117">
        <v>50</v>
      </c>
      <c r="AF117" t="s">
        <v>54</v>
      </c>
      <c r="AG117">
        <v>100</v>
      </c>
      <c r="AH117">
        <v>50</v>
      </c>
      <c r="AI117">
        <v>50</v>
      </c>
      <c r="AJ117">
        <v>50</v>
      </c>
      <c r="AK117">
        <v>50</v>
      </c>
      <c r="AL117">
        <v>496</v>
      </c>
      <c r="AM117">
        <v>4</v>
      </c>
      <c r="AN117" t="s">
        <v>55</v>
      </c>
      <c r="AO117" t="s">
        <v>55</v>
      </c>
      <c r="AP117" t="s">
        <v>715</v>
      </c>
      <c r="AQ117" t="str">
        <f>HYPERLINK("https://icf.clappia.com/app/GMB253374/submission/UOT03448807/ICF247370-GMB253374-3kg3a97b398o00000000/SIG-20250626_1617pbkhf.jpeg", "SIG-20250626_1617pbkhf.jpeg")</f>
        <v>SIG-20250626_1617pbkhf.jpeg</v>
      </c>
      <c r="AR117" t="s">
        <v>716</v>
      </c>
      <c r="AS117" t="str">
        <f>HYPERLINK("https://icf.clappia.com/app/GMB253374/submission/UOT03448807/ICF247370-GMB253374-4na9h91n459600000000/SIG-20250626_1618184d7n.jpeg", "SIG-20250626_1618184d7n.jpeg")</f>
        <v>SIG-20250626_1618184d7n.jpeg</v>
      </c>
      <c r="AT117" t="s">
        <v>717</v>
      </c>
      <c r="AU117" t="str">
        <f>HYPERLINK("https://icf.clappia.com/app/GMB253374/submission/UOT03448807/ICF247370-GMB253374-65pfbfn0g4c60000000/SIG-20250626_161818814f.jpeg", "SIG-20250626_161818814f.jpeg")</f>
        <v>SIG-20250626_161818814f.jpeg</v>
      </c>
      <c r="AV117" t="str">
        <f>HYPERLINK("https://www.google.com/maps/place/7.9661952%2C-11.7408174", "7.9661952,-11.7408174")</f>
        <v>7.9661952,-11.7408174</v>
      </c>
    </row>
    <row r="118">
      <c r="A118" t="s">
        <v>718</v>
      </c>
      <c r="B118" t="s">
        <v>46</v>
      </c>
      <c r="C118" t="s">
        <v>467</v>
      </c>
      <c r="D118" t="s">
        <v>467</v>
      </c>
      <c r="E118" t="s">
        <v>719</v>
      </c>
      <c r="F118" t="s">
        <v>64</v>
      </c>
      <c r="G118">
        <v>200</v>
      </c>
      <c r="H118" t="s">
        <v>50</v>
      </c>
      <c r="I118">
        <v>30</v>
      </c>
      <c r="J118">
        <v>10</v>
      </c>
      <c r="K118">
        <v>10</v>
      </c>
      <c r="L118">
        <v>20</v>
      </c>
      <c r="M118">
        <v>20</v>
      </c>
      <c r="N118" t="s">
        <v>51</v>
      </c>
      <c r="O118">
        <v>40</v>
      </c>
      <c r="P118">
        <v>20</v>
      </c>
      <c r="Q118">
        <v>20</v>
      </c>
      <c r="R118">
        <v>20</v>
      </c>
      <c r="S118">
        <v>20</v>
      </c>
      <c r="T118" t="s">
        <v>52</v>
      </c>
      <c r="U118">
        <v>50</v>
      </c>
      <c r="V118">
        <v>25</v>
      </c>
      <c r="W118">
        <v>25</v>
      </c>
      <c r="X118">
        <v>25</v>
      </c>
      <c r="Y118">
        <v>25</v>
      </c>
      <c r="Z118" t="s">
        <v>53</v>
      </c>
      <c r="AA118">
        <v>30</v>
      </c>
      <c r="AB118">
        <v>15</v>
      </c>
      <c r="AC118">
        <v>15</v>
      </c>
      <c r="AD118">
        <v>15</v>
      </c>
      <c r="AE118">
        <v>15</v>
      </c>
      <c r="AF118" t="s">
        <v>54</v>
      </c>
      <c r="AG118">
        <v>50</v>
      </c>
      <c r="AH118">
        <v>20</v>
      </c>
      <c r="AI118">
        <v>20</v>
      </c>
      <c r="AJ118">
        <v>30</v>
      </c>
      <c r="AK118">
        <v>30</v>
      </c>
      <c r="AL118">
        <v>200</v>
      </c>
      <c r="AM118" t="s">
        <v>55</v>
      </c>
      <c r="AN118" t="s">
        <v>55</v>
      </c>
      <c r="AO118" t="s">
        <v>55</v>
      </c>
      <c r="AP118" t="s">
        <v>720</v>
      </c>
      <c r="AQ118" t="str">
        <f>HYPERLINK("https://icf.clappia.com/app/GMB253374/submission/YKC08602168/ICF247370-GMB253374-219n8bb8phm960000000/SIG-20250626_1637g4ka7.jpeg", "SIG-20250626_1637g4ka7.jpeg")</f>
        <v>SIG-20250626_1637g4ka7.jpeg</v>
      </c>
      <c r="AR118" t="s">
        <v>721</v>
      </c>
      <c r="AS118" t="str">
        <f>HYPERLINK("https://icf.clappia.com/app/GMB253374/submission/YKC08602168/ICF247370-GMB253374-920eh102on1a0000000/SIG-20250626_163839g9i.jpeg", "SIG-20250626_163839g9i.jpeg")</f>
        <v>SIG-20250626_163839g9i.jpeg</v>
      </c>
      <c r="AT118" t="s">
        <v>722</v>
      </c>
      <c r="AU118" t="str">
        <f>HYPERLINK("https://icf.clappia.com/app/GMB253374/submission/YKC08602168/ICF247370-GMB253374-5ni201j93g6000000000/SIG-20250626_16381888ke.jpeg", "SIG-20250626_16381888ke.jpeg")</f>
        <v>SIG-20250626_16381888ke.jpeg</v>
      </c>
      <c r="AV118" t="str">
        <f>HYPERLINK("https://www.google.com/maps/place/8.8666169%2C-12.051284", "8.8666169,-12.051284")</f>
        <v>8.8666169,-12.051284</v>
      </c>
    </row>
    <row r="119">
      <c r="A119" t="s">
        <v>723</v>
      </c>
      <c r="B119" t="s">
        <v>46</v>
      </c>
      <c r="C119" t="s">
        <v>302</v>
      </c>
      <c r="D119" t="s">
        <v>302</v>
      </c>
      <c r="E119" t="s">
        <v>724</v>
      </c>
      <c r="F119" t="s">
        <v>64</v>
      </c>
      <c r="G119">
        <v>200</v>
      </c>
      <c r="H119" t="s">
        <v>50</v>
      </c>
      <c r="I119">
        <v>50</v>
      </c>
      <c r="J119">
        <v>25</v>
      </c>
      <c r="K119">
        <v>25</v>
      </c>
      <c r="L119">
        <v>25</v>
      </c>
      <c r="M119">
        <v>25</v>
      </c>
      <c r="N119" t="s">
        <v>51</v>
      </c>
      <c r="O119">
        <v>50</v>
      </c>
      <c r="P119">
        <v>25</v>
      </c>
      <c r="Q119">
        <v>25</v>
      </c>
      <c r="R119">
        <v>25</v>
      </c>
      <c r="S119">
        <v>25</v>
      </c>
      <c r="T119" t="s">
        <v>52</v>
      </c>
      <c r="U119">
        <v>50</v>
      </c>
      <c r="V119">
        <v>25</v>
      </c>
      <c r="W119">
        <v>25</v>
      </c>
      <c r="X119">
        <v>25</v>
      </c>
      <c r="Y119">
        <v>25</v>
      </c>
      <c r="Z119" t="s">
        <v>53</v>
      </c>
      <c r="AA119">
        <v>40</v>
      </c>
      <c r="AB119">
        <v>20</v>
      </c>
      <c r="AC119">
        <v>20</v>
      </c>
      <c r="AD119">
        <v>20</v>
      </c>
      <c r="AE119">
        <v>20</v>
      </c>
      <c r="AF119" t="s">
        <v>54</v>
      </c>
      <c r="AG119">
        <v>10</v>
      </c>
      <c r="AH119">
        <v>5</v>
      </c>
      <c r="AI119">
        <v>5</v>
      </c>
      <c r="AJ119">
        <v>5</v>
      </c>
      <c r="AK119">
        <v>5</v>
      </c>
      <c r="AL119">
        <v>200</v>
      </c>
      <c r="AM119" t="s">
        <v>55</v>
      </c>
      <c r="AN119" t="s">
        <v>55</v>
      </c>
      <c r="AO119" t="s">
        <v>55</v>
      </c>
      <c r="AP119" t="s">
        <v>725</v>
      </c>
      <c r="AQ119" t="str">
        <f>HYPERLINK("https://icf.clappia.com/app/GMB253374/submission/DAW51102374/ICF247370-GMB253374-d8dn85a4840o0000000/SIG-20250626_1634cf4dc.jpeg", "SIG-20250626_1634cf4dc.jpeg")</f>
        <v>SIG-20250626_1634cf4dc.jpeg</v>
      </c>
      <c r="AR119" t="s">
        <v>726</v>
      </c>
      <c r="AS119" t="str">
        <f>HYPERLINK("https://icf.clappia.com/app/GMB253374/submission/DAW51102374/ICF247370-GMB253374-ahmoob36k2na0000000/SIG-20250626_16341977lg.jpeg", "SIG-20250626_16341977lg.jpeg")</f>
        <v>SIG-20250626_16341977lg.jpeg</v>
      </c>
      <c r="AT119" t="s">
        <v>727</v>
      </c>
      <c r="AU119" t="str">
        <f>HYPERLINK("https://icf.clappia.com/app/GMB253374/submission/DAW51102374/ICF247370-GMB253374-4onmd243pc8i00000000/SIG-20250626_1634i6ahe.jpeg", "SIG-20250626_1634i6ahe.jpeg")</f>
        <v>SIG-20250626_1634i6ahe.jpeg</v>
      </c>
      <c r="AV119" t="str">
        <f>HYPERLINK("https://www.google.com/maps/place/8.8672872%2C-12.0516564", "8.8672872,-12.0516564")</f>
        <v>8.8672872,-12.0516564</v>
      </c>
    </row>
    <row r="120">
      <c r="A120" t="s">
        <v>728</v>
      </c>
      <c r="B120" t="s">
        <v>46</v>
      </c>
      <c r="C120" t="s">
        <v>302</v>
      </c>
      <c r="D120" t="s">
        <v>302</v>
      </c>
      <c r="E120" t="s">
        <v>729</v>
      </c>
      <c r="F120" t="s">
        <v>64</v>
      </c>
      <c r="G120">
        <v>500</v>
      </c>
      <c r="H120" t="s">
        <v>50</v>
      </c>
      <c r="I120">
        <v>100</v>
      </c>
      <c r="J120">
        <v>50</v>
      </c>
      <c r="K120">
        <v>49</v>
      </c>
      <c r="L120">
        <v>50</v>
      </c>
      <c r="M120">
        <v>50</v>
      </c>
      <c r="N120" t="s">
        <v>51</v>
      </c>
      <c r="O120">
        <v>100</v>
      </c>
      <c r="P120">
        <v>47</v>
      </c>
      <c r="Q120">
        <v>47</v>
      </c>
      <c r="R120">
        <v>49</v>
      </c>
      <c r="S120">
        <v>49</v>
      </c>
      <c r="T120" t="s">
        <v>52</v>
      </c>
      <c r="U120">
        <v>100</v>
      </c>
      <c r="V120">
        <v>50</v>
      </c>
      <c r="W120">
        <v>50</v>
      </c>
      <c r="X120">
        <v>50</v>
      </c>
      <c r="Y120">
        <v>47</v>
      </c>
      <c r="Z120" t="s">
        <v>53</v>
      </c>
      <c r="AA120">
        <v>100</v>
      </c>
      <c r="AB120">
        <v>50</v>
      </c>
      <c r="AC120">
        <v>50</v>
      </c>
      <c r="AD120">
        <v>50</v>
      </c>
      <c r="AE120">
        <v>49</v>
      </c>
      <c r="AF120" t="s">
        <v>54</v>
      </c>
      <c r="AG120">
        <v>100</v>
      </c>
      <c r="AH120">
        <v>50</v>
      </c>
      <c r="AI120">
        <v>48</v>
      </c>
      <c r="AJ120">
        <v>50</v>
      </c>
      <c r="AK120">
        <v>50</v>
      </c>
      <c r="AL120">
        <v>489</v>
      </c>
      <c r="AM120" t="s">
        <v>55</v>
      </c>
      <c r="AN120">
        <v>11</v>
      </c>
      <c r="AO120">
        <v>11</v>
      </c>
      <c r="AP120" t="s">
        <v>730</v>
      </c>
      <c r="AQ120" t="str">
        <f>HYPERLINK("https://icf.clappia.com/app/GMB253374/submission/AOW26399354/ICF247370-GMB253374-44758cjd0pbi00000000/SIG-20250626_151057f19.jpeg", "SIG-20250626_151057f19.jpeg")</f>
        <v>SIG-20250626_151057f19.jpeg</v>
      </c>
      <c r="AR120" t="s">
        <v>731</v>
      </c>
      <c r="AS120" t="str">
        <f>HYPERLINK("https://icf.clappia.com/app/GMB253374/submission/AOW26399354/ICF247370-GMB253374-223ecco7d42mi0000000/SIG-20250626_1510209ij.jpeg", "SIG-20250626_1510209ij.jpeg")</f>
        <v>SIG-20250626_1510209ij.jpeg</v>
      </c>
      <c r="AT120" t="s">
        <v>732</v>
      </c>
      <c r="AU120" t="str">
        <f>HYPERLINK("https://icf.clappia.com/app/GMB253374/submission/AOW26399354/ICF247370-GMB253374-5phd9dl2ljgk00000000/SIG-20250626_1511gmfag.jpeg", "SIG-20250626_1511gmfag.jpeg")</f>
        <v>SIG-20250626_1511gmfag.jpeg</v>
      </c>
      <c r="AV120" t="str">
        <f>HYPERLINK("https://www.google.com/maps/place/7.9662%2C-11.73964", "7.9662,-11.73964")</f>
        <v>7.9662,-11.73964</v>
      </c>
    </row>
    <row r="121">
      <c r="A121" t="s">
        <v>733</v>
      </c>
      <c r="B121" t="s">
        <v>46</v>
      </c>
      <c r="C121" t="s">
        <v>734</v>
      </c>
      <c r="D121" t="s">
        <v>734</v>
      </c>
      <c r="E121" t="s">
        <v>735</v>
      </c>
      <c r="F121" t="s">
        <v>64</v>
      </c>
      <c r="G121">
        <v>500</v>
      </c>
      <c r="H121" t="s">
        <v>50</v>
      </c>
      <c r="I121">
        <v>100</v>
      </c>
      <c r="J121">
        <v>50</v>
      </c>
      <c r="K121">
        <v>49</v>
      </c>
      <c r="L121">
        <v>50</v>
      </c>
      <c r="M121">
        <v>50</v>
      </c>
      <c r="N121" t="s">
        <v>51</v>
      </c>
      <c r="O121">
        <v>100</v>
      </c>
      <c r="P121">
        <v>50</v>
      </c>
      <c r="Q121">
        <v>47</v>
      </c>
      <c r="R121">
        <v>50</v>
      </c>
      <c r="S121">
        <v>49</v>
      </c>
      <c r="T121" t="s">
        <v>52</v>
      </c>
      <c r="U121">
        <v>100</v>
      </c>
      <c r="V121">
        <v>50</v>
      </c>
      <c r="W121">
        <v>50</v>
      </c>
      <c r="X121">
        <v>50</v>
      </c>
      <c r="Y121">
        <v>47</v>
      </c>
      <c r="Z121" t="s">
        <v>53</v>
      </c>
      <c r="AA121">
        <v>100</v>
      </c>
      <c r="AB121">
        <v>50</v>
      </c>
      <c r="AC121">
        <v>50</v>
      </c>
      <c r="AD121">
        <v>50</v>
      </c>
      <c r="AE121">
        <v>49</v>
      </c>
      <c r="AF121" t="s">
        <v>54</v>
      </c>
      <c r="AG121">
        <v>100</v>
      </c>
      <c r="AH121">
        <v>50</v>
      </c>
      <c r="AI121">
        <v>48</v>
      </c>
      <c r="AJ121">
        <v>50</v>
      </c>
      <c r="AK121">
        <v>50</v>
      </c>
      <c r="AL121">
        <v>489</v>
      </c>
      <c r="AM121" t="s">
        <v>55</v>
      </c>
      <c r="AN121">
        <v>11</v>
      </c>
      <c r="AO121">
        <v>11</v>
      </c>
      <c r="AP121" t="s">
        <v>736</v>
      </c>
      <c r="AQ121" t="str">
        <f>HYPERLINK("https://icf.clappia.com/app/GMB253374/submission/LTB83762644/ICF247370-GMB253374-31kkc0771n5a00000000/SIG-20250626_163213ol61.jpeg", "SIG-20250626_163213ol61.jpeg")</f>
        <v>SIG-20250626_163213ol61.jpeg</v>
      </c>
      <c r="AR121" t="s">
        <v>737</v>
      </c>
      <c r="AS121" t="str">
        <f>HYPERLINK("https://icf.clappia.com/app/GMB253374/submission/LTB83762644/ICF247370-GMB253374-570fpgh27bd200000000/SIG-20250626_163292ki2.jpeg", "SIG-20250626_163292ki2.jpeg")</f>
        <v>SIG-20250626_163292ki2.jpeg</v>
      </c>
      <c r="AT121" t="s">
        <v>738</v>
      </c>
      <c r="AU121" t="str">
        <f>HYPERLINK("https://icf.clappia.com/app/GMB253374/submission/LTB83762644/ICF247370-GMB253374-36m99nhj3m7m00000000/SIG-20250626_1632lga7e.jpeg", "SIG-20250626_1632lga7e.jpeg")</f>
        <v>SIG-20250626_1632lga7e.jpeg</v>
      </c>
      <c r="AV121" t="str">
        <f>HYPERLINK("https://www.google.com/maps/place/7.9650512%2C-11.7408165", "7.9650512,-11.7408165")</f>
        <v>7.9650512,-11.7408165</v>
      </c>
    </row>
    <row r="122">
      <c r="A122" t="s">
        <v>739</v>
      </c>
      <c r="B122" t="s">
        <v>46</v>
      </c>
      <c r="C122" t="s">
        <v>740</v>
      </c>
      <c r="D122" t="s">
        <v>740</v>
      </c>
      <c r="E122" t="s">
        <v>741</v>
      </c>
      <c r="F122" t="s">
        <v>64</v>
      </c>
      <c r="G122">
        <v>500</v>
      </c>
      <c r="H122" t="s">
        <v>50</v>
      </c>
      <c r="I122">
        <v>100</v>
      </c>
      <c r="J122">
        <v>50</v>
      </c>
      <c r="K122">
        <v>49</v>
      </c>
      <c r="L122">
        <v>50</v>
      </c>
      <c r="M122">
        <v>50</v>
      </c>
      <c r="N122" t="s">
        <v>51</v>
      </c>
      <c r="O122">
        <v>100</v>
      </c>
      <c r="P122">
        <v>50</v>
      </c>
      <c r="Q122">
        <v>47</v>
      </c>
      <c r="R122">
        <v>50</v>
      </c>
      <c r="S122">
        <v>49</v>
      </c>
      <c r="T122" t="s">
        <v>52</v>
      </c>
      <c r="U122">
        <v>120</v>
      </c>
      <c r="V122">
        <v>70</v>
      </c>
      <c r="W122">
        <v>65</v>
      </c>
      <c r="X122">
        <v>50</v>
      </c>
      <c r="Y122">
        <v>48</v>
      </c>
      <c r="Z122" t="s">
        <v>53</v>
      </c>
      <c r="AA122">
        <v>100</v>
      </c>
      <c r="AB122">
        <v>50</v>
      </c>
      <c r="AC122">
        <v>43</v>
      </c>
      <c r="AD122">
        <v>50</v>
      </c>
      <c r="AE122">
        <v>48</v>
      </c>
      <c r="AF122" t="s">
        <v>54</v>
      </c>
      <c r="AG122">
        <v>100</v>
      </c>
      <c r="AH122">
        <v>50</v>
      </c>
      <c r="AI122">
        <v>49</v>
      </c>
      <c r="AJ122">
        <v>50</v>
      </c>
      <c r="AK122">
        <v>47</v>
      </c>
      <c r="AL122">
        <v>495</v>
      </c>
      <c r="AM122">
        <v>5</v>
      </c>
      <c r="AN122" t="s">
        <v>55</v>
      </c>
      <c r="AO122" t="s">
        <v>55</v>
      </c>
      <c r="AP122" t="s">
        <v>742</v>
      </c>
      <c r="AQ122" t="str">
        <f>HYPERLINK("https://icf.clappia.com/app/GMB253374/submission/SGT61156767/ICF247370-GMB253374-5ek6n9ogmjkc00000000/SIG-20250626_144717h9b6.jpeg", "SIG-20250626_144717h9b6.jpeg")</f>
        <v>SIG-20250626_144717h9b6.jpeg</v>
      </c>
      <c r="AR122" t="s">
        <v>743</v>
      </c>
      <c r="AS122" t="str">
        <f>HYPERLINK("https://icf.clappia.com/app/GMB253374/submission/SGT61156767/ICF247370-GMB253374-3m15ma28jk8400000000/SIG-20250626_15044idd2.jpeg", "SIG-20250626_15044idd2.jpeg")</f>
        <v>SIG-20250626_15044idd2.jpeg</v>
      </c>
      <c r="AT122" t="s">
        <v>744</v>
      </c>
      <c r="AU122" t="str">
        <f>HYPERLINK("https://icf.clappia.com/app/GMB253374/submission/SGT61156767/ICF247370-GMB253374-3oe9boc9bmim00000000/SIG-20250626_15057pgmc.jpeg", "SIG-20250626_15057pgmc.jpeg")</f>
        <v>SIG-20250626_15057pgmc.jpeg</v>
      </c>
      <c r="AV122" t="str">
        <f>HYPERLINK("https://www.google.com/maps/place/7.9661774%2C-11.7408583", "7.9661774,-11.7408583")</f>
        <v>7.9661774,-11.7408583</v>
      </c>
    </row>
    <row r="123">
      <c r="A123" t="s">
        <v>745</v>
      </c>
      <c r="B123" t="s">
        <v>46</v>
      </c>
      <c r="C123" t="s">
        <v>746</v>
      </c>
      <c r="D123" t="s">
        <v>746</v>
      </c>
      <c r="E123" t="s">
        <v>747</v>
      </c>
      <c r="F123" t="s">
        <v>64</v>
      </c>
      <c r="G123">
        <v>200</v>
      </c>
      <c r="H123" t="s">
        <v>50</v>
      </c>
      <c r="I123">
        <v>50</v>
      </c>
      <c r="J123">
        <v>25</v>
      </c>
      <c r="K123">
        <v>25</v>
      </c>
      <c r="L123">
        <v>25</v>
      </c>
      <c r="M123">
        <v>25</v>
      </c>
      <c r="N123" t="s">
        <v>51</v>
      </c>
      <c r="O123">
        <v>50</v>
      </c>
      <c r="P123">
        <v>25</v>
      </c>
      <c r="Q123">
        <v>25</v>
      </c>
      <c r="R123">
        <v>25</v>
      </c>
      <c r="S123">
        <v>25</v>
      </c>
      <c r="T123" t="s">
        <v>52</v>
      </c>
      <c r="U123">
        <v>50</v>
      </c>
      <c r="V123">
        <v>25</v>
      </c>
      <c r="W123">
        <v>25</v>
      </c>
      <c r="X123">
        <v>25</v>
      </c>
      <c r="Y123">
        <v>25</v>
      </c>
      <c r="Z123" t="s">
        <v>53</v>
      </c>
      <c r="AA123">
        <v>20</v>
      </c>
      <c r="AB123">
        <v>10</v>
      </c>
      <c r="AC123">
        <v>10</v>
      </c>
      <c r="AD123">
        <v>10</v>
      </c>
      <c r="AE123">
        <v>10</v>
      </c>
      <c r="AF123" t="s">
        <v>54</v>
      </c>
      <c r="AG123">
        <v>30</v>
      </c>
      <c r="AH123">
        <v>15</v>
      </c>
      <c r="AI123">
        <v>15</v>
      </c>
      <c r="AJ123">
        <v>15</v>
      </c>
      <c r="AK123">
        <v>15</v>
      </c>
      <c r="AL123">
        <v>200</v>
      </c>
      <c r="AM123" t="s">
        <v>55</v>
      </c>
      <c r="AN123" t="s">
        <v>55</v>
      </c>
      <c r="AO123" t="s">
        <v>55</v>
      </c>
      <c r="AP123" t="s">
        <v>721</v>
      </c>
      <c r="AQ123" t="str">
        <f>HYPERLINK("https://icf.clappia.com/app/GMB253374/submission/AZY88432850/ICF247370-GMB253374-59egbgn874bm00000000/SIG-20250626_161919g2cb.jpeg", "SIG-20250626_161919g2cb.jpeg")</f>
        <v>SIG-20250626_161919g2cb.jpeg</v>
      </c>
      <c r="AR123" t="s">
        <v>722</v>
      </c>
      <c r="AS123" t="str">
        <f>HYPERLINK("https://icf.clappia.com/app/GMB253374/submission/AZY88432850/ICF247370-GMB253374-6bhjc1jj8jmc00000000/SIG-20250626_162018i6ko.jpeg", "SIG-20250626_162018i6ko.jpeg")</f>
        <v>SIG-20250626_162018i6ko.jpeg</v>
      </c>
      <c r="AT123" t="s">
        <v>748</v>
      </c>
      <c r="AU123" t="str">
        <f>HYPERLINK("https://icf.clappia.com/app/GMB253374/submission/AZY88432850/ICF247370-GMB253374-2ng40l3i02k600000000/SIG-20250626_162017hb0a.jpeg", "SIG-20250626_162017hb0a.jpeg")</f>
        <v>SIG-20250626_162017hb0a.jpeg</v>
      </c>
      <c r="AV123" t="str">
        <f>HYPERLINK("https://www.google.com/maps/place/8.8661857%2C-12.0499863", "8.8661857,-12.0499863")</f>
        <v>8.8661857,-12.0499863</v>
      </c>
    </row>
    <row r="124">
      <c r="A124" t="s">
        <v>749</v>
      </c>
      <c r="B124" t="s">
        <v>46</v>
      </c>
      <c r="C124" t="s">
        <v>572</v>
      </c>
      <c r="D124" t="s">
        <v>746</v>
      </c>
      <c r="E124" t="s">
        <v>750</v>
      </c>
      <c r="F124" t="s">
        <v>64</v>
      </c>
      <c r="G124">
        <v>450</v>
      </c>
      <c r="H124" t="s">
        <v>50</v>
      </c>
      <c r="I124">
        <v>100</v>
      </c>
      <c r="J124">
        <v>50</v>
      </c>
      <c r="K124">
        <v>50</v>
      </c>
      <c r="L124">
        <v>50</v>
      </c>
      <c r="M124">
        <v>50</v>
      </c>
      <c r="N124" t="s">
        <v>51</v>
      </c>
      <c r="O124">
        <v>100</v>
      </c>
      <c r="P124">
        <v>50</v>
      </c>
      <c r="Q124">
        <v>50</v>
      </c>
      <c r="R124">
        <v>50</v>
      </c>
      <c r="S124">
        <v>50</v>
      </c>
      <c r="T124" t="s">
        <v>52</v>
      </c>
      <c r="U124">
        <v>100</v>
      </c>
      <c r="V124">
        <v>50</v>
      </c>
      <c r="W124">
        <v>50</v>
      </c>
      <c r="X124">
        <v>50</v>
      </c>
      <c r="Y124">
        <v>50</v>
      </c>
      <c r="Z124" t="s">
        <v>53</v>
      </c>
      <c r="AA124">
        <v>100</v>
      </c>
      <c r="AB124">
        <v>50</v>
      </c>
      <c r="AC124">
        <v>50</v>
      </c>
      <c r="AD124">
        <v>50</v>
      </c>
      <c r="AE124">
        <v>50</v>
      </c>
      <c r="AF124" t="s">
        <v>54</v>
      </c>
      <c r="AG124">
        <v>37</v>
      </c>
      <c r="AH124">
        <v>20</v>
      </c>
      <c r="AI124">
        <v>18</v>
      </c>
      <c r="AJ124">
        <v>17</v>
      </c>
      <c r="AK124">
        <v>15</v>
      </c>
      <c r="AL124">
        <v>433</v>
      </c>
      <c r="AM124">
        <v>4</v>
      </c>
      <c r="AN124">
        <v>13</v>
      </c>
      <c r="AO124">
        <v>13</v>
      </c>
      <c r="AP124" t="s">
        <v>751</v>
      </c>
      <c r="AQ124" t="str">
        <f>HYPERLINK("https://icf.clappia.com/app/GMB253374/submission/RRN47461632/ICF247370-GMB253374-252n32meabiic0000000/SIG-20250626_1617ld07i.jpeg", "SIG-20250626_1617ld07i.jpeg")</f>
        <v>SIG-20250626_1617ld07i.jpeg</v>
      </c>
      <c r="AR124" t="s">
        <v>752</v>
      </c>
      <c r="AS124" t="str">
        <f>HYPERLINK("https://icf.clappia.com/app/GMB253374/submission/RRN47461632/ICF247370-GMB253374-250o280l7el0c0000000/SIG-20250626_16181077k9.jpeg", "SIG-20250626_16181077k9.jpeg")</f>
        <v>SIG-20250626_16181077k9.jpeg</v>
      </c>
      <c r="AT124" t="s">
        <v>753</v>
      </c>
      <c r="AU124" t="str">
        <f>HYPERLINK("https://icf.clappia.com/app/GMB253374/submission/RRN47461632/ICF247370-GMB253374-37lf0f26i60600000000/SIG-20250626_1618125fpb.jpeg", "SIG-20250626_1618125fpb.jpeg")</f>
        <v>SIG-20250626_1618125fpb.jpeg</v>
      </c>
      <c r="AV124" t="str">
        <f>HYPERLINK("https://www.google.com/maps/place/8.8656683%2C-12.04986", "8.8656683,-12.04986")</f>
        <v>8.8656683,-12.04986</v>
      </c>
    </row>
    <row r="125">
      <c r="A125" t="s">
        <v>754</v>
      </c>
      <c r="B125" t="s">
        <v>46</v>
      </c>
      <c r="C125" t="s">
        <v>755</v>
      </c>
      <c r="D125" t="s">
        <v>755</v>
      </c>
      <c r="E125" t="s">
        <v>756</v>
      </c>
      <c r="F125" t="s">
        <v>64</v>
      </c>
      <c r="G125">
        <v>200</v>
      </c>
      <c r="H125" t="s">
        <v>50</v>
      </c>
      <c r="I125">
        <v>150</v>
      </c>
      <c r="J125">
        <v>75</v>
      </c>
      <c r="K125">
        <v>75</v>
      </c>
      <c r="L125">
        <v>75</v>
      </c>
      <c r="M125">
        <v>75</v>
      </c>
      <c r="N125" t="s">
        <v>51</v>
      </c>
      <c r="O125">
        <v>120</v>
      </c>
      <c r="P125">
        <v>60</v>
      </c>
      <c r="Q125">
        <v>60</v>
      </c>
      <c r="R125">
        <v>60</v>
      </c>
      <c r="S125">
        <v>60</v>
      </c>
      <c r="T125" t="s">
        <v>52</v>
      </c>
      <c r="U125">
        <v>100</v>
      </c>
      <c r="V125">
        <v>50</v>
      </c>
      <c r="W125">
        <v>50</v>
      </c>
      <c r="X125">
        <v>50</v>
      </c>
      <c r="Y125">
        <v>50</v>
      </c>
      <c r="Z125" t="s">
        <v>53</v>
      </c>
      <c r="AA125">
        <v>130</v>
      </c>
      <c r="AB125">
        <v>65</v>
      </c>
      <c r="AC125">
        <v>65</v>
      </c>
      <c r="AD125">
        <v>65</v>
      </c>
      <c r="AE125">
        <v>65</v>
      </c>
      <c r="AF125" t="s">
        <v>54</v>
      </c>
      <c r="AG125">
        <v>110</v>
      </c>
      <c r="AH125">
        <v>55</v>
      </c>
      <c r="AI125">
        <v>55</v>
      </c>
      <c r="AJ125">
        <v>55</v>
      </c>
      <c r="AK125">
        <v>55</v>
      </c>
      <c r="AL125">
        <v>610</v>
      </c>
      <c r="AM125">
        <v>-410</v>
      </c>
      <c r="AN125" t="s">
        <v>55</v>
      </c>
      <c r="AO125">
        <v>-410</v>
      </c>
      <c r="AP125" t="s">
        <v>757</v>
      </c>
      <c r="AQ125" t="str">
        <f>HYPERLINK("https://icf.clappia.com/app/GMB253374/submission/GBW75806042/ICF247370-GMB253374-4e0c51ml5m9i00000000/SIG-20250626_1624i5m2m.jpeg", "SIG-20250626_1624i5m2m.jpeg")</f>
        <v>SIG-20250626_1624i5m2m.jpeg</v>
      </c>
      <c r="AR125" t="s">
        <v>758</v>
      </c>
      <c r="AS125" t="str">
        <f>HYPERLINK("https://icf.clappia.com/app/GMB253374/submission/GBW75806042/ICF247370-GMB253374-1950jpe6g59j60000000/SIG-20250626_1626blhb6.jpeg", "SIG-20250626_1626blhb6.jpeg")</f>
        <v>SIG-20250626_1626blhb6.jpeg</v>
      </c>
      <c r="AT125" t="s">
        <v>759</v>
      </c>
      <c r="AU125" t="str">
        <f>HYPERLINK("https://icf.clappia.com/app/GMB253374/submission/GBW75806042/ICF247370-GMB253374-5b93f73fe7hi00000000/SIG-20250626_162614e6oo.jpeg", "SIG-20250626_162614e6oo.jpeg")</f>
        <v>SIG-20250626_162614e6oo.jpeg</v>
      </c>
      <c r="AV125" t="str">
        <f>HYPERLINK("https://www.google.com/maps/place/8.8657294%2C-12.049923", "8.8657294,-12.049923")</f>
        <v>8.8657294,-12.049923</v>
      </c>
    </row>
    <row r="126">
      <c r="A126" t="s">
        <v>760</v>
      </c>
      <c r="B126" t="s">
        <v>46</v>
      </c>
      <c r="C126" t="s">
        <v>761</v>
      </c>
      <c r="D126" t="s">
        <v>761</v>
      </c>
      <c r="E126" t="s">
        <v>762</v>
      </c>
      <c r="F126" t="s">
        <v>64</v>
      </c>
      <c r="G126">
        <v>200</v>
      </c>
      <c r="H126" t="s">
        <v>50</v>
      </c>
      <c r="I126">
        <v>20</v>
      </c>
      <c r="J126">
        <v>10</v>
      </c>
      <c r="K126">
        <v>10</v>
      </c>
      <c r="L126">
        <v>10</v>
      </c>
      <c r="M126">
        <v>8</v>
      </c>
      <c r="N126" t="s">
        <v>51</v>
      </c>
      <c r="O126">
        <v>25</v>
      </c>
      <c r="P126">
        <v>15</v>
      </c>
      <c r="Q126">
        <v>15</v>
      </c>
      <c r="R126">
        <v>10</v>
      </c>
      <c r="S126">
        <v>10</v>
      </c>
      <c r="T126" t="s">
        <v>52</v>
      </c>
      <c r="U126">
        <v>35</v>
      </c>
      <c r="V126">
        <v>15</v>
      </c>
      <c r="W126">
        <v>10</v>
      </c>
      <c r="X126">
        <v>20</v>
      </c>
      <c r="Y126">
        <v>17</v>
      </c>
      <c r="Z126" t="s">
        <v>53</v>
      </c>
      <c r="AA126">
        <v>40</v>
      </c>
      <c r="AB126">
        <v>15</v>
      </c>
      <c r="AC126">
        <v>14</v>
      </c>
      <c r="AD126">
        <v>25</v>
      </c>
      <c r="AE126">
        <v>21</v>
      </c>
      <c r="AF126" t="s">
        <v>54</v>
      </c>
      <c r="AG126">
        <v>60</v>
      </c>
      <c r="AH126">
        <v>28</v>
      </c>
      <c r="AI126">
        <v>28</v>
      </c>
      <c r="AJ126">
        <v>32</v>
      </c>
      <c r="AK126">
        <v>30</v>
      </c>
      <c r="AL126">
        <v>163</v>
      </c>
      <c r="AM126" t="s">
        <v>55</v>
      </c>
      <c r="AN126">
        <v>37</v>
      </c>
      <c r="AO126">
        <v>37</v>
      </c>
      <c r="AP126" t="s">
        <v>763</v>
      </c>
      <c r="AQ126" t="str">
        <f>HYPERLINK("https://icf.clappia.com/app/GMB253374/submission/IPK13682449/ICF247370-GMB253374-1o4hhj1p0dg5m0000000/SIG-20250626_134718lp9.jpeg", "SIG-20250626_134718lp9.jpeg")</f>
        <v>SIG-20250626_134718lp9.jpeg</v>
      </c>
      <c r="AR126" t="s">
        <v>764</v>
      </c>
      <c r="AS126" t="str">
        <f>HYPERLINK("https://icf.clappia.com/app/GMB253374/submission/IPK13682449/ICF247370-GMB253374-b81ghm3oo38k0000000/SIG-20250626_140318048f.jpeg", "SIG-20250626_140318048f.jpeg")</f>
        <v>SIG-20250626_140318048f.jpeg</v>
      </c>
      <c r="AT126" t="s">
        <v>765</v>
      </c>
      <c r="AU126" t="str">
        <f>HYPERLINK("https://icf.clappia.com/app/GMB253374/submission/IPK13682449/ICF247370-GMB253374-608ecjaf3p2400000000/SIG-20250626_1347cfe2h.jpeg", "SIG-20250626_1347cfe2h.jpeg")</f>
        <v>SIG-20250626_1347cfe2h.jpeg</v>
      </c>
      <c r="AV126" t="str">
        <f>HYPERLINK("https://www.google.com/maps/place/8.8651842%2C-12.0500829", "8.8651842,-12.0500829")</f>
        <v>8.8651842,-12.0500829</v>
      </c>
    </row>
    <row r="127">
      <c r="A127" t="s">
        <v>766</v>
      </c>
      <c r="B127" t="s">
        <v>46</v>
      </c>
      <c r="C127" t="s">
        <v>368</v>
      </c>
      <c r="D127" t="s">
        <v>368</v>
      </c>
      <c r="E127" t="s">
        <v>767</v>
      </c>
      <c r="F127" t="s">
        <v>64</v>
      </c>
      <c r="G127">
        <v>250</v>
      </c>
      <c r="H127" t="s">
        <v>50</v>
      </c>
      <c r="I127">
        <v>50</v>
      </c>
      <c r="J127">
        <v>25</v>
      </c>
      <c r="K127">
        <v>25</v>
      </c>
      <c r="L127">
        <v>25</v>
      </c>
      <c r="M127">
        <v>25</v>
      </c>
      <c r="N127" t="s">
        <v>51</v>
      </c>
      <c r="O127">
        <v>20</v>
      </c>
      <c r="P127">
        <v>8</v>
      </c>
      <c r="Q127">
        <v>8</v>
      </c>
      <c r="R127">
        <v>12</v>
      </c>
      <c r="S127">
        <v>12</v>
      </c>
      <c r="T127" t="s">
        <v>52</v>
      </c>
      <c r="U127">
        <v>30</v>
      </c>
      <c r="V127">
        <v>10</v>
      </c>
      <c r="W127">
        <v>10</v>
      </c>
      <c r="X127">
        <v>20</v>
      </c>
      <c r="Y127">
        <v>20</v>
      </c>
      <c r="Z127" t="s">
        <v>53</v>
      </c>
      <c r="AA127">
        <v>50</v>
      </c>
      <c r="AB127">
        <v>20</v>
      </c>
      <c r="AC127">
        <v>20</v>
      </c>
      <c r="AD127">
        <v>30</v>
      </c>
      <c r="AE127">
        <v>30</v>
      </c>
      <c r="AF127" t="s">
        <v>54</v>
      </c>
      <c r="AG127">
        <v>50</v>
      </c>
      <c r="AH127">
        <v>30</v>
      </c>
      <c r="AI127">
        <v>30</v>
      </c>
      <c r="AJ127">
        <v>20</v>
      </c>
      <c r="AK127">
        <v>20</v>
      </c>
      <c r="AL127">
        <v>200</v>
      </c>
      <c r="AM127" t="s">
        <v>55</v>
      </c>
      <c r="AN127">
        <v>50</v>
      </c>
      <c r="AO127" t="s">
        <v>55</v>
      </c>
      <c r="AP127" t="s">
        <v>768</v>
      </c>
      <c r="AQ127" t="str">
        <f>HYPERLINK("https://icf.clappia.com/app/GMB253374/submission/MZY35756360/ICF247370-GMB253374-288k0f1p6ed8c0000000/SIG-20250626_1620m6j5f.jpeg", "SIG-20250626_1620m6j5f.jpeg")</f>
        <v>SIG-20250626_1620m6j5f.jpeg</v>
      </c>
      <c r="AR127" t="s">
        <v>769</v>
      </c>
      <c r="AS127" t="str">
        <f>HYPERLINK("https://icf.clappia.com/app/GMB253374/submission/MZY35756360/ICF247370-GMB253374-kn234mi92m6c0000000/SIG-20250626_1621133dfj.jpeg", "SIG-20250626_1621133dfj.jpeg")</f>
        <v>SIG-20250626_1621133dfj.jpeg</v>
      </c>
      <c r="AT127" t="s">
        <v>770</v>
      </c>
      <c r="AU127" t="str">
        <f>HYPERLINK("https://icf.clappia.com/app/GMB253374/submission/MZY35756360/ICF247370-GMB253374-66bg248ifh6i00000000/SIG-20250626_1621196i89.jpeg", "SIG-20250626_1621196i89.jpeg")</f>
        <v>SIG-20250626_1621196i89.jpeg</v>
      </c>
      <c r="AV127" t="str">
        <f>HYPERLINK("https://www.google.com/maps/place/8.8655453%2C-12.0503661", "8.8655453,-12.0503661")</f>
        <v>8.8655453,-12.0503661</v>
      </c>
    </row>
    <row r="128">
      <c r="A128" t="s">
        <v>771</v>
      </c>
      <c r="B128" t="s">
        <v>46</v>
      </c>
      <c r="C128" t="s">
        <v>355</v>
      </c>
      <c r="D128" t="s">
        <v>355</v>
      </c>
      <c r="E128" t="s">
        <v>772</v>
      </c>
      <c r="F128" t="s">
        <v>64</v>
      </c>
      <c r="G128">
        <v>428</v>
      </c>
      <c r="H128" t="s">
        <v>50</v>
      </c>
      <c r="I128">
        <v>50</v>
      </c>
      <c r="J128">
        <v>23</v>
      </c>
      <c r="K128">
        <v>23</v>
      </c>
      <c r="L128">
        <v>27</v>
      </c>
      <c r="M128">
        <v>27</v>
      </c>
      <c r="N128" t="s">
        <v>51</v>
      </c>
      <c r="O128">
        <v>100</v>
      </c>
      <c r="P128">
        <v>35</v>
      </c>
      <c r="Q128">
        <v>35</v>
      </c>
      <c r="R128">
        <v>65</v>
      </c>
      <c r="S128">
        <v>65</v>
      </c>
      <c r="T128" t="s">
        <v>52</v>
      </c>
      <c r="U128">
        <v>78</v>
      </c>
      <c r="V128">
        <v>44</v>
      </c>
      <c r="W128">
        <v>44</v>
      </c>
      <c r="X128">
        <v>34</v>
      </c>
      <c r="Y128">
        <v>34</v>
      </c>
      <c r="Z128" t="s">
        <v>53</v>
      </c>
      <c r="AA128">
        <v>100</v>
      </c>
      <c r="AB128">
        <v>50</v>
      </c>
      <c r="AC128">
        <v>50</v>
      </c>
      <c r="AD128">
        <v>50</v>
      </c>
      <c r="AE128">
        <v>50</v>
      </c>
      <c r="AF128" t="s">
        <v>54</v>
      </c>
      <c r="AG128">
        <v>100</v>
      </c>
      <c r="AH128">
        <v>60</v>
      </c>
      <c r="AI128">
        <v>50</v>
      </c>
      <c r="AJ128">
        <v>40</v>
      </c>
      <c r="AK128">
        <v>40</v>
      </c>
      <c r="AL128">
        <v>418</v>
      </c>
      <c r="AM128">
        <v>10</v>
      </c>
      <c r="AN128" t="s">
        <v>55</v>
      </c>
      <c r="AO128" t="s">
        <v>55</v>
      </c>
      <c r="AP128" t="s">
        <v>773</v>
      </c>
      <c r="AQ128" t="str">
        <f>HYPERLINK("https://icf.clappia.com/app/GMB253374/submission/SQZ00008360/ICF247370-GMB253374-15bh46188opda0000000/SIG-20250626_1621fobl1.jpeg", "SIG-20250626_1621fobl1.jpeg")</f>
        <v>SIG-20250626_1621fobl1.jpeg</v>
      </c>
      <c r="AR128" t="s">
        <v>774</v>
      </c>
      <c r="AS128" t="str">
        <f>HYPERLINK("https://icf.clappia.com/app/GMB253374/submission/SQZ00008360/ICF247370-GMB253374-508f9mbj23e000000000/SIG-20250626_1621fbh9o.jpeg", "SIG-20250626_1621fbh9o.jpeg")</f>
        <v>SIG-20250626_1621fbh9o.jpeg</v>
      </c>
      <c r="AT128" t="s">
        <v>668</v>
      </c>
      <c r="AU128" t="str">
        <f>HYPERLINK("https://icf.clappia.com/app/GMB253374/submission/SQZ00008360/ICF247370-GMB253374-4c5n304eaam000000000/SIG-20250626_1622jfhob.jpeg", "SIG-20250626_1622jfhob.jpeg")</f>
        <v>SIG-20250626_1622jfhob.jpeg</v>
      </c>
      <c r="AV128" t="str">
        <f>HYPERLINK("https://www.google.com/maps/place/8.8658962%2C-12.0498459", "8.8658962,-12.0498459")</f>
        <v>8.8658962,-12.0498459</v>
      </c>
    </row>
    <row r="129">
      <c r="A129" t="s">
        <v>775</v>
      </c>
      <c r="B129" t="s">
        <v>46</v>
      </c>
      <c r="C129" t="s">
        <v>776</v>
      </c>
      <c r="D129" t="s">
        <v>777</v>
      </c>
      <c r="E129" t="s">
        <v>778</v>
      </c>
      <c r="F129" t="s">
        <v>49</v>
      </c>
      <c r="G129">
        <v>50</v>
      </c>
      <c r="H129" t="s">
        <v>50</v>
      </c>
      <c r="I129">
        <v>10</v>
      </c>
      <c r="J129">
        <v>5</v>
      </c>
      <c r="K129">
        <v>5</v>
      </c>
      <c r="L129">
        <v>5</v>
      </c>
      <c r="M129">
        <v>5</v>
      </c>
      <c r="N129" t="s">
        <v>51</v>
      </c>
      <c r="O129">
        <v>6</v>
      </c>
      <c r="P129">
        <v>3</v>
      </c>
      <c r="Q129">
        <v>3</v>
      </c>
      <c r="R129">
        <v>3</v>
      </c>
      <c r="S129">
        <v>3</v>
      </c>
      <c r="T129" t="s">
        <v>52</v>
      </c>
      <c r="U129">
        <v>16</v>
      </c>
      <c r="V129">
        <v>8</v>
      </c>
      <c r="W129">
        <v>8</v>
      </c>
      <c r="X129">
        <v>8</v>
      </c>
      <c r="Y129">
        <v>8</v>
      </c>
      <c r="Z129" t="s">
        <v>53</v>
      </c>
      <c r="AA129">
        <v>6</v>
      </c>
      <c r="AB129">
        <v>3</v>
      </c>
      <c r="AC129">
        <v>3</v>
      </c>
      <c r="AD129">
        <v>3</v>
      </c>
      <c r="AE129">
        <v>3</v>
      </c>
      <c r="AF129" t="s">
        <v>54</v>
      </c>
      <c r="AG129">
        <v>8</v>
      </c>
      <c r="AH129">
        <v>3</v>
      </c>
      <c r="AI129">
        <v>3</v>
      </c>
      <c r="AJ129">
        <v>5</v>
      </c>
      <c r="AK129">
        <v>5</v>
      </c>
      <c r="AL129">
        <v>46</v>
      </c>
      <c r="AM129" t="s">
        <v>55</v>
      </c>
      <c r="AN129">
        <v>4</v>
      </c>
      <c r="AO129">
        <v>4</v>
      </c>
      <c r="AP129" t="s">
        <v>779</v>
      </c>
      <c r="AQ129" t="str">
        <f>HYPERLINK("https://icf.clappia.com/app/GMB253374/submission/WEO06356331/ICF247370-GMB253374-l11oh3gho4ac0000000/SIG-20250626_1614kc48n.jpeg", "SIG-20250626_1614kc48n.jpeg")</f>
        <v>SIG-20250626_1614kc48n.jpeg</v>
      </c>
      <c r="AR129" t="s">
        <v>780</v>
      </c>
      <c r="AS129" t="str">
        <f>HYPERLINK("https://icf.clappia.com/app/GMB253374/submission/WEO06356331/ICF247370-GMB253374-2p3mh2clllgm00000000/SIG-20250626_1614ao8lh.jpeg", "SIG-20250626_1614ao8lh.jpeg")</f>
        <v>SIG-20250626_1614ao8lh.jpeg</v>
      </c>
      <c r="AT129" t="s">
        <v>781</v>
      </c>
      <c r="AU129" t="str">
        <f>HYPERLINK("https://icf.clappia.com/app/GMB253374/submission/WEO06356331/ICF247370-GMB253374-ocebplcef3da0000000/SIG-20250626_161418fgpj.jpeg", "SIG-20250626_161418fgpj.jpeg")</f>
        <v>SIG-20250626_161418fgpj.jpeg</v>
      </c>
      <c r="AV129" t="str">
        <f>HYPERLINK("https://www.google.com/maps/place/8.8656035%2C-12.0498536", "8.8656035,-12.0498536")</f>
        <v>8.8656035,-12.0498536</v>
      </c>
    </row>
    <row r="130">
      <c r="A130" t="s">
        <v>782</v>
      </c>
      <c r="B130" t="s">
        <v>46</v>
      </c>
      <c r="C130" t="s">
        <v>783</v>
      </c>
      <c r="D130" t="s">
        <v>783</v>
      </c>
      <c r="E130" t="s">
        <v>784</v>
      </c>
      <c r="F130" t="s">
        <v>64</v>
      </c>
      <c r="G130">
        <v>153</v>
      </c>
      <c r="H130" t="s">
        <v>50</v>
      </c>
      <c r="I130">
        <v>40</v>
      </c>
      <c r="J130">
        <v>20</v>
      </c>
      <c r="K130">
        <v>20</v>
      </c>
      <c r="L130">
        <v>20</v>
      </c>
      <c r="M130">
        <v>20</v>
      </c>
      <c r="N130" t="s">
        <v>51</v>
      </c>
      <c r="O130">
        <v>40</v>
      </c>
      <c r="P130">
        <v>20</v>
      </c>
      <c r="Q130">
        <v>20</v>
      </c>
      <c r="R130">
        <v>20</v>
      </c>
      <c r="S130">
        <v>20</v>
      </c>
      <c r="T130" t="s">
        <v>52</v>
      </c>
      <c r="U130">
        <v>20</v>
      </c>
      <c r="V130">
        <v>10</v>
      </c>
      <c r="W130">
        <v>10</v>
      </c>
      <c r="X130">
        <v>10</v>
      </c>
      <c r="Y130">
        <v>10</v>
      </c>
      <c r="Z130" t="s">
        <v>53</v>
      </c>
      <c r="AA130">
        <v>20</v>
      </c>
      <c r="AB130">
        <v>10</v>
      </c>
      <c r="AC130">
        <v>10</v>
      </c>
      <c r="AD130">
        <v>10</v>
      </c>
      <c r="AE130">
        <v>10</v>
      </c>
      <c r="AF130" t="s">
        <v>54</v>
      </c>
      <c r="AG130">
        <v>23</v>
      </c>
      <c r="AH130">
        <v>10</v>
      </c>
      <c r="AI130">
        <v>10</v>
      </c>
      <c r="AJ130">
        <v>13</v>
      </c>
      <c r="AK130">
        <v>13</v>
      </c>
      <c r="AL130">
        <v>143</v>
      </c>
      <c r="AM130" t="s">
        <v>55</v>
      </c>
      <c r="AN130">
        <v>10</v>
      </c>
      <c r="AO130">
        <v>10</v>
      </c>
      <c r="AP130" t="s">
        <v>698</v>
      </c>
      <c r="AQ130" t="str">
        <f>HYPERLINK("https://icf.clappia.com/app/GMB253374/submission/WAV18273517/ICF247370-GMB253374-3el6hbj23f3m00000000/SIG-20250626_1618d0ofk.jpeg", "SIG-20250626_1618d0ofk.jpeg")</f>
        <v>SIG-20250626_1618d0ofk.jpeg</v>
      </c>
      <c r="AR130" t="s">
        <v>483</v>
      </c>
      <c r="AS130" t="str">
        <f>HYPERLINK("https://icf.clappia.com/app/GMB253374/submission/WAV18273517/ICF247370-GMB253374-8f788mc9po280000000/SIG-20250626_16198dh2d.jpeg", "SIG-20250626_16198dh2d.jpeg")</f>
        <v>SIG-20250626_16198dh2d.jpeg</v>
      </c>
      <c r="AT130" t="s">
        <v>785</v>
      </c>
      <c r="AU130" t="str">
        <f>HYPERLINK("https://icf.clappia.com/app/GMB253374/submission/WAV18273517/ICF247370-GMB253374-4po8k469d0ge00000000/SIG-20250626_1619ag77n.jpeg", "SIG-20250626_1619ag77n.jpeg")</f>
        <v>SIG-20250626_1619ag77n.jpeg</v>
      </c>
      <c r="AV130" t="str">
        <f>HYPERLINK("https://www.google.com/maps/place/8.8666266%2C-12.051161", "8.8666266,-12.051161")</f>
        <v>8.8666266,-12.051161</v>
      </c>
    </row>
    <row r="131">
      <c r="A131" t="s">
        <v>786</v>
      </c>
      <c r="B131" t="s">
        <v>46</v>
      </c>
      <c r="C131" t="s">
        <v>783</v>
      </c>
      <c r="D131" t="s">
        <v>783</v>
      </c>
      <c r="E131" t="s">
        <v>787</v>
      </c>
      <c r="F131" t="s">
        <v>64</v>
      </c>
      <c r="G131">
        <v>250</v>
      </c>
      <c r="H131" t="s">
        <v>50</v>
      </c>
      <c r="I131">
        <v>25</v>
      </c>
      <c r="J131">
        <v>10</v>
      </c>
      <c r="K131">
        <v>10</v>
      </c>
      <c r="L131">
        <v>15</v>
      </c>
      <c r="M131">
        <v>15</v>
      </c>
      <c r="N131" t="s">
        <v>51</v>
      </c>
      <c r="O131">
        <v>30</v>
      </c>
      <c r="P131">
        <v>15</v>
      </c>
      <c r="Q131">
        <v>14</v>
      </c>
      <c r="R131">
        <v>15</v>
      </c>
      <c r="S131">
        <v>15</v>
      </c>
      <c r="T131" t="s">
        <v>52</v>
      </c>
      <c r="U131">
        <v>20</v>
      </c>
      <c r="V131">
        <v>5</v>
      </c>
      <c r="W131">
        <v>5</v>
      </c>
      <c r="X131">
        <v>15</v>
      </c>
      <c r="Y131">
        <v>14</v>
      </c>
      <c r="Z131" t="s">
        <v>53</v>
      </c>
      <c r="AA131">
        <v>15</v>
      </c>
      <c r="AB131">
        <v>5</v>
      </c>
      <c r="AC131">
        <v>5</v>
      </c>
      <c r="AD131">
        <v>10</v>
      </c>
      <c r="AE131">
        <v>9</v>
      </c>
      <c r="AF131" t="s">
        <v>54</v>
      </c>
      <c r="AG131">
        <v>30</v>
      </c>
      <c r="AH131">
        <v>10</v>
      </c>
      <c r="AI131">
        <v>10</v>
      </c>
      <c r="AJ131">
        <v>20</v>
      </c>
      <c r="AK131">
        <v>20</v>
      </c>
      <c r="AL131">
        <v>117</v>
      </c>
      <c r="AM131">
        <v>2</v>
      </c>
      <c r="AN131">
        <v>131</v>
      </c>
      <c r="AO131">
        <v>119</v>
      </c>
      <c r="AP131" t="s">
        <v>788</v>
      </c>
      <c r="AQ131" t="str">
        <f>HYPERLINK("https://icf.clappia.com/app/GMB253374/submission/MTU05124037/ICF247370-GMB253374-2fhd3k7gk4ec00000000/SIG-20250626_161911g5kf.jpeg", "SIG-20250626_161911g5kf.jpeg")</f>
        <v>SIG-20250626_161911g5kf.jpeg</v>
      </c>
      <c r="AR131" t="s">
        <v>789</v>
      </c>
      <c r="AS131" t="str">
        <f>HYPERLINK("https://icf.clappia.com/app/GMB253374/submission/MTU05124037/ICF247370-GMB253374-29k196pj8f75a0000000/SIG-20250626_1619cbg5n.jpeg", "SIG-20250626_1619cbg5n.jpeg")</f>
        <v>SIG-20250626_1619cbg5n.jpeg</v>
      </c>
      <c r="AT131" t="s">
        <v>790</v>
      </c>
      <c r="AU131" t="str">
        <f>HYPERLINK("https://icf.clappia.com/app/GMB253374/submission/MTU05124037/ICF247370-GMB253374-ope5mj859pfe0000000/SIG-20250626_1619135fj3.jpeg", "SIG-20250626_1619135fj3.jpeg")</f>
        <v>SIG-20250626_1619135fj3.jpeg</v>
      </c>
      <c r="AV131" t="str">
        <f>HYPERLINK("https://www.google.com/maps/place/8.8655956%2C-12.0516564", "8.8655956,-12.0516564")</f>
        <v>8.8655956,-12.0516564</v>
      </c>
    </row>
    <row r="132">
      <c r="A132" t="s">
        <v>791</v>
      </c>
      <c r="B132" t="s">
        <v>46</v>
      </c>
      <c r="C132" t="s">
        <v>462</v>
      </c>
      <c r="D132" t="s">
        <v>462</v>
      </c>
      <c r="E132" t="s">
        <v>792</v>
      </c>
      <c r="F132" t="s">
        <v>64</v>
      </c>
      <c r="G132">
        <v>320</v>
      </c>
      <c r="H132" t="s">
        <v>50</v>
      </c>
      <c r="I132">
        <v>90</v>
      </c>
      <c r="J132">
        <v>47</v>
      </c>
      <c r="K132">
        <v>47</v>
      </c>
      <c r="L132">
        <v>43</v>
      </c>
      <c r="M132">
        <v>43</v>
      </c>
      <c r="N132" t="s">
        <v>51</v>
      </c>
      <c r="O132">
        <v>70</v>
      </c>
      <c r="P132">
        <v>36</v>
      </c>
      <c r="Q132">
        <v>36</v>
      </c>
      <c r="R132">
        <v>34</v>
      </c>
      <c r="S132">
        <v>34</v>
      </c>
      <c r="T132" t="s">
        <v>52</v>
      </c>
      <c r="U132">
        <v>55</v>
      </c>
      <c r="V132">
        <v>35</v>
      </c>
      <c r="W132">
        <v>35</v>
      </c>
      <c r="X132">
        <v>20</v>
      </c>
      <c r="Y132">
        <v>20</v>
      </c>
      <c r="Z132" t="s">
        <v>53</v>
      </c>
      <c r="AA132">
        <v>52</v>
      </c>
      <c r="AB132">
        <v>28</v>
      </c>
      <c r="AC132">
        <v>28</v>
      </c>
      <c r="AD132">
        <v>24</v>
      </c>
      <c r="AE132">
        <v>24</v>
      </c>
      <c r="AF132" t="s">
        <v>54</v>
      </c>
      <c r="AG132">
        <v>41</v>
      </c>
      <c r="AH132">
        <v>23</v>
      </c>
      <c r="AI132">
        <v>23</v>
      </c>
      <c r="AJ132">
        <v>18</v>
      </c>
      <c r="AK132">
        <v>18</v>
      </c>
      <c r="AL132">
        <v>308</v>
      </c>
      <c r="AM132" t="s">
        <v>55</v>
      </c>
      <c r="AN132">
        <v>12</v>
      </c>
      <c r="AO132" t="s">
        <v>55</v>
      </c>
      <c r="AP132" t="s">
        <v>652</v>
      </c>
      <c r="AQ132" t="str">
        <f>HYPERLINK("https://icf.clappia.com/app/GMB253374/submission/HFT43822083/ICF247370-GMB253374-50en9fdk52c400000000/SIG-20250626_1617a3jbj.jpeg", "SIG-20250626_1617a3jbj.jpeg")</f>
        <v>SIG-20250626_1617a3jbj.jpeg</v>
      </c>
      <c r="AR132" t="s">
        <v>793</v>
      </c>
      <c r="AS132" t="str">
        <f>HYPERLINK("https://icf.clappia.com/app/GMB253374/submission/HFT43822083/ICF247370-GMB253374-152nogojm970c0000000/SIG-20250626_161829189.jpeg", "SIG-20250626_161829189.jpeg")</f>
        <v>SIG-20250626_161829189.jpeg</v>
      </c>
      <c r="AT132" t="s">
        <v>794</v>
      </c>
      <c r="AU132" t="str">
        <f>HYPERLINK("https://icf.clappia.com/app/GMB253374/submission/HFT43822083/ICF247370-GMB253374-20a05cm321mc80000000/SIG-20250626_1618d7o65.jpeg", "SIG-20250626_1618d7o65.jpeg")</f>
        <v>SIG-20250626_1618d7o65.jpeg</v>
      </c>
      <c r="AV132" t="str">
        <f>HYPERLINK("https://www.google.com/maps/place/8.8654683%2C-12.0499433", "8.8654683,-12.0499433")</f>
        <v>8.8654683,-12.0499433</v>
      </c>
    </row>
    <row r="133">
      <c r="A133" t="s">
        <v>795</v>
      </c>
      <c r="B133" t="s">
        <v>46</v>
      </c>
      <c r="C133" t="s">
        <v>462</v>
      </c>
      <c r="D133" t="s">
        <v>462</v>
      </c>
      <c r="E133" t="s">
        <v>796</v>
      </c>
      <c r="F133" t="s">
        <v>64</v>
      </c>
      <c r="G133">
        <v>299</v>
      </c>
      <c r="H133" t="s">
        <v>50</v>
      </c>
      <c r="I133">
        <v>90</v>
      </c>
      <c r="J133">
        <v>40</v>
      </c>
      <c r="K133">
        <v>40</v>
      </c>
      <c r="L133">
        <v>50</v>
      </c>
      <c r="M133">
        <v>50</v>
      </c>
      <c r="N133" t="s">
        <v>51</v>
      </c>
      <c r="O133">
        <v>50</v>
      </c>
      <c r="P133">
        <v>25</v>
      </c>
      <c r="Q133">
        <v>25</v>
      </c>
      <c r="R133">
        <v>25</v>
      </c>
      <c r="S133">
        <v>25</v>
      </c>
      <c r="T133" t="s">
        <v>52</v>
      </c>
      <c r="U133">
        <v>50</v>
      </c>
      <c r="V133">
        <v>25</v>
      </c>
      <c r="W133">
        <v>25</v>
      </c>
      <c r="X133">
        <v>25</v>
      </c>
      <c r="Y133">
        <v>25</v>
      </c>
      <c r="Z133" t="s">
        <v>53</v>
      </c>
      <c r="AA133">
        <v>50</v>
      </c>
      <c r="AB133">
        <v>25</v>
      </c>
      <c r="AC133">
        <v>25</v>
      </c>
      <c r="AD133">
        <v>25</v>
      </c>
      <c r="AE133">
        <v>25</v>
      </c>
      <c r="AF133" t="s">
        <v>54</v>
      </c>
      <c r="AG133">
        <v>50</v>
      </c>
      <c r="AH133">
        <v>25</v>
      </c>
      <c r="AI133">
        <v>25</v>
      </c>
      <c r="AJ133">
        <v>25</v>
      </c>
      <c r="AK133">
        <v>25</v>
      </c>
      <c r="AL133">
        <v>290</v>
      </c>
      <c r="AM133">
        <v>9</v>
      </c>
      <c r="AN133" t="s">
        <v>55</v>
      </c>
      <c r="AO133" t="s">
        <v>55</v>
      </c>
      <c r="AP133" t="s">
        <v>702</v>
      </c>
      <c r="AQ133" t="str">
        <f>HYPERLINK("https://icf.clappia.com/app/GMB253374/submission/GPF87912724/ICF247370-GMB253374-2epigdm6o6bi00000000/SIG-20250626_1617kemmd.jpeg", "SIG-20250626_1617kemmd.jpeg")</f>
        <v>SIG-20250626_1617kemmd.jpeg</v>
      </c>
      <c r="AR133" t="s">
        <v>703</v>
      </c>
      <c r="AS133" t="str">
        <f>HYPERLINK("https://icf.clappia.com/app/GMB253374/submission/GPF87912724/ICF247370-GMB253374-ji9b9if38kic0000000/SIG-20250626_1618cdd1b.jpeg", "SIG-20250626_1618cdd1b.jpeg")</f>
        <v>SIG-20250626_1618cdd1b.jpeg</v>
      </c>
      <c r="AT133" t="s">
        <v>797</v>
      </c>
      <c r="AU133" t="str">
        <f>HYPERLINK("https://icf.clappia.com/app/GMB253374/submission/GPF87912724/ICF247370-GMB253374-1hgkj7h3ghp4c0000000/SIG-20250626_16182dc40.jpeg", "SIG-20250626_16182dc40.jpeg")</f>
        <v>SIG-20250626_16182dc40.jpeg</v>
      </c>
      <c r="AV133" t="str">
        <f>HYPERLINK("https://www.google.com/maps/place/8.8639157%2C-12.0512994", "8.8639157,-12.0512994")</f>
        <v>8.8639157,-12.0512994</v>
      </c>
    </row>
    <row r="134">
      <c r="A134" t="s">
        <v>798</v>
      </c>
      <c r="B134" t="s">
        <v>46</v>
      </c>
      <c r="C134" t="s">
        <v>572</v>
      </c>
      <c r="D134" t="s">
        <v>572</v>
      </c>
      <c r="E134" t="s">
        <v>799</v>
      </c>
      <c r="F134" t="s">
        <v>64</v>
      </c>
      <c r="G134">
        <v>200</v>
      </c>
      <c r="H134" t="s">
        <v>50</v>
      </c>
      <c r="I134">
        <v>30</v>
      </c>
      <c r="J134">
        <v>15</v>
      </c>
      <c r="K134">
        <v>15</v>
      </c>
      <c r="L134">
        <v>15</v>
      </c>
      <c r="M134">
        <v>15</v>
      </c>
      <c r="N134" t="s">
        <v>51</v>
      </c>
      <c r="O134">
        <v>20</v>
      </c>
      <c r="P134">
        <v>10</v>
      </c>
      <c r="Q134">
        <v>10</v>
      </c>
      <c r="R134">
        <v>10</v>
      </c>
      <c r="S134">
        <v>10</v>
      </c>
      <c r="T134" t="s">
        <v>52</v>
      </c>
      <c r="U134">
        <v>26</v>
      </c>
      <c r="V134">
        <v>10</v>
      </c>
      <c r="W134">
        <v>10</v>
      </c>
      <c r="X134">
        <v>16</v>
      </c>
      <c r="Y134">
        <v>16</v>
      </c>
      <c r="Z134" t="s">
        <v>53</v>
      </c>
      <c r="AA134">
        <v>10</v>
      </c>
      <c r="AB134">
        <v>5</v>
      </c>
      <c r="AC134">
        <v>5</v>
      </c>
      <c r="AD134">
        <v>5</v>
      </c>
      <c r="AE134">
        <v>5</v>
      </c>
      <c r="AF134" t="s">
        <v>54</v>
      </c>
      <c r="AG134">
        <v>10</v>
      </c>
      <c r="AH134">
        <v>5</v>
      </c>
      <c r="AI134">
        <v>5</v>
      </c>
      <c r="AJ134">
        <v>5</v>
      </c>
      <c r="AK134">
        <v>5</v>
      </c>
      <c r="AL134">
        <v>96</v>
      </c>
      <c r="AM134" t="s">
        <v>55</v>
      </c>
      <c r="AN134">
        <v>104</v>
      </c>
      <c r="AO134">
        <v>104</v>
      </c>
      <c r="AP134" t="s">
        <v>800</v>
      </c>
      <c r="AQ134" t="str">
        <f>HYPERLINK("https://icf.clappia.com/app/GMB253374/submission/IMK02682622/ICF247370-GMB253374-35m5e378p4oe00000000/SIG-20250626_161713ipmj.jpeg", "SIG-20250626_161713ipmj.jpeg")</f>
        <v>SIG-20250626_161713ipmj.jpeg</v>
      </c>
      <c r="AR134" t="s">
        <v>801</v>
      </c>
      <c r="AS134" t="str">
        <f>HYPERLINK("https://icf.clappia.com/app/GMB253374/submission/IMK02682622/ICF247370-GMB253374-42f6c1mli7d400000000/SIG-20250626_1618ooed2.jpeg", "SIG-20250626_1618ooed2.jpeg")</f>
        <v>SIG-20250626_1618ooed2.jpeg</v>
      </c>
      <c r="AT134" t="s">
        <v>802</v>
      </c>
      <c r="AU134" t="str">
        <f>HYPERLINK("https://icf.clappia.com/app/GMB253374/submission/IMK02682622/ICF247370-GMB253374-47cjmah08cd600000000/SIG-20250626_1618ba85g.jpeg", "SIG-20250626_1618ba85g.jpeg")</f>
        <v>SIG-20250626_1618ba85g.jpeg</v>
      </c>
      <c r="AV134" t="str">
        <f>HYPERLINK("https://www.google.com/maps/place/8.8688975%2C-12.0541554", "8.8688975,-12.0541554")</f>
        <v>8.8688975,-12.0541554</v>
      </c>
    </row>
    <row r="135">
      <c r="A135" t="s">
        <v>803</v>
      </c>
      <c r="B135" t="s">
        <v>46</v>
      </c>
      <c r="C135" t="s">
        <v>572</v>
      </c>
      <c r="D135" t="s">
        <v>572</v>
      </c>
      <c r="E135" t="s">
        <v>804</v>
      </c>
      <c r="F135" t="s">
        <v>64</v>
      </c>
      <c r="G135">
        <v>200</v>
      </c>
      <c r="H135" t="s">
        <v>50</v>
      </c>
      <c r="I135">
        <v>37</v>
      </c>
      <c r="J135">
        <v>17</v>
      </c>
      <c r="K135">
        <v>17</v>
      </c>
      <c r="L135">
        <v>20</v>
      </c>
      <c r="M135">
        <v>20</v>
      </c>
      <c r="N135" t="s">
        <v>51</v>
      </c>
      <c r="O135">
        <v>38</v>
      </c>
      <c r="P135">
        <v>25</v>
      </c>
      <c r="Q135">
        <v>25</v>
      </c>
      <c r="R135">
        <v>13</v>
      </c>
      <c r="S135">
        <v>13</v>
      </c>
      <c r="T135" t="s">
        <v>52</v>
      </c>
      <c r="U135">
        <v>40</v>
      </c>
      <c r="V135">
        <v>25</v>
      </c>
      <c r="W135">
        <v>25</v>
      </c>
      <c r="X135">
        <v>15</v>
      </c>
      <c r="Y135">
        <v>15</v>
      </c>
      <c r="Z135" t="s">
        <v>53</v>
      </c>
      <c r="AA135">
        <v>36</v>
      </c>
      <c r="AB135">
        <v>16</v>
      </c>
      <c r="AC135">
        <v>16</v>
      </c>
      <c r="AD135">
        <v>20</v>
      </c>
      <c r="AE135">
        <v>20</v>
      </c>
      <c r="AF135" t="s">
        <v>54</v>
      </c>
      <c r="AG135">
        <v>38</v>
      </c>
      <c r="AH135">
        <v>21</v>
      </c>
      <c r="AI135">
        <v>21</v>
      </c>
      <c r="AJ135">
        <v>17</v>
      </c>
      <c r="AK135">
        <v>17</v>
      </c>
      <c r="AL135">
        <v>189</v>
      </c>
      <c r="AM135" t="s">
        <v>55</v>
      </c>
      <c r="AN135">
        <v>11</v>
      </c>
      <c r="AO135">
        <v>11</v>
      </c>
      <c r="AP135" t="s">
        <v>606</v>
      </c>
      <c r="AQ135" t="str">
        <f>HYPERLINK("https://icf.clappia.com/app/GMB253374/submission/PJD95333060/ICF247370-GMB253374-6630i5boo3ma00000000/SIG-20250626_1616jg0d3.jpeg", "SIG-20250626_1616jg0d3.jpeg")</f>
        <v>SIG-20250626_1616jg0d3.jpeg</v>
      </c>
      <c r="AR135" t="s">
        <v>605</v>
      </c>
      <c r="AS135" t="str">
        <f>HYPERLINK("https://icf.clappia.com/app/GMB253374/submission/PJD95333060/ICF247370-GMB253374-fj2ekf538io80000000/SIG-20250626_1617ek8ll.jpeg", "SIG-20250626_1617ek8ll.jpeg")</f>
        <v>SIG-20250626_1617ek8ll.jpeg</v>
      </c>
      <c r="AT135" t="s">
        <v>604</v>
      </c>
      <c r="AU135" t="str">
        <f>HYPERLINK("https://icf.clappia.com/app/GMB253374/submission/PJD95333060/ICF247370-GMB253374-232a9il6jjdb60000000/SIG-20250626_161730ie.jpeg", "SIG-20250626_161730ie.jpeg")</f>
        <v>SIG-20250626_161730ie.jpeg</v>
      </c>
      <c r="AV135" t="str">
        <f>HYPERLINK("https://www.google.com/maps/place/8.8656765%2C-12.0498917", "8.8656765,-12.0498917")</f>
        <v>8.8656765,-12.0498917</v>
      </c>
    </row>
    <row r="136">
      <c r="A136" t="s">
        <v>805</v>
      </c>
      <c r="B136" t="s">
        <v>46</v>
      </c>
      <c r="C136" t="s">
        <v>572</v>
      </c>
      <c r="D136" t="s">
        <v>572</v>
      </c>
      <c r="E136" t="s">
        <v>806</v>
      </c>
      <c r="F136" t="s">
        <v>64</v>
      </c>
      <c r="G136">
        <v>200</v>
      </c>
      <c r="H136" t="s">
        <v>50</v>
      </c>
      <c r="I136">
        <v>20</v>
      </c>
      <c r="J136">
        <v>5</v>
      </c>
      <c r="K136">
        <v>5</v>
      </c>
      <c r="L136">
        <v>15</v>
      </c>
      <c r="M136">
        <v>15</v>
      </c>
      <c r="N136" t="s">
        <v>51</v>
      </c>
      <c r="O136">
        <v>30</v>
      </c>
      <c r="P136">
        <v>12</v>
      </c>
      <c r="Q136">
        <v>12</v>
      </c>
      <c r="R136">
        <v>18</v>
      </c>
      <c r="S136">
        <v>18</v>
      </c>
      <c r="T136" t="s">
        <v>52</v>
      </c>
      <c r="U136">
        <v>35</v>
      </c>
      <c r="V136">
        <v>15</v>
      </c>
      <c r="W136">
        <v>15</v>
      </c>
      <c r="X136">
        <v>20</v>
      </c>
      <c r="Y136">
        <v>20</v>
      </c>
      <c r="Z136" t="s">
        <v>53</v>
      </c>
      <c r="AA136">
        <v>40</v>
      </c>
      <c r="AB136">
        <v>20</v>
      </c>
      <c r="AC136">
        <v>20</v>
      </c>
      <c r="AD136">
        <v>20</v>
      </c>
      <c r="AE136">
        <v>20</v>
      </c>
      <c r="AF136" t="s">
        <v>54</v>
      </c>
      <c r="AG136">
        <v>42</v>
      </c>
      <c r="AH136">
        <v>20</v>
      </c>
      <c r="AI136">
        <v>20</v>
      </c>
      <c r="AJ136">
        <v>22</v>
      </c>
      <c r="AK136">
        <v>22</v>
      </c>
      <c r="AL136">
        <v>167</v>
      </c>
      <c r="AM136" t="s">
        <v>55</v>
      </c>
      <c r="AN136">
        <v>33</v>
      </c>
      <c r="AO136">
        <v>33</v>
      </c>
      <c r="AP136" t="s">
        <v>711</v>
      </c>
      <c r="AQ136" t="str">
        <f>HYPERLINK("https://icf.clappia.com/app/GMB253374/submission/ORU54467526/ICF247370-GMB253374-3o9bnib317ne00000000/SIG-20250626_161720l41.jpeg", "SIG-20250626_161720l41.jpeg")</f>
        <v>SIG-20250626_161720l41.jpeg</v>
      </c>
      <c r="AR136" t="s">
        <v>712</v>
      </c>
      <c r="AS136" t="str">
        <f>HYPERLINK("https://icf.clappia.com/app/GMB253374/submission/ORU54467526/ICF247370-GMB253374-510064j8hk3e00000000/SIG-20250626_1617388jd.jpeg", "SIG-20250626_1617388jd.jpeg")</f>
        <v>SIG-20250626_1617388jd.jpeg</v>
      </c>
      <c r="AT136" t="s">
        <v>578</v>
      </c>
      <c r="AU136" t="str">
        <f>HYPERLINK("https://icf.clappia.com/app/GMB253374/submission/ORU54467526/ICF247370-GMB253374-261a5e188g4j20000000/SIG-20250626_1618168pog.jpeg", "SIG-20250626_1618168pog.jpeg")</f>
        <v>SIG-20250626_1618168pog.jpeg</v>
      </c>
      <c r="AV136" t="str">
        <f>HYPERLINK("https://www.google.com/maps/place/8.8666217%2C-12.0512981", "8.8666217,-12.0512981")</f>
        <v>8.8666217,-12.0512981</v>
      </c>
    </row>
    <row r="137">
      <c r="A137" t="s">
        <v>807</v>
      </c>
      <c r="B137" t="s">
        <v>46</v>
      </c>
      <c r="C137" t="s">
        <v>808</v>
      </c>
      <c r="D137" t="s">
        <v>808</v>
      </c>
      <c r="E137" t="s">
        <v>809</v>
      </c>
      <c r="F137" t="s">
        <v>49</v>
      </c>
      <c r="G137">
        <v>400</v>
      </c>
      <c r="H137" t="s">
        <v>50</v>
      </c>
      <c r="I137">
        <v>50</v>
      </c>
      <c r="J137">
        <v>25</v>
      </c>
      <c r="K137">
        <v>25</v>
      </c>
      <c r="L137">
        <v>25</v>
      </c>
      <c r="M137">
        <v>20</v>
      </c>
      <c r="N137" t="s">
        <v>51</v>
      </c>
      <c r="O137">
        <v>75</v>
      </c>
      <c r="P137">
        <v>25</v>
      </c>
      <c r="Q137">
        <v>25</v>
      </c>
      <c r="R137">
        <v>50</v>
      </c>
      <c r="S137">
        <v>50</v>
      </c>
      <c r="T137" t="s">
        <v>52</v>
      </c>
      <c r="U137">
        <v>60</v>
      </c>
      <c r="V137">
        <v>30</v>
      </c>
      <c r="W137">
        <v>30</v>
      </c>
      <c r="X137">
        <v>30</v>
      </c>
      <c r="Y137">
        <v>30</v>
      </c>
      <c r="Z137" t="s">
        <v>53</v>
      </c>
      <c r="AA137">
        <v>52</v>
      </c>
      <c r="AB137">
        <v>32</v>
      </c>
      <c r="AC137">
        <v>32</v>
      </c>
      <c r="AD137">
        <v>20</v>
      </c>
      <c r="AE137">
        <v>20</v>
      </c>
      <c r="AF137" t="s">
        <v>54</v>
      </c>
      <c r="AG137">
        <v>100</v>
      </c>
      <c r="AH137">
        <v>40</v>
      </c>
      <c r="AI137">
        <v>40</v>
      </c>
      <c r="AJ137">
        <v>60</v>
      </c>
      <c r="AK137">
        <v>60</v>
      </c>
      <c r="AL137">
        <v>332</v>
      </c>
      <c r="AM137">
        <v>5</v>
      </c>
      <c r="AN137">
        <v>63</v>
      </c>
      <c r="AO137">
        <v>63</v>
      </c>
      <c r="AP137" t="s">
        <v>810</v>
      </c>
      <c r="AQ137" t="str">
        <f>HYPERLINK("https://icf.clappia.com/app/GMB253374/submission/DFG98550531/ICF247370-GMB253374-2ecn9ap0l1c20000000/SIG-20250626_16161047bc.jpeg", "SIG-20250626_16161047bc.jpeg")</f>
        <v>SIG-20250626_16161047bc.jpeg</v>
      </c>
      <c r="AR137" t="s">
        <v>811</v>
      </c>
      <c r="AS137" t="str">
        <f>HYPERLINK("https://icf.clappia.com/app/GMB253374/submission/DFG98550531/ICF247370-GMB253374-1p2kifi86oe560000000/SIG-20250626_1616lg8l0.jpeg", "SIG-20250626_1616lg8l0.jpeg")</f>
        <v>SIG-20250626_1616lg8l0.jpeg</v>
      </c>
      <c r="AT137" t="s">
        <v>812</v>
      </c>
      <c r="AU137" t="str">
        <f>HYPERLINK("https://icf.clappia.com/app/GMB253374/submission/DFG98550531/ICF247370-GMB253374-5f17h7j7o9ak00000000/SIG-20250626_161699e45.jpeg", "SIG-20250626_161699e45.jpeg")</f>
        <v>SIG-20250626_161699e45.jpeg</v>
      </c>
      <c r="AV137" t="str">
        <f>HYPERLINK("https://www.google.com/maps/place/8.8618163%2C-12.0534414", "8.8618163,-12.0534414")</f>
        <v>8.8618163,-12.0534414</v>
      </c>
    </row>
    <row r="138">
      <c r="A138" t="s">
        <v>813</v>
      </c>
      <c r="B138" t="s">
        <v>46</v>
      </c>
      <c r="C138" t="s">
        <v>386</v>
      </c>
      <c r="D138" t="s">
        <v>386</v>
      </c>
      <c r="E138" t="s">
        <v>814</v>
      </c>
      <c r="F138" t="s">
        <v>64</v>
      </c>
      <c r="G138">
        <v>100</v>
      </c>
      <c r="H138" t="s">
        <v>50</v>
      </c>
      <c r="I138">
        <v>30</v>
      </c>
      <c r="J138">
        <v>15</v>
      </c>
      <c r="K138">
        <v>15</v>
      </c>
      <c r="L138">
        <v>15</v>
      </c>
      <c r="M138">
        <v>15</v>
      </c>
      <c r="N138" t="s">
        <v>51</v>
      </c>
      <c r="O138">
        <v>20</v>
      </c>
      <c r="P138">
        <v>10</v>
      </c>
      <c r="Q138">
        <v>10</v>
      </c>
      <c r="R138">
        <v>10</v>
      </c>
      <c r="S138">
        <v>10</v>
      </c>
      <c r="T138" t="s">
        <v>52</v>
      </c>
      <c r="U138">
        <v>15</v>
      </c>
      <c r="V138">
        <v>7</v>
      </c>
      <c r="W138">
        <v>7</v>
      </c>
      <c r="X138">
        <v>8</v>
      </c>
      <c r="Y138">
        <v>8</v>
      </c>
      <c r="Z138" t="s">
        <v>53</v>
      </c>
      <c r="AA138">
        <v>18</v>
      </c>
      <c r="AB138">
        <v>9</v>
      </c>
      <c r="AC138">
        <v>7</v>
      </c>
      <c r="AD138">
        <v>9</v>
      </c>
      <c r="AE138">
        <v>8</v>
      </c>
      <c r="AF138" t="s">
        <v>54</v>
      </c>
      <c r="AG138">
        <v>17</v>
      </c>
      <c r="AH138">
        <v>9</v>
      </c>
      <c r="AI138">
        <v>9</v>
      </c>
      <c r="AJ138">
        <v>8</v>
      </c>
      <c r="AK138">
        <v>8</v>
      </c>
      <c r="AL138">
        <v>97</v>
      </c>
      <c r="AM138">
        <v>3</v>
      </c>
      <c r="AN138" t="s">
        <v>55</v>
      </c>
      <c r="AO138" t="s">
        <v>55</v>
      </c>
      <c r="AP138" t="s">
        <v>815</v>
      </c>
      <c r="AQ138" t="str">
        <f>HYPERLINK("https://icf.clappia.com/app/GMB253374/submission/ZGJ21841531/ICF247370-GMB253374-32b25gd4fhb600000000/SIG-20250626_16156lpbc.jpeg", "SIG-20250626_16156lpbc.jpeg")</f>
        <v>SIG-20250626_16156lpbc.jpeg</v>
      </c>
      <c r="AR138" t="s">
        <v>687</v>
      </c>
      <c r="AS138" t="str">
        <f>HYPERLINK("https://icf.clappia.com/app/GMB253374/submission/ZGJ21841531/ICF247370-GMB253374-1cd9n12ad8if20000000/SIG-20250626_1616105p42.jpeg", "SIG-20250626_1616105p42.jpeg")</f>
        <v>SIG-20250626_1616105p42.jpeg</v>
      </c>
      <c r="AT138" t="s">
        <v>688</v>
      </c>
      <c r="AU138" t="str">
        <f>HYPERLINK("https://icf.clappia.com/app/GMB253374/submission/ZGJ21841531/ICF247370-GMB253374-2f53ei8pg4pc00000000/SIG-20250626_161610i4lk.jpeg", "SIG-20250626_161610i4lk.jpeg")</f>
        <v>SIG-20250626_161610i4lk.jpeg</v>
      </c>
      <c r="AV138" t="str">
        <f>HYPERLINK("https://www.google.com/maps/place/8.8654894%2C-12.049659", "8.8654894,-12.049659")</f>
        <v>8.8654894,-12.049659</v>
      </c>
    </row>
    <row r="139">
      <c r="A139" t="s">
        <v>816</v>
      </c>
      <c r="B139" t="s">
        <v>46</v>
      </c>
      <c r="C139" t="s">
        <v>776</v>
      </c>
      <c r="D139" t="s">
        <v>776</v>
      </c>
      <c r="E139" t="s">
        <v>817</v>
      </c>
      <c r="F139" t="s">
        <v>64</v>
      </c>
      <c r="G139">
        <v>200</v>
      </c>
      <c r="H139" t="s">
        <v>50</v>
      </c>
      <c r="I139">
        <v>50</v>
      </c>
      <c r="J139">
        <v>25</v>
      </c>
      <c r="K139">
        <v>25</v>
      </c>
      <c r="L139">
        <v>25</v>
      </c>
      <c r="M139">
        <v>25</v>
      </c>
      <c r="N139" t="s">
        <v>51</v>
      </c>
      <c r="O139">
        <v>50</v>
      </c>
      <c r="P139">
        <v>25</v>
      </c>
      <c r="Q139">
        <v>25</v>
      </c>
      <c r="R139">
        <v>25</v>
      </c>
      <c r="S139">
        <v>25</v>
      </c>
      <c r="T139" t="s">
        <v>52</v>
      </c>
      <c r="U139">
        <v>50</v>
      </c>
      <c r="V139">
        <v>25</v>
      </c>
      <c r="W139">
        <v>25</v>
      </c>
      <c r="X139">
        <v>25</v>
      </c>
      <c r="Y139">
        <v>25</v>
      </c>
      <c r="Z139" t="s">
        <v>53</v>
      </c>
      <c r="AA139">
        <v>40</v>
      </c>
      <c r="AB139">
        <v>20</v>
      </c>
      <c r="AC139">
        <v>20</v>
      </c>
      <c r="AD139">
        <v>20</v>
      </c>
      <c r="AE139">
        <v>20</v>
      </c>
      <c r="AF139" t="s">
        <v>54</v>
      </c>
      <c r="AG139">
        <v>10</v>
      </c>
      <c r="AH139">
        <v>5</v>
      </c>
      <c r="AI139">
        <v>5</v>
      </c>
      <c r="AJ139">
        <v>5</v>
      </c>
      <c r="AK139">
        <v>5</v>
      </c>
      <c r="AL139">
        <v>200</v>
      </c>
      <c r="AM139" t="s">
        <v>55</v>
      </c>
      <c r="AN139" t="s">
        <v>55</v>
      </c>
      <c r="AO139" t="s">
        <v>55</v>
      </c>
      <c r="AP139" t="s">
        <v>818</v>
      </c>
      <c r="AQ139" t="str">
        <f>HYPERLINK("https://icf.clappia.com/app/GMB253374/submission/ZXF04347235/ICF247370-GMB253374-2ofp7ofoelmk00000000/SIG-20250626_1614118ihn.jpeg", "SIG-20250626_1614118ihn.jpeg")</f>
        <v>SIG-20250626_1614118ihn.jpeg</v>
      </c>
      <c r="AR139" t="s">
        <v>725</v>
      </c>
      <c r="AS139" t="str">
        <f>HYPERLINK("https://icf.clappia.com/app/GMB253374/submission/ZXF04347235/ICF247370-GMB253374-5j6in8g397eo00000000/SIG-20250626_1615dcljo.jpeg", "SIG-20250626_1615dcljo.jpeg")</f>
        <v>SIG-20250626_1615dcljo.jpeg</v>
      </c>
      <c r="AT139" t="s">
        <v>726</v>
      </c>
      <c r="AU139" t="str">
        <f>HYPERLINK("https://icf.clappia.com/app/GMB253374/submission/ZXF04347235/ICF247370-GMB253374-57ba4d10142g00000000/SIG-20250626_161410ddlg.jpeg", "SIG-20250626_161410ddlg.jpeg")</f>
        <v>SIG-20250626_161410ddlg.jpeg</v>
      </c>
      <c r="AV139" t="str">
        <f>HYPERLINK("https://www.google.com/maps/place/8.8657683%2C-12.0497733", "8.8657683,-12.0497733")</f>
        <v>8.8657683,-12.0497733</v>
      </c>
    </row>
    <row r="140">
      <c r="A140" t="s">
        <v>819</v>
      </c>
      <c r="B140" t="s">
        <v>46</v>
      </c>
      <c r="C140" t="s">
        <v>776</v>
      </c>
      <c r="D140" t="s">
        <v>776</v>
      </c>
      <c r="E140" t="s">
        <v>820</v>
      </c>
      <c r="F140" t="s">
        <v>64</v>
      </c>
      <c r="G140">
        <v>250</v>
      </c>
      <c r="H140" t="s">
        <v>50</v>
      </c>
      <c r="I140">
        <v>50</v>
      </c>
      <c r="J140">
        <v>20</v>
      </c>
      <c r="K140">
        <v>20</v>
      </c>
      <c r="L140">
        <v>30</v>
      </c>
      <c r="M140">
        <v>30</v>
      </c>
      <c r="N140" t="s">
        <v>51</v>
      </c>
      <c r="O140">
        <v>50</v>
      </c>
      <c r="P140">
        <v>15</v>
      </c>
      <c r="Q140">
        <v>15</v>
      </c>
      <c r="R140">
        <v>35</v>
      </c>
      <c r="S140">
        <v>35</v>
      </c>
      <c r="T140" t="s">
        <v>52</v>
      </c>
      <c r="U140">
        <v>50</v>
      </c>
      <c r="V140">
        <v>25</v>
      </c>
      <c r="W140">
        <v>25</v>
      </c>
      <c r="X140">
        <v>25</v>
      </c>
      <c r="Y140">
        <v>25</v>
      </c>
      <c r="Z140" t="s">
        <v>53</v>
      </c>
      <c r="AA140">
        <v>50</v>
      </c>
      <c r="AB140">
        <v>10</v>
      </c>
      <c r="AC140">
        <v>10</v>
      </c>
      <c r="AD140">
        <v>40</v>
      </c>
      <c r="AE140">
        <v>40</v>
      </c>
      <c r="AF140" t="s">
        <v>54</v>
      </c>
      <c r="AG140">
        <v>50</v>
      </c>
      <c r="AH140">
        <v>20</v>
      </c>
      <c r="AI140">
        <v>20</v>
      </c>
      <c r="AJ140">
        <v>30</v>
      </c>
      <c r="AK140">
        <v>30</v>
      </c>
      <c r="AL140">
        <v>250</v>
      </c>
      <c r="AM140" t="s">
        <v>55</v>
      </c>
      <c r="AN140" t="s">
        <v>55</v>
      </c>
      <c r="AO140" t="s">
        <v>55</v>
      </c>
      <c r="AP140" t="s">
        <v>821</v>
      </c>
      <c r="AQ140" t="str">
        <f>HYPERLINK("https://icf.clappia.com/app/GMB253374/submission/NUE17311124/ICF247370-GMB253374-193bkb00h80og0000000/SIG-20250626_1613feej4.jpeg", "SIG-20250626_1613feej4.jpeg")</f>
        <v>SIG-20250626_1613feej4.jpeg</v>
      </c>
      <c r="AR140" t="s">
        <v>822</v>
      </c>
      <c r="AS140" t="str">
        <f>HYPERLINK("https://icf.clappia.com/app/GMB253374/submission/NUE17311124/ICF247370-GMB253374-1k3b2m0k258720000000/SIG-20250626_1614i87pg.jpeg", "SIG-20250626_1614i87pg.jpeg")</f>
        <v>SIG-20250626_1614i87pg.jpeg</v>
      </c>
      <c r="AT140" t="s">
        <v>617</v>
      </c>
      <c r="AU140" t="str">
        <f>HYPERLINK("https://icf.clappia.com/app/GMB253374/submission/NUE17311124/ICF247370-GMB253374-1ai17n5acb82k0000000/SIG-20250626_1614be8lc.jpeg", "SIG-20250626_1614be8lc.jpeg")</f>
        <v>SIG-20250626_1614be8lc.jpeg</v>
      </c>
      <c r="AV140" t="str">
        <f>HYPERLINK("https://www.google.com/maps/place/8.8666221%2C-12.0512994", "8.8666221,-12.0512994")</f>
        <v>8.8666221,-12.0512994</v>
      </c>
    </row>
    <row r="141">
      <c r="A141" t="s">
        <v>823</v>
      </c>
      <c r="B141" t="s">
        <v>46</v>
      </c>
      <c r="C141" t="s">
        <v>824</v>
      </c>
      <c r="D141" t="s">
        <v>824</v>
      </c>
      <c r="E141" t="s">
        <v>825</v>
      </c>
      <c r="F141" t="s">
        <v>64</v>
      </c>
      <c r="G141">
        <v>200</v>
      </c>
      <c r="H141" t="s">
        <v>50</v>
      </c>
      <c r="I141">
        <v>30</v>
      </c>
      <c r="J141">
        <v>15</v>
      </c>
      <c r="K141">
        <v>15</v>
      </c>
      <c r="L141">
        <v>15</v>
      </c>
      <c r="M141">
        <v>15</v>
      </c>
      <c r="N141" t="s">
        <v>51</v>
      </c>
      <c r="O141">
        <v>60</v>
      </c>
      <c r="P141">
        <v>25</v>
      </c>
      <c r="Q141">
        <v>25</v>
      </c>
      <c r="R141">
        <v>35</v>
      </c>
      <c r="S141">
        <v>35</v>
      </c>
      <c r="T141" t="s">
        <v>52</v>
      </c>
      <c r="U141">
        <v>20</v>
      </c>
      <c r="V141">
        <v>5</v>
      </c>
      <c r="W141">
        <v>5</v>
      </c>
      <c r="X141">
        <v>15</v>
      </c>
      <c r="Y141">
        <v>15</v>
      </c>
      <c r="Z141" t="s">
        <v>53</v>
      </c>
      <c r="AA141">
        <v>20</v>
      </c>
      <c r="AB141">
        <v>15</v>
      </c>
      <c r="AC141">
        <v>15</v>
      </c>
      <c r="AD141">
        <v>5</v>
      </c>
      <c r="AE141">
        <v>5</v>
      </c>
      <c r="AF141" t="s">
        <v>54</v>
      </c>
      <c r="AG141">
        <v>20</v>
      </c>
      <c r="AH141">
        <v>12</v>
      </c>
      <c r="AI141">
        <v>12</v>
      </c>
      <c r="AJ141">
        <v>8</v>
      </c>
      <c r="AK141">
        <v>8</v>
      </c>
      <c r="AL141">
        <v>150</v>
      </c>
      <c r="AM141" t="s">
        <v>55</v>
      </c>
      <c r="AN141">
        <v>50</v>
      </c>
      <c r="AO141">
        <v>50</v>
      </c>
      <c r="AP141" t="s">
        <v>826</v>
      </c>
      <c r="AQ141" t="str">
        <f>HYPERLINK("https://icf.clappia.com/app/GMB253374/submission/GVJ21755503/ICF247370-GMB253374-3j0ka8mf55mm00000000/SIG-20250626_1612134a13.jpeg", "SIG-20250626_1612134a13.jpeg")</f>
        <v>SIG-20250626_1612134a13.jpeg</v>
      </c>
      <c r="AR141" t="s">
        <v>827</v>
      </c>
      <c r="AS141" t="str">
        <f>HYPERLINK("https://icf.clappia.com/app/GMB253374/submission/GVJ21755503/ICF247370-GMB253374-3mm9lc23227e00000000/SIG-20250626_1612nk8h6.jpeg", "SIG-20250626_1612nk8h6.jpeg")</f>
        <v>SIG-20250626_1612nk8h6.jpeg</v>
      </c>
      <c r="AT141" t="s">
        <v>828</v>
      </c>
      <c r="AU141" t="str">
        <f>HYPERLINK("https://icf.clappia.com/app/GMB253374/submission/GVJ21755503/ICF247370-GMB253374-2oel7m9ehp1k0000000/SIG-20250626_1613blkf3.jpeg", "SIG-20250626_1613blkf3.jpeg")</f>
        <v>SIG-20250626_1613blkf3.jpeg</v>
      </c>
      <c r="AV141" t="str">
        <f>HYPERLINK("https://www.google.com/maps/place/8.8655933%2C-12.0498317", "8.8655933,-12.0498317")</f>
        <v>8.8655933,-12.0498317</v>
      </c>
    </row>
    <row r="142">
      <c r="A142" t="s">
        <v>829</v>
      </c>
      <c r="B142" t="s">
        <v>46</v>
      </c>
      <c r="C142" t="s">
        <v>830</v>
      </c>
      <c r="D142" t="s">
        <v>830</v>
      </c>
      <c r="E142" t="s">
        <v>831</v>
      </c>
      <c r="F142" t="s">
        <v>64</v>
      </c>
      <c r="G142">
        <v>121</v>
      </c>
      <c r="H142" t="s">
        <v>50</v>
      </c>
      <c r="I142">
        <v>26</v>
      </c>
      <c r="J142">
        <v>13</v>
      </c>
      <c r="K142">
        <v>13</v>
      </c>
      <c r="L142">
        <v>13</v>
      </c>
      <c r="M142">
        <v>13</v>
      </c>
      <c r="N142" t="s">
        <v>51</v>
      </c>
      <c r="O142">
        <v>24</v>
      </c>
      <c r="P142">
        <v>12</v>
      </c>
      <c r="Q142">
        <v>12</v>
      </c>
      <c r="R142">
        <v>12</v>
      </c>
      <c r="S142">
        <v>12</v>
      </c>
      <c r="T142" t="s">
        <v>52</v>
      </c>
      <c r="U142">
        <v>24</v>
      </c>
      <c r="V142">
        <v>12</v>
      </c>
      <c r="W142">
        <v>12</v>
      </c>
      <c r="X142">
        <v>12</v>
      </c>
      <c r="Y142">
        <v>12</v>
      </c>
      <c r="Z142" t="s">
        <v>53</v>
      </c>
      <c r="AA142">
        <v>24</v>
      </c>
      <c r="AB142">
        <v>12</v>
      </c>
      <c r="AC142">
        <v>12</v>
      </c>
      <c r="AD142">
        <v>12</v>
      </c>
      <c r="AE142">
        <v>12</v>
      </c>
      <c r="AF142" t="s">
        <v>54</v>
      </c>
      <c r="AG142">
        <v>23</v>
      </c>
      <c r="AH142">
        <v>10</v>
      </c>
      <c r="AI142">
        <v>10</v>
      </c>
      <c r="AJ142">
        <v>13</v>
      </c>
      <c r="AK142">
        <v>13</v>
      </c>
      <c r="AL142">
        <v>121</v>
      </c>
      <c r="AM142" t="s">
        <v>55</v>
      </c>
      <c r="AN142" t="s">
        <v>55</v>
      </c>
      <c r="AO142" t="s">
        <v>55</v>
      </c>
      <c r="AP142" t="s">
        <v>832</v>
      </c>
      <c r="AQ142" t="str">
        <f>HYPERLINK("https://icf.clappia.com/app/GMB253374/submission/PVP25975903/ICF247370-GMB253374-4e89fa2d43na00000000/SIG-20250626_1400ikeml.jpeg", "SIG-20250626_1400ikeml.jpeg")</f>
        <v>SIG-20250626_1400ikeml.jpeg</v>
      </c>
      <c r="AR142" t="s">
        <v>833</v>
      </c>
      <c r="AS142" t="str">
        <f>HYPERLINK("https://icf.clappia.com/app/GMB253374/submission/PVP25975903/ICF247370-GMB253374-5hh006aged9e00000000/SIG-20250626_140218090p.jpeg", "SIG-20250626_140218090p.jpeg")</f>
        <v>SIG-20250626_140218090p.jpeg</v>
      </c>
      <c r="AT142" t="s">
        <v>834</v>
      </c>
      <c r="AU142" t="str">
        <f>HYPERLINK("https://icf.clappia.com/app/GMB253374/submission/PVP25975903/ICF247370-GMB253374-53nh4hipoi4e00000000/SIG-20250626_14024n6a4.jpeg", "SIG-20250626_14024n6a4.jpeg")</f>
        <v>SIG-20250626_14024n6a4.jpeg</v>
      </c>
      <c r="AV142" t="str">
        <f>HYPERLINK("https://www.google.com/maps/place/8.8666211%2C-12.0512958", "8.8666211,-12.0512958")</f>
        <v>8.8666211,-12.0512958</v>
      </c>
    </row>
    <row r="143">
      <c r="A143" t="s">
        <v>835</v>
      </c>
      <c r="B143" t="s">
        <v>46</v>
      </c>
      <c r="C143" t="s">
        <v>836</v>
      </c>
      <c r="D143" t="s">
        <v>836</v>
      </c>
      <c r="E143" t="s">
        <v>837</v>
      </c>
      <c r="F143" t="s">
        <v>64</v>
      </c>
      <c r="G143">
        <v>250</v>
      </c>
      <c r="H143" t="s">
        <v>50</v>
      </c>
      <c r="I143">
        <v>50</v>
      </c>
      <c r="J143">
        <v>30</v>
      </c>
      <c r="K143">
        <v>30</v>
      </c>
      <c r="L143">
        <v>20</v>
      </c>
      <c r="M143">
        <v>20</v>
      </c>
      <c r="N143" t="s">
        <v>51</v>
      </c>
      <c r="O143">
        <v>30</v>
      </c>
      <c r="P143">
        <v>15</v>
      </c>
      <c r="Q143">
        <v>15</v>
      </c>
      <c r="R143">
        <v>15</v>
      </c>
      <c r="S143">
        <v>15</v>
      </c>
      <c r="T143" t="s">
        <v>52</v>
      </c>
      <c r="U143">
        <v>40</v>
      </c>
      <c r="V143">
        <v>20</v>
      </c>
      <c r="W143">
        <v>20</v>
      </c>
      <c r="X143">
        <v>20</v>
      </c>
      <c r="Y143">
        <v>20</v>
      </c>
      <c r="Z143" t="s">
        <v>53</v>
      </c>
      <c r="AA143">
        <v>50</v>
      </c>
      <c r="AB143">
        <v>25</v>
      </c>
      <c r="AC143">
        <v>25</v>
      </c>
      <c r="AD143">
        <v>25</v>
      </c>
      <c r="AE143">
        <v>25</v>
      </c>
      <c r="AF143" t="s">
        <v>54</v>
      </c>
      <c r="AG143">
        <v>80</v>
      </c>
      <c r="AH143">
        <v>40</v>
      </c>
      <c r="AI143">
        <v>40</v>
      </c>
      <c r="AJ143">
        <v>40</v>
      </c>
      <c r="AK143">
        <v>40</v>
      </c>
      <c r="AL143">
        <v>250</v>
      </c>
      <c r="AM143" t="s">
        <v>677</v>
      </c>
      <c r="AN143" t="s">
        <v>55</v>
      </c>
      <c r="AO143" t="s">
        <v>55</v>
      </c>
      <c r="AP143" t="s">
        <v>838</v>
      </c>
      <c r="AQ143" t="str">
        <f>HYPERLINK("https://icf.clappia.com/app/GMB253374/submission/NHL00235913/ICF247370-GMB253374-1o01llkh9cbok0000000/SIG-20250626_15459h51m.jpeg", "SIG-20250626_15459h51m.jpeg")</f>
        <v>SIG-20250626_15459h51m.jpeg</v>
      </c>
      <c r="AR143" t="s">
        <v>839</v>
      </c>
      <c r="AS143" t="str">
        <f>HYPERLINK("https://icf.clappia.com/app/GMB253374/submission/NHL00235913/ICF247370-GMB253374-34le7lgcm2ok00000000/SIG-20250626_154516b2h0.jpeg", "SIG-20250626_154516b2h0.jpeg")</f>
        <v>SIG-20250626_154516b2h0.jpeg</v>
      </c>
      <c r="AT143" t="s">
        <v>840</v>
      </c>
      <c r="AU143" t="str">
        <f>HYPERLINK("https://icf.clappia.com/app/GMB253374/submission/NHL00235913/ICF247370-GMB253374-67kf0ci1fm0i00000000/SIG-20250626_1546k5leg.jpeg", "SIG-20250626_1546k5leg.jpeg")</f>
        <v>SIG-20250626_1546k5leg.jpeg</v>
      </c>
      <c r="AV143" t="str">
        <f>HYPERLINK("https://www.google.com/maps/place/7.9575499%2C-11.7575473", "7.9575499,-11.7575473")</f>
        <v>7.9575499,-11.7575473</v>
      </c>
    </row>
    <row r="144">
      <c r="A144" t="s">
        <v>841</v>
      </c>
      <c r="B144" t="s">
        <v>46</v>
      </c>
      <c r="C144" t="s">
        <v>836</v>
      </c>
      <c r="D144" t="s">
        <v>836</v>
      </c>
      <c r="E144" t="s">
        <v>842</v>
      </c>
      <c r="F144" t="s">
        <v>64</v>
      </c>
      <c r="G144">
        <v>250</v>
      </c>
      <c r="H144" t="s">
        <v>50</v>
      </c>
      <c r="I144">
        <v>50</v>
      </c>
      <c r="J144">
        <v>30</v>
      </c>
      <c r="K144">
        <v>20</v>
      </c>
      <c r="L144">
        <v>20</v>
      </c>
      <c r="M144">
        <v>15</v>
      </c>
      <c r="N144" t="s">
        <v>51</v>
      </c>
      <c r="O144">
        <v>30</v>
      </c>
      <c r="P144">
        <v>15</v>
      </c>
      <c r="Q144">
        <v>15</v>
      </c>
      <c r="R144">
        <v>15</v>
      </c>
      <c r="S144">
        <v>15</v>
      </c>
      <c r="T144" t="s">
        <v>52</v>
      </c>
      <c r="U144">
        <v>40</v>
      </c>
      <c r="V144">
        <v>25</v>
      </c>
      <c r="W144">
        <v>20</v>
      </c>
      <c r="X144">
        <v>15</v>
      </c>
      <c r="Y144">
        <v>10</v>
      </c>
      <c r="Z144" t="s">
        <v>53</v>
      </c>
      <c r="AA144">
        <v>55</v>
      </c>
      <c r="AB144">
        <v>30</v>
      </c>
      <c r="AC144">
        <v>30</v>
      </c>
      <c r="AD144">
        <v>25</v>
      </c>
      <c r="AE144">
        <v>25</v>
      </c>
      <c r="AF144" t="s">
        <v>54</v>
      </c>
      <c r="AG144">
        <v>100</v>
      </c>
      <c r="AH144">
        <v>50</v>
      </c>
      <c r="AI144">
        <v>40</v>
      </c>
      <c r="AJ144">
        <v>10</v>
      </c>
      <c r="AK144">
        <v>10</v>
      </c>
      <c r="AL144">
        <v>200</v>
      </c>
      <c r="AM144">
        <v>10</v>
      </c>
      <c r="AN144">
        <v>40</v>
      </c>
      <c r="AO144">
        <v>40</v>
      </c>
      <c r="AP144" t="s">
        <v>843</v>
      </c>
      <c r="AQ144" t="str">
        <f>HYPERLINK("https://icf.clappia.com/app/GMB253374/submission/RCT08233292/ICF247370-GMB253374-35icpj6b027800000000/SIG-20250626_15455705k.jpeg", "SIG-20250626_15455705k.jpeg")</f>
        <v>SIG-20250626_15455705k.jpeg</v>
      </c>
      <c r="AR144" t="s">
        <v>844</v>
      </c>
      <c r="AS144" t="str">
        <f>HYPERLINK("https://icf.clappia.com/app/GMB253374/submission/RCT08233292/ICF247370-GMB253374-30582354675600000000/SIG-20250626_15463996j.jpeg", "SIG-20250626_15463996j.jpeg")</f>
        <v>SIG-20250626_15463996j.jpeg</v>
      </c>
      <c r="AT144" t="s">
        <v>845</v>
      </c>
      <c r="AU144" t="str">
        <f>HYPERLINK("https://icf.clappia.com/app/GMB253374/submission/RCT08233292/ICF247370-GMB253374-20360e4ami2l60000000/SIG-20250626_1548okh8c.jpeg", "SIG-20250626_1548okh8c.jpeg")</f>
        <v>SIG-20250626_1548okh8c.jpeg</v>
      </c>
      <c r="AV144" t="str">
        <f>HYPERLINK("https://www.google.com/maps/place/7.9642603%2C-11.745088", "7.9642603,-11.745088")</f>
        <v>7.9642603,-11.745088</v>
      </c>
    </row>
    <row r="145">
      <c r="A145" t="s">
        <v>846</v>
      </c>
      <c r="B145" t="s">
        <v>847</v>
      </c>
      <c r="C145" t="s">
        <v>848</v>
      </c>
      <c r="D145" t="s">
        <v>849</v>
      </c>
      <c r="E145" t="s">
        <v>850</v>
      </c>
      <c r="F145" t="s">
        <v>64</v>
      </c>
      <c r="G145">
        <v>500</v>
      </c>
      <c r="H145" t="s">
        <v>50</v>
      </c>
      <c r="I145">
        <v>60</v>
      </c>
      <c r="J145">
        <v>30</v>
      </c>
      <c r="K145">
        <v>30</v>
      </c>
      <c r="L145">
        <v>30</v>
      </c>
      <c r="M145">
        <v>30</v>
      </c>
      <c r="N145" t="s">
        <v>51</v>
      </c>
      <c r="O145">
        <v>40</v>
      </c>
      <c r="P145">
        <v>20</v>
      </c>
      <c r="Q145">
        <v>20</v>
      </c>
      <c r="R145">
        <v>20</v>
      </c>
      <c r="S145">
        <v>20</v>
      </c>
      <c r="T145" t="s">
        <v>52</v>
      </c>
      <c r="U145">
        <v>30</v>
      </c>
      <c r="V145">
        <v>20</v>
      </c>
      <c r="W145">
        <v>20</v>
      </c>
      <c r="X145">
        <v>10</v>
      </c>
      <c r="Y145">
        <v>10</v>
      </c>
      <c r="Z145" t="s">
        <v>53</v>
      </c>
      <c r="AA145">
        <v>70</v>
      </c>
      <c r="AB145">
        <v>35</v>
      </c>
      <c r="AC145">
        <v>35</v>
      </c>
      <c r="AD145">
        <v>35</v>
      </c>
      <c r="AE145">
        <v>35</v>
      </c>
      <c r="AF145" t="s">
        <v>54</v>
      </c>
      <c r="AG145">
        <v>80</v>
      </c>
      <c r="AH145">
        <v>40</v>
      </c>
      <c r="AI145">
        <v>40</v>
      </c>
      <c r="AJ145">
        <v>40</v>
      </c>
      <c r="AK145">
        <v>40</v>
      </c>
      <c r="AL145">
        <v>280</v>
      </c>
      <c r="AM145" t="s">
        <v>55</v>
      </c>
      <c r="AN145">
        <v>220</v>
      </c>
      <c r="AO145">
        <v>220</v>
      </c>
      <c r="AP145" t="s">
        <v>851</v>
      </c>
      <c r="AQ145" t="str">
        <f>HYPERLINK("https://icf.clappia.com/app/GMB253374/submission/GXP70201123/ICF247370-GMB253374-5dh3kn9f7pmm00000000/SIG-20250626_1300150a8i.jpeg", "SIG-20250626_1300150a8i.jpeg")</f>
        <v>SIG-20250626_1300150a8i.jpeg</v>
      </c>
      <c r="AR145" t="s">
        <v>852</v>
      </c>
      <c r="AS145" t="str">
        <f>HYPERLINK("https://icf.clappia.com/app/GMB253374/submission/GXP70201123/ICF247370-GMB253374-1ahf5he980c4o0000000/SIG-20250626_1300ncb3k.jpeg", "SIG-20250626_1300ncb3k.jpeg")</f>
        <v>SIG-20250626_1300ncb3k.jpeg</v>
      </c>
      <c r="AT145" t="s">
        <v>853</v>
      </c>
      <c r="AU145" t="str">
        <f>HYPERLINK("https://icf.clappia.com/app/GMB253374/submission/GXP70201123/ICF247370-GMB253374-4a161lc938ea00000000/SIG-20250626_1301j23fe.jpeg", "SIG-20250626_1301j23fe.jpeg")</f>
        <v>SIG-20250626_1301j23fe.jpeg</v>
      </c>
      <c r="AV145" t="str">
        <f>HYPERLINK("https://www.google.com/maps/place/7.9610474%2C-11.7404606", "7.9610474,-11.7404606")</f>
        <v>7.9610474,-11.7404606</v>
      </c>
    </row>
    <row r="146">
      <c r="A146" t="s">
        <v>854</v>
      </c>
      <c r="B146" t="s">
        <v>46</v>
      </c>
      <c r="C146" t="s">
        <v>855</v>
      </c>
      <c r="D146" t="s">
        <v>855</v>
      </c>
      <c r="E146" t="s">
        <v>856</v>
      </c>
      <c r="F146" t="s">
        <v>64</v>
      </c>
      <c r="G146">
        <v>500</v>
      </c>
      <c r="H146" t="s">
        <v>50</v>
      </c>
      <c r="I146">
        <v>100</v>
      </c>
      <c r="J146">
        <v>50</v>
      </c>
      <c r="K146">
        <v>49</v>
      </c>
      <c r="L146">
        <v>50</v>
      </c>
      <c r="M146">
        <v>50</v>
      </c>
      <c r="N146" t="s">
        <v>51</v>
      </c>
      <c r="O146">
        <v>100</v>
      </c>
      <c r="P146">
        <v>50</v>
      </c>
      <c r="Q146">
        <v>47</v>
      </c>
      <c r="R146">
        <v>50</v>
      </c>
      <c r="S146">
        <v>49</v>
      </c>
      <c r="T146" t="s">
        <v>52</v>
      </c>
      <c r="U146">
        <v>100</v>
      </c>
      <c r="V146">
        <v>50</v>
      </c>
      <c r="W146">
        <v>50</v>
      </c>
      <c r="X146">
        <v>50</v>
      </c>
      <c r="Y146">
        <v>47</v>
      </c>
      <c r="Z146" t="s">
        <v>53</v>
      </c>
      <c r="AA146">
        <v>100</v>
      </c>
      <c r="AB146">
        <v>50</v>
      </c>
      <c r="AC146">
        <v>50</v>
      </c>
      <c r="AD146">
        <v>50</v>
      </c>
      <c r="AE146">
        <v>49</v>
      </c>
      <c r="AF146" t="s">
        <v>54</v>
      </c>
      <c r="AG146">
        <v>100</v>
      </c>
      <c r="AH146">
        <v>50</v>
      </c>
      <c r="AI146">
        <v>48</v>
      </c>
      <c r="AJ146">
        <v>50</v>
      </c>
      <c r="AK146">
        <v>50</v>
      </c>
      <c r="AL146">
        <v>489</v>
      </c>
      <c r="AM146">
        <v>10</v>
      </c>
      <c r="AN146">
        <v>1</v>
      </c>
      <c r="AO146">
        <v>1</v>
      </c>
      <c r="AP146" t="s">
        <v>623</v>
      </c>
      <c r="AQ146" t="str">
        <f>HYPERLINK("https://icf.clappia.com/app/GMB253374/submission/FSO51106248/ICF247370-GMB253374-2849hm5fg4iae0000000/SIG-20250626_145413hd7p.jpeg", "SIG-20250626_145413hd7p.jpeg")</f>
        <v>SIG-20250626_145413hd7p.jpeg</v>
      </c>
      <c r="AR146" t="s">
        <v>857</v>
      </c>
      <c r="AS146" t="str">
        <f>HYPERLINK("https://icf.clappia.com/app/GMB253374/submission/FSO51106248/ICF247370-GMB253374-371k6p37e7mi00000000/SIG-20250626_14551421o0.jpeg", "SIG-20250626_14551421o0.jpeg")</f>
        <v>SIG-20250626_14551421o0.jpeg</v>
      </c>
      <c r="AT146" t="s">
        <v>858</v>
      </c>
      <c r="AU146" t="str">
        <f>HYPERLINK("https://icf.clappia.com/app/GMB253374/submission/FSO51106248/ICF247370-GMB253374-hhpjmjg9jngc0000000/SIG-20250626_1456133gid.jpeg", "SIG-20250626_1456133gid.jpeg")</f>
        <v>SIG-20250626_1456133gid.jpeg</v>
      </c>
      <c r="AV146" t="str">
        <f>HYPERLINK("https://www.google.com/maps/place/7.965041%2C-11.7411725", "7.965041,-11.7411725")</f>
        <v>7.965041,-11.7411725</v>
      </c>
    </row>
    <row r="147">
      <c r="A147" t="s">
        <v>859</v>
      </c>
      <c r="B147" t="s">
        <v>46</v>
      </c>
      <c r="C147" t="s">
        <v>860</v>
      </c>
      <c r="D147" t="s">
        <v>860</v>
      </c>
      <c r="E147" t="s">
        <v>861</v>
      </c>
      <c r="F147" t="s">
        <v>64</v>
      </c>
      <c r="G147">
        <v>200</v>
      </c>
      <c r="H147" t="s">
        <v>50</v>
      </c>
      <c r="I147">
        <v>20</v>
      </c>
      <c r="J147">
        <v>10</v>
      </c>
      <c r="K147">
        <v>10</v>
      </c>
      <c r="L147">
        <v>10</v>
      </c>
      <c r="M147">
        <v>8</v>
      </c>
      <c r="N147" t="s">
        <v>51</v>
      </c>
      <c r="O147">
        <v>50</v>
      </c>
      <c r="P147">
        <v>25</v>
      </c>
      <c r="Q147">
        <v>25</v>
      </c>
      <c r="R147">
        <v>25</v>
      </c>
      <c r="S147">
        <v>25</v>
      </c>
      <c r="T147" t="s">
        <v>52</v>
      </c>
      <c r="U147">
        <v>35</v>
      </c>
      <c r="V147">
        <v>15</v>
      </c>
      <c r="W147">
        <v>14</v>
      </c>
      <c r="X147">
        <v>20</v>
      </c>
      <c r="Y147">
        <v>18</v>
      </c>
      <c r="Z147" t="s">
        <v>53</v>
      </c>
      <c r="AA147">
        <v>40</v>
      </c>
      <c r="AB147">
        <v>15</v>
      </c>
      <c r="AC147">
        <v>14</v>
      </c>
      <c r="AD147">
        <v>25</v>
      </c>
      <c r="AE147">
        <v>21</v>
      </c>
      <c r="AF147" t="s">
        <v>54</v>
      </c>
      <c r="AG147">
        <v>60</v>
      </c>
      <c r="AH147">
        <v>22</v>
      </c>
      <c r="AI147">
        <v>22</v>
      </c>
      <c r="AJ147">
        <v>32</v>
      </c>
      <c r="AK147">
        <v>30</v>
      </c>
      <c r="AL147">
        <v>187</v>
      </c>
      <c r="AM147" t="s">
        <v>55</v>
      </c>
      <c r="AN147">
        <v>13</v>
      </c>
      <c r="AO147">
        <v>13</v>
      </c>
      <c r="AP147" t="s">
        <v>862</v>
      </c>
      <c r="AQ147" t="str">
        <f>HYPERLINK("https://icf.clappia.com/app/GMB253374/submission/KTN72961643/ICF247370-GMB253374-2dl0k3efc6ig00000000/SIG-20250626_1353195gb4.jpeg", "SIG-20250626_1353195gb4.jpeg")</f>
        <v>SIG-20250626_1353195gb4.jpeg</v>
      </c>
      <c r="AR147" t="s">
        <v>863</v>
      </c>
      <c r="AS147" t="str">
        <f>HYPERLINK("https://icf.clappia.com/app/GMB253374/submission/KTN72961643/ICF247370-GMB253374-535clknb151200000000/SIG-20250626_1358nhdhj.jpeg", "SIG-20250626_1358nhdhj.jpeg")</f>
        <v>SIG-20250626_1358nhdhj.jpeg</v>
      </c>
      <c r="AT147" t="s">
        <v>864</v>
      </c>
      <c r="AU147" t="str">
        <f>HYPERLINK("https://icf.clappia.com/app/GMB253374/submission/KTN72961643/ICF247370-GMB253374-652loc96p9p200000000/SIG-20250626_13581242f.jpeg", "SIG-20250626_13581242f.jpeg")</f>
        <v>SIG-20250626_13581242f.jpeg</v>
      </c>
      <c r="AV147" t="str">
        <f>HYPERLINK("https://www.google.com/maps/place/8.8673336%2C-12.0502285", "8.8673336,-12.0502285")</f>
        <v>8.8673336,-12.0502285</v>
      </c>
    </row>
    <row r="148">
      <c r="A148" t="s">
        <v>865</v>
      </c>
      <c r="B148" t="s">
        <v>46</v>
      </c>
      <c r="C148" t="s">
        <v>866</v>
      </c>
      <c r="D148" t="s">
        <v>866</v>
      </c>
      <c r="E148" t="s">
        <v>867</v>
      </c>
      <c r="F148" t="s">
        <v>64</v>
      </c>
      <c r="G148">
        <v>200</v>
      </c>
      <c r="H148" t="s">
        <v>50</v>
      </c>
      <c r="I148">
        <v>20</v>
      </c>
      <c r="J148">
        <v>10</v>
      </c>
      <c r="K148">
        <v>10</v>
      </c>
      <c r="L148">
        <v>10</v>
      </c>
      <c r="M148">
        <v>8</v>
      </c>
      <c r="N148" t="s">
        <v>51</v>
      </c>
      <c r="O148">
        <v>25</v>
      </c>
      <c r="P148">
        <v>15</v>
      </c>
      <c r="Q148">
        <v>15</v>
      </c>
      <c r="R148">
        <v>10</v>
      </c>
      <c r="S148">
        <v>10</v>
      </c>
      <c r="T148" t="s">
        <v>52</v>
      </c>
      <c r="U148">
        <v>35</v>
      </c>
      <c r="V148">
        <v>15</v>
      </c>
      <c r="W148">
        <v>10</v>
      </c>
      <c r="X148">
        <v>20</v>
      </c>
      <c r="Y148">
        <v>17</v>
      </c>
      <c r="Z148" t="s">
        <v>53</v>
      </c>
      <c r="AA148">
        <v>40</v>
      </c>
      <c r="AB148">
        <v>15</v>
      </c>
      <c r="AC148">
        <v>14</v>
      </c>
      <c r="AD148">
        <v>25</v>
      </c>
      <c r="AE148">
        <v>21</v>
      </c>
      <c r="AF148" t="s">
        <v>54</v>
      </c>
      <c r="AG148">
        <v>60</v>
      </c>
      <c r="AH148">
        <v>28</v>
      </c>
      <c r="AI148">
        <v>28</v>
      </c>
      <c r="AJ148">
        <v>32</v>
      </c>
      <c r="AK148">
        <v>30</v>
      </c>
      <c r="AL148">
        <v>163</v>
      </c>
      <c r="AM148" t="s">
        <v>55</v>
      </c>
      <c r="AN148">
        <v>37</v>
      </c>
      <c r="AO148">
        <v>37</v>
      </c>
      <c r="AP148" t="s">
        <v>551</v>
      </c>
      <c r="AQ148" t="str">
        <f>HYPERLINK("https://icf.clappia.com/app/GMB253374/submission/AQQ01993895/ICF247370-GMB253374-3mhoj9b994f400000000/SIG-20250626_135571jjf.jpeg", "SIG-20250626_135571jjf.jpeg")</f>
        <v>SIG-20250626_135571jjf.jpeg</v>
      </c>
      <c r="AR148" t="s">
        <v>868</v>
      </c>
      <c r="AS148" t="str">
        <f>HYPERLINK("https://icf.clappia.com/app/GMB253374/submission/AQQ01993895/ICF247370-GMB253374-4kbbfd93mggi0000000/SIG-20250626_1355109gok.jpeg", "SIG-20250626_1355109gok.jpeg")</f>
        <v>SIG-20250626_1355109gok.jpeg</v>
      </c>
      <c r="AT148" t="s">
        <v>869</v>
      </c>
      <c r="AU148" t="str">
        <f>HYPERLINK("https://icf.clappia.com/app/GMB253374/submission/AQQ01993895/ICF247370-GMB253374-1380lcce61gn20000000/SIG-20250626_135613lej0.jpeg", "SIG-20250626_135613lej0.jpeg")</f>
        <v>SIG-20250626_135613lej0.jpeg</v>
      </c>
      <c r="AV148" t="str">
        <f>HYPERLINK("https://www.google.com/maps/place/8.8673336%2C-12.0502285", "8.8673336,-12.0502285")</f>
        <v>8.8673336,-12.0502285</v>
      </c>
    </row>
    <row r="149">
      <c r="A149" t="s">
        <v>870</v>
      </c>
      <c r="B149" t="s">
        <v>46</v>
      </c>
      <c r="C149" t="s">
        <v>866</v>
      </c>
      <c r="D149" t="s">
        <v>866</v>
      </c>
      <c r="E149" t="s">
        <v>871</v>
      </c>
      <c r="F149" t="s">
        <v>64</v>
      </c>
      <c r="G149">
        <v>200</v>
      </c>
      <c r="H149" t="s">
        <v>50</v>
      </c>
      <c r="I149">
        <v>20</v>
      </c>
      <c r="J149">
        <v>10</v>
      </c>
      <c r="K149">
        <v>10</v>
      </c>
      <c r="L149">
        <v>10</v>
      </c>
      <c r="M149">
        <v>8</v>
      </c>
      <c r="N149" t="s">
        <v>51</v>
      </c>
      <c r="O149">
        <v>25</v>
      </c>
      <c r="P149">
        <v>15</v>
      </c>
      <c r="Q149">
        <v>15</v>
      </c>
      <c r="R149">
        <v>10</v>
      </c>
      <c r="S149">
        <v>10</v>
      </c>
      <c r="T149" t="s">
        <v>52</v>
      </c>
      <c r="U149">
        <v>35</v>
      </c>
      <c r="V149">
        <v>15</v>
      </c>
      <c r="W149">
        <v>10</v>
      </c>
      <c r="X149">
        <v>20</v>
      </c>
      <c r="Y149">
        <v>17</v>
      </c>
      <c r="Z149" t="s">
        <v>53</v>
      </c>
      <c r="AA149">
        <v>40</v>
      </c>
      <c r="AB149">
        <v>15</v>
      </c>
      <c r="AC149">
        <v>14</v>
      </c>
      <c r="AD149">
        <v>25</v>
      </c>
      <c r="AE149">
        <v>21</v>
      </c>
      <c r="AF149" t="s">
        <v>54</v>
      </c>
      <c r="AG149">
        <v>60</v>
      </c>
      <c r="AH149">
        <v>28</v>
      </c>
      <c r="AI149">
        <v>28</v>
      </c>
      <c r="AJ149">
        <v>32</v>
      </c>
      <c r="AK149">
        <v>30</v>
      </c>
      <c r="AL149">
        <v>163</v>
      </c>
      <c r="AM149" t="s">
        <v>55</v>
      </c>
      <c r="AN149">
        <v>37</v>
      </c>
      <c r="AO149">
        <v>37</v>
      </c>
      <c r="AP149" t="s">
        <v>872</v>
      </c>
      <c r="AQ149" t="str">
        <f>HYPERLINK("https://icf.clappia.com/app/GMB253374/submission/SDG39940785/ICF247370-GMB253374-136m17k757ljm0000000/SIG-20250626_1354c2kj6.jpeg", "SIG-20250626_1354c2kj6.jpeg")</f>
        <v>SIG-20250626_1354c2kj6.jpeg</v>
      </c>
      <c r="AR149" t="s">
        <v>873</v>
      </c>
      <c r="AS149" t="str">
        <f>HYPERLINK("https://icf.clappia.com/app/GMB253374/submission/SDG39940785/ICF247370-GMB253374-2f7pjjhp4f6e00000000/SIG-20250626_13542ciip.jpeg", "SIG-20250626_13542ciip.jpeg")</f>
        <v>SIG-20250626_13542ciip.jpeg</v>
      </c>
      <c r="AT149" t="s">
        <v>874</v>
      </c>
      <c r="AU149" t="str">
        <f>HYPERLINK("https://icf.clappia.com/app/GMB253374/submission/SDG39940785/ICF247370-GMB253374-65c6ei2j5a7e00000000/SIG-20250626_1358173aof.jpeg", "SIG-20250626_1358173aof.jpeg")</f>
        <v>SIG-20250626_1358173aof.jpeg</v>
      </c>
      <c r="AV149" t="str">
        <f>HYPERLINK("https://www.google.com/maps/place/8.8875806%2C-12.042439", "8.8875806,-12.042439")</f>
        <v>8.8875806,-12.042439</v>
      </c>
    </row>
  </sheetData>
  <ignoredErrors>
    <ignoredError sqref="A1:AV149" numberStoredAsText="1"/>
  </ignoredErrors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2025-06-30T12:55:52Z</dcterms:modified>
</cp:coreProperties>
</file>