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1'!$A$1:$AY$1174</definedName>
  </definedNames>
  <calcPr/>
</workbook>
</file>

<file path=xl/sharedStrings.xml><?xml version="1.0" encoding="utf-8"?>
<sst xmlns="http://schemas.openxmlformats.org/spreadsheetml/2006/main" count="18051" uniqueCount="5660">
  <si>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</si>
  <si>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</si>
  <si>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</si>
  <si>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</si>
  <si>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</si>
  <si>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</si>
  <si>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</si>
  <si>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</si>
  <si>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</si>
  <si>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</si>
  <si>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</si>
  <si>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</si>
  <si>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</si>
  <si>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</si>
  <si>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</si>
  <si>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</si>
  <si>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</si>
  <si>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</si>
  <si>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</si>
  <si>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</si>
  <si>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</si>
  <si>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</si>
  <si>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</si>
  <si>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</si>
  <si>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</si>
  <si>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</si>
  <si>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</si>
  <si>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</si>
  <si>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</si>
  <si>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</si>
  <si>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</si>
  <si>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</si>
  <si>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</si>
  <si>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</si>
  <si>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enrolment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</si>
  <si>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</si>
  <si>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</si>
  <si>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</si>
  <si>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</si>
  <si>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</si>
  <si>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</si>
  <si>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</si>
  <si>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</si>
  <si>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</si>
  <si>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</si>
  <si>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</si>
  <si>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</si>
  <si>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ICF-SL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</si>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</sst>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/><Relationship Id="rId2" Type="http://schemas.openxmlformats.org/officeDocument/2006/relationships/hyperlink" Target="https://www.google.com/maps/place/8.8094711%2C-10.90488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3" max="3" width="24.44"/>
    <col customWidth="1" min="4" max="4" width="16.67"/>
    <col customWidth="1" min="5" max="5" width="38.33"/>
    <col customWidth="1" min="7" max="7" width="38.44"/>
    <col customWidth="1" min="9" max="9" width="33.11"/>
    <col customWidth="1" min="10" max="10" width="25.67"/>
    <col customWidth="1" min="11" max="11" width="33.11"/>
    <col customWidth="1" min="12" max="12" width="25.22"/>
    <col customWidth="1" min="13" max="13" width="32.78"/>
    <col customWidth="1" min="15" max="15" width="33.11"/>
    <col customWidth="1" min="17" max="17" width="33.11"/>
    <col customWidth="1" min="18" max="18" width="25.22"/>
    <col customWidth="1" min="19" max="19" width="32.78"/>
    <col customWidth="1" min="21" max="21" width="33.11"/>
    <col customWidth="1" min="27" max="27" width="33.11"/>
    <col customWidth="1" min="29" max="29" width="33.11"/>
    <col customWidth="1" min="31" max="31" width="32.78"/>
    <col customWidth="1" min="33" max="33" width="33.11"/>
    <col customWidth="1" min="35" max="35" width="33.11"/>
    <col customWidth="1" min="36" max="36" width="25.22"/>
    <col customWidth="1" min="37" max="37" width="32.78"/>
    <col customWidth="1" min="38" max="38" width="22.44"/>
    <col customWidth="1" min="39" max="39" width="28.44"/>
    <col customWidth="1" min="40" max="41" width="22.44"/>
    <col customWidth="1" min="42" max="42" width="45.78"/>
    <col customWidth="1" min="43" max="43" width="23.56"/>
    <col customWidth="1" min="44" max="44" width="19.89"/>
    <col customWidth="1" min="51" max="51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1" t="s">
        <v>6</v>
      </c>
      <c r="AN1" s="1" t="s">
        <v>6</v>
      </c>
      <c r="AO1" s="1" t="s">
        <v>35</v>
      </c>
      <c r="AP1" s="2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</row>
    <row r="2">
      <c r="A2" s="1" t="s">
        <v>46</v>
      </c>
      <c r="B2" s="2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56.0</v>
      </c>
      <c r="H2" s="1" t="s">
        <v>52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53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54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56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57</v>
      </c>
      <c r="AG2" s="2">
        <v>7.0</v>
      </c>
      <c r="AH2" s="1">
        <v>5.0</v>
      </c>
      <c r="AI2" s="1">
        <v>5.0</v>
      </c>
      <c r="AJ2" s="1">
        <v>2.0</v>
      </c>
      <c r="AK2" s="1">
        <v>2.0</v>
      </c>
      <c r="AL2" s="1">
        <f t="shared" ref="AL2:AL1174" si="1">I2+O2+U2+AA2+AG2</f>
        <v>70</v>
      </c>
      <c r="AM2" s="1">
        <v>56.0</v>
      </c>
      <c r="AN2" s="1">
        <v>68.0</v>
      </c>
      <c r="AO2" s="1">
        <v>39.0</v>
      </c>
      <c r="AP2" s="2">
        <v>11.0</v>
      </c>
      <c r="AQ2" s="1">
        <v>17.0</v>
      </c>
      <c r="AR2" s="1">
        <v>17.0</v>
      </c>
      <c r="AS2" s="1" t="s">
        <v>58</v>
      </c>
      <c r="AT2" s="3" t="str">
        <f>HYPERLINK("https://icf.clappia.com/app/GMB253374/submission/VVE30677067/ICF247370-GMB253374-63lddflg38go00000000/SIG-20250630_1228jbll7.jpeg", "SIG-20250630_1228jbll7.jpeg")</f>
        <v>SIG-20250630_1228jbll7.jpeg</v>
      </c>
      <c r="AU2" s="1" t="s">
        <v>59</v>
      </c>
      <c r="AV2" s="3" t="str">
        <f>HYPERLINK("https://icf.clappia.com/app/GMB253374/submission/VVE30677067/ICF247370-GMB253374-451j847g490o00000000/SIG-20250630_1714c4kga.jpeg", "SIG-20250630_1714c4kga.jpeg")</f>
        <v>SIG-20250630_1714c4kga.jpeg</v>
      </c>
      <c r="AW2" s="1" t="s">
        <v>60</v>
      </c>
      <c r="AX2" s="3" t="str">
        <f>HYPERLINK("https://icf.clappia.com/app/GMB253374/submission/VVE30677067/ICF247370-GMB253374-597n7me1mc3600000000/SIG-20250630_1714iehn9.jpeg", "SIG-20250630_1714iehn9.jpeg")</f>
        <v>SIG-20250630_1714iehn9.jpeg</v>
      </c>
      <c r="AY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2" t="s">
        <v>47</v>
      </c>
      <c r="C3" s="1" t="s">
        <v>62</v>
      </c>
      <c r="D3" s="1" t="s">
        <v>63</v>
      </c>
      <c r="E3" s="1" t="s">
        <v>64</v>
      </c>
      <c r="F3" s="1" t="s">
        <v>51</v>
      </c>
      <c r="G3" s="1">
        <v>227.0</v>
      </c>
      <c r="H3" s="1" t="s">
        <v>52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53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54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56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57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f t="shared" si="1"/>
        <v>227</v>
      </c>
      <c r="AM3" s="1">
        <v>227.0</v>
      </c>
      <c r="AN3" s="1">
        <v>239.0</v>
      </c>
      <c r="AO3" s="1">
        <v>216.0</v>
      </c>
      <c r="AP3" s="2">
        <v>11.0</v>
      </c>
      <c r="AQ3" s="1">
        <v>11.0</v>
      </c>
      <c r="AR3" s="1">
        <v>11.0</v>
      </c>
      <c r="AS3" s="1" t="s">
        <v>65</v>
      </c>
      <c r="AT3" s="3" t="str">
        <f>HYPERLINK("https://icf.clappia.com/app/GMB253374/submission/HGK43823730/ICF247370-GMB253374-2fpo221m219g00000000/SIG-20250702_10414h6ko.jpeg", "SIG-20250702_10414h6ko.jpeg")</f>
        <v>SIG-20250702_10414h6ko.jpeg</v>
      </c>
      <c r="AU3" s="1" t="s">
        <v>66</v>
      </c>
      <c r="AV3" s="3" t="str">
        <f>HYPERLINK("https://icf.clappia.com/app/GMB253374/submission/HGK43823730/ICF247370-GMB253374-24a1jhc4af6k80000000/SIG-20250702_170040e9d.jpeg", "SIG-20250702_170040e9d.jpeg")</f>
        <v>SIG-20250702_170040e9d.jpeg</v>
      </c>
      <c r="AW3" s="1" t="s">
        <v>67</v>
      </c>
      <c r="AX3" s="3" t="str">
        <f>HYPERLINK("https://icf.clappia.com/app/GMB253374/submission/HGK43823730/ICF247370-GMB253374-15aaac0e4h1e80000000/SIG-20250702_1042h1kee.jpeg", "SIG-20250702_1042h1kee.jpeg")</f>
        <v>SIG-20250702_1042h1kee.jpeg</v>
      </c>
      <c r="AY3" s="3" t="str">
        <f>HYPERLINK("https://www.google.com/maps/place/8.1421983%2C-11.429455", "8.1421983,-11.429455")</f>
        <v>8.1421983,-11.429455</v>
      </c>
    </row>
    <row r="4">
      <c r="A4" s="1" t="s">
        <v>68</v>
      </c>
      <c r="B4" s="2" t="s">
        <v>47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52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53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54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56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57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>
        <f t="shared" si="1"/>
        <v>131</v>
      </c>
      <c r="AM4" s="1">
        <v>50.0</v>
      </c>
      <c r="AN4" s="1">
        <v>62.0</v>
      </c>
      <c r="AO4" s="1">
        <v>47.0</v>
      </c>
      <c r="AP4" s="2">
        <v>11.0</v>
      </c>
      <c r="AQ4" s="1">
        <v>3.0</v>
      </c>
      <c r="AR4" s="1">
        <v>3.0</v>
      </c>
      <c r="AS4" s="1" t="s">
        <v>73</v>
      </c>
      <c r="AT4" s="3" t="str">
        <f>HYPERLINK("https://icf.clappia.com/app/GMB253374/submission/AJM25821614/ICF247370-GMB253374-6834oeo71cg000000000/SIG-20250701_1500140e6b.jpeg", "SIG-20250701_1500140e6b.jpeg")</f>
        <v>SIG-20250701_1500140e6b.jpeg</v>
      </c>
      <c r="AU4" s="1" t="s">
        <v>74</v>
      </c>
      <c r="AV4" s="3" t="str">
        <f>HYPERLINK("https://icf.clappia.com/app/GMB253374/submission/AJM25821614/ICF247370-GMB253374-3koi82km893g00000000/SIG-20250701_150117hc7g.jpeg", "SIG-20250701_150117hc7g.jpeg")</f>
        <v>SIG-20250701_150117hc7g.jpeg</v>
      </c>
      <c r="AW4" s="1" t="s">
        <v>75</v>
      </c>
      <c r="AX4" s="3" t="str">
        <f>HYPERLINK("https://icf.clappia.com/app/GMB253374/submission/AJM25821614/ICF247370-GMB253374-2nn6b9919hp800000000/SIG-20250701_1502eo23p.jpeg", "SIG-20250701_1502eo23p.jpeg")</f>
        <v>SIG-20250701_1502eo23p.jpeg</v>
      </c>
      <c r="AY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2" t="s">
        <v>47</v>
      </c>
      <c r="C5" s="1" t="s">
        <v>77</v>
      </c>
      <c r="D5" s="1" t="s">
        <v>78</v>
      </c>
      <c r="E5" s="1" t="s">
        <v>79</v>
      </c>
      <c r="F5" s="1" t="s">
        <v>51</v>
      </c>
      <c r="G5" s="1">
        <v>300.0</v>
      </c>
      <c r="H5" s="1" t="s">
        <v>52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53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54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56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57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f t="shared" si="1"/>
        <v>261</v>
      </c>
      <c r="AM5" s="1">
        <v>300.0</v>
      </c>
      <c r="AN5" s="1">
        <v>312.0</v>
      </c>
      <c r="AO5" s="1">
        <v>258.0</v>
      </c>
      <c r="AP5" s="2">
        <v>11.0</v>
      </c>
      <c r="AQ5" s="1">
        <v>42.0</v>
      </c>
      <c r="AR5" s="1">
        <v>42.0</v>
      </c>
      <c r="AS5" s="1" t="s">
        <v>80</v>
      </c>
      <c r="AT5" s="3" t="str">
        <f>HYPERLINK("https://icf.clappia.com/app/GMB253374/submission/PBF50855687/ICF247370-GMB253374-2l89jgf3hbpa00000000/SIG-20250704_2247jg0ge.jpeg", "SIG-20250704_2247jg0ge.jpeg")</f>
        <v>SIG-20250704_2247jg0ge.jpeg</v>
      </c>
      <c r="AU5" s="1" t="s">
        <v>81</v>
      </c>
      <c r="AV5" s="3" t="str">
        <f>HYPERLINK("https://icf.clappia.com/app/GMB253374/submission/PBF50855687/ICF247370-GMB253374-bakmjn01p01e0000000/SIG-20250704_2137pjao4.jpeg", "SIG-20250704_2137pjao4.jpeg")</f>
        <v>SIG-20250704_2137pjao4.jpeg</v>
      </c>
      <c r="AW5" s="1" t="s">
        <v>82</v>
      </c>
      <c r="AX5" s="3" t="str">
        <f>HYPERLINK("https://icf.clappia.com/app/GMB253374/submission/PBF50855687/ICF247370-GMB253374-5kmgd8n40cik0000000/SIG-20250704_2247o12h5.jpeg", "SIG-20250704_2247o12h5.jpeg")</f>
        <v>SIG-20250704_2247o12h5.jpeg</v>
      </c>
      <c r="AY5" s="3" t="str">
        <f>HYPERLINK("https://www.google.com/maps/place/8.2803317%2C-11.61934", "8.2803317,-11.61934")</f>
        <v>8.2803317,-11.61934</v>
      </c>
    </row>
    <row r="6">
      <c r="A6" s="1" t="s">
        <v>83</v>
      </c>
      <c r="B6" s="2" t="s">
        <v>47</v>
      </c>
      <c r="C6" s="1" t="s">
        <v>84</v>
      </c>
      <c r="D6" s="1" t="s">
        <v>85</v>
      </c>
      <c r="E6" s="1" t="s">
        <v>86</v>
      </c>
      <c r="F6" s="1" t="s">
        <v>51</v>
      </c>
      <c r="G6" s="1">
        <v>150.0</v>
      </c>
      <c r="H6" s="1" t="s">
        <v>52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53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54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56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57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f t="shared" si="1"/>
        <v>150</v>
      </c>
      <c r="AM6" s="1">
        <v>150.0</v>
      </c>
      <c r="AN6" s="1">
        <v>162.0</v>
      </c>
      <c r="AO6" s="1">
        <v>145.0</v>
      </c>
      <c r="AP6" s="2">
        <v>11.0</v>
      </c>
      <c r="AQ6" s="1">
        <v>5.0</v>
      </c>
      <c r="AR6" s="1">
        <v>5.0</v>
      </c>
      <c r="AS6" s="1" t="s">
        <v>87</v>
      </c>
      <c r="AT6" s="3" t="str">
        <f>HYPERLINK("https://icf.clappia.com/app/GMB253374/submission/BUF40814071/ICF247370-GMB253374-54eekb99cl1e00000000/SIG-20250703_14195m8c7.jpeg", "SIG-20250703_14195m8c7.jpeg")</f>
        <v>SIG-20250703_14195m8c7.jpeg</v>
      </c>
      <c r="AU6" s="1" t="s">
        <v>88</v>
      </c>
      <c r="AV6" s="3" t="str">
        <f>HYPERLINK("https://icf.clappia.com/app/GMB253374/submission/BUF40814071/ICF247370-GMB253374-49bn754o3k0a0000000/SIG-20250703_14203ine6.jpeg", "SIG-20250703_14203ine6.jpeg")</f>
        <v>SIG-20250703_14203ine6.jpeg</v>
      </c>
      <c r="AW6" s="1" t="s">
        <v>82</v>
      </c>
      <c r="AX6" s="3" t="str">
        <f>HYPERLINK("https://icf.clappia.com/app/GMB253374/submission/BUF40814071/ICF247370-GMB253374-2mc16mipd9mc00000000/SIG-20250703_142118bnbn.jpeg", "SIG-20250703_142118bnbn.jpeg")</f>
        <v>SIG-20250703_142118bnbn.jpeg</v>
      </c>
      <c r="AY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2" t="s">
        <v>47</v>
      </c>
      <c r="C7" s="1" t="s">
        <v>90</v>
      </c>
      <c r="D7" s="1" t="s">
        <v>91</v>
      </c>
      <c r="E7" s="1" t="s">
        <v>92</v>
      </c>
      <c r="F7" s="1" t="s">
        <v>51</v>
      </c>
      <c r="G7" s="1">
        <v>145.0</v>
      </c>
      <c r="H7" s="1" t="s">
        <v>52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53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54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56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57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f t="shared" si="1"/>
        <v>145</v>
      </c>
      <c r="AM7" s="1">
        <v>145.0</v>
      </c>
      <c r="AN7" s="1">
        <v>157.0</v>
      </c>
      <c r="AO7" s="1">
        <v>142.0</v>
      </c>
      <c r="AP7" s="2">
        <v>11.0</v>
      </c>
      <c r="AQ7" s="1">
        <v>3.0</v>
      </c>
      <c r="AR7" s="1">
        <v>3.0</v>
      </c>
      <c r="AS7" s="1" t="s">
        <v>93</v>
      </c>
      <c r="AT7" s="3" t="str">
        <f>HYPERLINK("https://icf.clappia.com/app/GMB253374/submission/WSM26776843/ICF247370-GMB253374-32c5icee4bm000000000/SIG-20250704_140015pmk2.jpeg", "SIG-20250704_140015pmk2.jpeg")</f>
        <v>SIG-20250704_140015pmk2.jpeg</v>
      </c>
      <c r="AU7" s="1" t="s">
        <v>94</v>
      </c>
      <c r="AV7" s="3" t="str">
        <f>HYPERLINK("https://icf.clappia.com/app/GMB253374/submission/WSM26776843/ICF247370-GMB253374-1349342h4cblo0000000/SIG-20250704_14011a6chm.jpeg", "SIG-20250704_14011a6chm.jpeg")</f>
        <v>SIG-20250704_14011a6chm.jpeg</v>
      </c>
      <c r="AW7" s="1" t="s">
        <v>95</v>
      </c>
      <c r="AX7" s="3" t="str">
        <f>HYPERLINK("https://icf.clappia.com/app/GMB253374/submission/WSM26776843/ICF247370-GMB253374-4kn3bg88nm0200000000/SIG-20250704_14011824b5.jpeg", "SIG-20250704_14011824b5.jpeg")</f>
        <v>SIG-20250704_14011824b5.jpeg</v>
      </c>
      <c r="AY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2" t="s">
        <v>47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52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53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54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56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57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f t="shared" si="1"/>
        <v>70</v>
      </c>
      <c r="AM8" s="1">
        <v>100.0</v>
      </c>
      <c r="AN8" s="1">
        <v>112.0</v>
      </c>
      <c r="AO8" s="1">
        <v>56.0</v>
      </c>
      <c r="AP8" s="2">
        <v>11.0</v>
      </c>
      <c r="AQ8" s="1">
        <v>44.0</v>
      </c>
      <c r="AR8" s="1">
        <v>44.0</v>
      </c>
      <c r="AS8" s="1" t="s">
        <v>100</v>
      </c>
      <c r="AT8" s="3" t="str">
        <f>HYPERLINK("https://icf.clappia.com/app/GMB253374/submission/GMW29667831/ICF247370-GMB253374-kmem8l2pdiog0000000/SIG-20250704_1349m3537.jpeg", "SIG-20250704_1349m3537.jpeg")</f>
        <v>SIG-20250704_1349m3537.jpeg</v>
      </c>
      <c r="AU8" s="1" t="s">
        <v>101</v>
      </c>
      <c r="AV8" s="3" t="str">
        <f>HYPERLINK("https://icf.clappia.com/app/GMB253374/submission/GMW29667831/ICF247370-GMB253374-4m9oofdeajhk00000000/SIG-20250704_1349a3300.jpeg", "SIG-20250704_1349a3300.jpeg")</f>
        <v>SIG-20250704_1349a3300.jpeg</v>
      </c>
      <c r="AW8" s="1" t="s">
        <v>102</v>
      </c>
      <c r="AX8" s="3" t="str">
        <f>HYPERLINK("https://icf.clappia.com/app/GMB253374/submission/GMW29667831/ICF247370-GMB253374-1933745p1gkgg000000/SIG-20250704_1350pccd7.jpeg", "SIG-20250704_1350pccd7.jpeg")</f>
        <v>SIG-20250704_1350pccd7.jpeg</v>
      </c>
      <c r="AY8" s="3" t="str">
        <f>HYPERLINK("https://www.google.com/maps/place/7.940394%2C-11.7493596", "7.940394,-11.7493596")</f>
        <v>7.940394,-11.7493596</v>
      </c>
    </row>
    <row r="9">
      <c r="A9" s="1" t="s">
        <v>103</v>
      </c>
      <c r="B9" s="2" t="s">
        <v>47</v>
      </c>
      <c r="C9" s="1" t="s">
        <v>104</v>
      </c>
      <c r="D9" s="1" t="s">
        <v>98</v>
      </c>
      <c r="E9" s="1" t="s">
        <v>105</v>
      </c>
      <c r="F9" s="1" t="s">
        <v>51</v>
      </c>
      <c r="G9" s="1">
        <v>300.0</v>
      </c>
      <c r="H9" s="1" t="s">
        <v>52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53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54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56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57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f t="shared" si="1"/>
        <v>252</v>
      </c>
      <c r="AM9" s="1">
        <v>300.0</v>
      </c>
      <c r="AN9" s="1">
        <v>312.0</v>
      </c>
      <c r="AO9" s="1">
        <v>242.0</v>
      </c>
      <c r="AP9" s="2">
        <v>11.0</v>
      </c>
      <c r="AQ9" s="1">
        <v>58.0</v>
      </c>
      <c r="AR9" s="1">
        <v>58.0</v>
      </c>
      <c r="AS9" s="1" t="s">
        <v>100</v>
      </c>
      <c r="AT9" s="3" t="str">
        <f>HYPERLINK("https://icf.clappia.com/app/GMB253374/submission/MFQ62333194/ICF247370-GMB253374-1hdfj8ddbboei0000000/SIG-20250703_142471g2c.jpeg", "SIG-20250703_142471g2c.jpeg")</f>
        <v>SIG-20250703_142471g2c.jpeg</v>
      </c>
      <c r="AU9" s="1" t="s">
        <v>102</v>
      </c>
      <c r="AV9" s="3" t="str">
        <f>HYPERLINK("https://icf.clappia.com/app/GMB253374/submission/MFQ62333194/ICF247370-GMB253374-b8k442jgg6go0000000/SIG-20250703_14255gllp.jpeg", "SIG-20250703_14255gllp.jpeg")</f>
        <v>SIG-20250703_14255gllp.jpeg</v>
      </c>
      <c r="AW9" s="1" t="s">
        <v>101</v>
      </c>
      <c r="AX9" s="3" t="str">
        <f>HYPERLINK("https://icf.clappia.com/app/GMB253374/submission/MFQ62333194/ICF247370-GMB253374-56n3510p25g000000000/SIG-20250703_1425icf73.jpeg", "SIG-20250703_1425icf73.jpeg")</f>
        <v>SIG-20250703_1425icf73.jpeg</v>
      </c>
      <c r="AY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2" t="s">
        <v>47</v>
      </c>
      <c r="C10" s="1" t="s">
        <v>107</v>
      </c>
      <c r="D10" s="1" t="s">
        <v>98</v>
      </c>
      <c r="E10" s="1" t="s">
        <v>108</v>
      </c>
      <c r="F10" s="1" t="s">
        <v>51</v>
      </c>
      <c r="G10" s="1">
        <v>116.0</v>
      </c>
      <c r="H10" s="1" t="s">
        <v>52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53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54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56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57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f t="shared" si="1"/>
        <v>116</v>
      </c>
      <c r="AM10" s="1">
        <v>116.0</v>
      </c>
      <c r="AN10" s="1">
        <v>128.0</v>
      </c>
      <c r="AO10" s="1">
        <v>107.0</v>
      </c>
      <c r="AP10" s="2">
        <v>11.0</v>
      </c>
      <c r="AQ10" s="1">
        <v>9.0</v>
      </c>
      <c r="AR10" s="1">
        <v>9.0</v>
      </c>
      <c r="AS10" s="1" t="s">
        <v>100</v>
      </c>
      <c r="AT10" s="3" t="str">
        <f>HYPERLINK("https://icf.clappia.com/app/GMB253374/submission/SON26248284/ICF247370-GMB253374-28plkdmfd9a9m0000000/SIG-20250703_1332deh1e.jpeg", "SIG-20250703_1332deh1e.jpeg")</f>
        <v>SIG-20250703_1332deh1e.jpeg</v>
      </c>
      <c r="AU10" s="1" t="s">
        <v>101</v>
      </c>
      <c r="AV10" s="3" t="str">
        <f>HYPERLINK("https://icf.clappia.com/app/GMB253374/submission/SON26248284/ICF247370-GMB253374-1hobnae16mbb60000000/SIG-20250703_133318k5bl.jpeg", "SIG-20250703_133318k5bl.jpeg")</f>
        <v>SIG-20250703_133318k5bl.jpeg</v>
      </c>
      <c r="AW10" s="1" t="s">
        <v>102</v>
      </c>
      <c r="AX10" s="3" t="str">
        <f>HYPERLINK("https://icf.clappia.com/app/GMB253374/submission/SON26248284/ICF247370-GMB253374-51c2nh00g72800000000/SIG-20250703_1355dighm.jpeg", "SIG-20250703_1355dighm.jpeg")</f>
        <v>SIG-20250703_1355dighm.jpeg</v>
      </c>
      <c r="AY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2" t="s">
        <v>47</v>
      </c>
      <c r="C11" s="1" t="s">
        <v>110</v>
      </c>
      <c r="D11" s="1" t="s">
        <v>111</v>
      </c>
      <c r="E11" s="1" t="s">
        <v>112</v>
      </c>
      <c r="F11" s="1" t="s">
        <v>51</v>
      </c>
      <c r="G11" s="1">
        <v>150.0</v>
      </c>
      <c r="H11" s="1" t="s">
        <v>52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53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54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56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57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f t="shared" si="1"/>
        <v>127</v>
      </c>
      <c r="AM11" s="1">
        <v>150.0</v>
      </c>
      <c r="AN11" s="1">
        <v>162.0</v>
      </c>
      <c r="AO11" s="1">
        <v>127.0</v>
      </c>
      <c r="AP11" s="2">
        <v>11.0</v>
      </c>
      <c r="AQ11" s="1">
        <v>23.0</v>
      </c>
      <c r="AR11" s="1">
        <v>23.0</v>
      </c>
      <c r="AS11" s="1" t="s">
        <v>113</v>
      </c>
      <c r="AT11" s="3" t="str">
        <f>HYPERLINK("https://icf.clappia.com/app/GMB253374/submission/UFE37073851/ICF247370-GMB253374-45lgc0hklkk800000000/SIG-20250702_1201cl137.jpeg", "SIG-20250702_1201cl137.jpeg")</f>
        <v>SIG-20250702_1201cl137.jpeg</v>
      </c>
      <c r="AU11" s="1" t="s">
        <v>114</v>
      </c>
      <c r="AV11" s="3" t="str">
        <f>HYPERLINK("https://icf.clappia.com/app/GMB253374/submission/UFE37073851/ICF247370-GMB253374-1013bk6dj784g0000000/SIG-20250702_120225o92.jpeg", "SIG-20250702_120225o92.jpeg")</f>
        <v>SIG-20250702_120225o92.jpeg</v>
      </c>
      <c r="AW11" s="1" t="s">
        <v>115</v>
      </c>
      <c r="AX11" s="3" t="str">
        <f>HYPERLINK("https://icf.clappia.com/app/GMB253374/submission/UFE37073851/ICF247370-GMB253374-6lb9jb8hije20000000/SIG-20250702_1203fdmhl.jpeg", "SIG-20250702_1203fdmhl.jpeg")</f>
        <v>SIG-20250702_1203fdmhl.jpeg</v>
      </c>
      <c r="AY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2" t="s">
        <v>47</v>
      </c>
      <c r="C12" s="1" t="s">
        <v>117</v>
      </c>
      <c r="D12" s="1" t="s">
        <v>111</v>
      </c>
      <c r="E12" s="1" t="s">
        <v>118</v>
      </c>
      <c r="F12" s="1" t="s">
        <v>51</v>
      </c>
      <c r="G12" s="1">
        <v>221.0</v>
      </c>
      <c r="H12" s="1" t="s">
        <v>52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53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54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56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57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f t="shared" si="1"/>
        <v>221</v>
      </c>
      <c r="AM12" s="1">
        <v>221.0</v>
      </c>
      <c r="AN12" s="1">
        <v>233.0</v>
      </c>
      <c r="AO12" s="1">
        <v>216.0</v>
      </c>
      <c r="AP12" s="2">
        <v>11.0</v>
      </c>
      <c r="AQ12" s="1">
        <v>5.0</v>
      </c>
      <c r="AR12" s="1">
        <v>5.0</v>
      </c>
      <c r="AS12" s="1" t="s">
        <v>119</v>
      </c>
      <c r="AT12" s="3" t="str">
        <f>HYPERLINK("https://icf.clappia.com/app/GMB253374/submission/AJD68218634/ICF247370-GMB253374-4kk0lad2m0ee00000000/SIG-20250630_1256nc062.jpeg", "SIG-20250630_1256nc062.jpeg")</f>
        <v>SIG-20250630_1256nc062.jpeg</v>
      </c>
      <c r="AU12" s="1" t="s">
        <v>120</v>
      </c>
      <c r="AV12" s="3" t="str">
        <f>HYPERLINK("https://icf.clappia.com/app/GMB253374/submission/AJD68218634/ICF247370-GMB253374-2jcla3dc869200000000/SIG-20250630_1256njke0.jpeg", "SIG-20250630_1256njke0.jpeg")</f>
        <v>SIG-20250630_1256njke0.jpeg</v>
      </c>
      <c r="AW12" s="1" t="s">
        <v>115</v>
      </c>
      <c r="AX12" s="3" t="str">
        <f>HYPERLINK("https://icf.clappia.com/app/GMB253374/submission/AJD68218634/ICF247370-GMB253374-5kol7bgk6hk800000000/SIG-20250701_13221agd17.jpeg", "SIG-20250701_13221agd17.jpeg")</f>
        <v>SIG-20250701_13221agd17.jpeg</v>
      </c>
      <c r="AY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2" t="s">
        <v>47</v>
      </c>
      <c r="C13" s="1" t="s">
        <v>122</v>
      </c>
      <c r="D13" s="1" t="s">
        <v>123</v>
      </c>
      <c r="E13" s="1" t="s">
        <v>124</v>
      </c>
      <c r="F13" s="1" t="s">
        <v>51</v>
      </c>
      <c r="G13" s="1">
        <v>508.0</v>
      </c>
      <c r="H13" s="1" t="s">
        <v>52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53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54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56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57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f t="shared" si="1"/>
        <v>601</v>
      </c>
      <c r="AM13" s="1">
        <v>508.0</v>
      </c>
      <c r="AN13" s="1">
        <v>520.0</v>
      </c>
      <c r="AO13" s="1">
        <v>508.0</v>
      </c>
      <c r="AP13" s="2">
        <v>11.0</v>
      </c>
      <c r="AQ13" s="1">
        <v>0.0</v>
      </c>
      <c r="AR13" s="1">
        <v>0.0</v>
      </c>
      <c r="AS13" s="1" t="s">
        <v>125</v>
      </c>
      <c r="AT13" s="3" t="str">
        <f>HYPERLINK("https://icf.clappia.com/app/GMB253374/submission/DHI08220044/ICF247370-GMB253374-2h21e2m2jdlm00000000/SIG-20250702_15099ea36.jpeg", "SIG-20250702_15099ea36.jpeg")</f>
        <v>SIG-20250702_15099ea36.jpeg</v>
      </c>
      <c r="AU13" s="1" t="s">
        <v>126</v>
      </c>
      <c r="AV13" s="3" t="str">
        <f>HYPERLINK("https://icf.clappia.com/app/GMB253374/submission/DHI08220044/ICF247370-GMB253374-38lb0434pi9a00000000/SIG-20250702_1509mj39h.jpeg", "SIG-20250702_1509mj39h.jpeg")</f>
        <v>SIG-20250702_1509mj39h.jpeg</v>
      </c>
      <c r="AW13" s="1" t="s">
        <v>127</v>
      </c>
      <c r="AX13" s="3" t="str">
        <f>HYPERLINK("https://icf.clappia.com/app/GMB253374/submission/DHI08220044/ICF247370-GMB253374-2hn0pe15143600000000/SIG-20250702_1509eicp8.jpeg", "SIG-20250702_1509eicp8.jpeg")</f>
        <v>SIG-20250702_1509eicp8.jpeg</v>
      </c>
      <c r="AY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2" t="s">
        <v>47</v>
      </c>
      <c r="C14" s="1" t="s">
        <v>129</v>
      </c>
      <c r="D14" s="1" t="s">
        <v>130</v>
      </c>
      <c r="E14" s="1" t="s">
        <v>131</v>
      </c>
      <c r="F14" s="1" t="s">
        <v>51</v>
      </c>
      <c r="G14" s="1">
        <v>300.0</v>
      </c>
      <c r="H14" s="1" t="s">
        <v>52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53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54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56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57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f t="shared" si="1"/>
        <v>265</v>
      </c>
      <c r="AM14" s="1">
        <v>300.0</v>
      </c>
      <c r="AN14" s="1">
        <v>312.0</v>
      </c>
      <c r="AO14" s="1">
        <v>265.0</v>
      </c>
      <c r="AP14" s="2">
        <v>11.0</v>
      </c>
      <c r="AQ14" s="1">
        <v>35.0</v>
      </c>
      <c r="AR14" s="1">
        <v>35.0</v>
      </c>
      <c r="AS14" s="1" t="s">
        <v>132</v>
      </c>
      <c r="AT14" s="3" t="str">
        <f>HYPERLINK("https://icf.clappia.com/app/GMB253374/submission/VDG10070601/ICF247370-GMB253374-3j25kj98l75600000000/SIG-20250702_1324d86jc.jpeg", "SIG-20250702_1324d86jc.jpeg")</f>
        <v>SIG-20250702_1324d86jc.jpeg</v>
      </c>
      <c r="AU14" s="1" t="s">
        <v>133</v>
      </c>
      <c r="AV14" s="3" t="str">
        <f>HYPERLINK("https://icf.clappia.com/app/GMB253374/submission/VDG10070601/ICF247370-GMB253374-14n2i8mkfpac8000000/SIG-20250702_1326112i24.jpeg", "SIG-20250702_1326112i24.jpeg")</f>
        <v>SIG-20250702_1326112i24.jpeg</v>
      </c>
      <c r="AW14" s="1" t="s">
        <v>134</v>
      </c>
      <c r="AX14" s="3" t="str">
        <f>HYPERLINK("https://icf.clappia.com/app/GMB253374/submission/VDG10070601/ICF247370-GMB253374-5dnchgd3d68c00000000/SIG-20250702_1326bkcan.jpeg", "SIG-20250702_1326bkcan.jpeg")</f>
        <v>SIG-20250702_1326bkcan.jpeg</v>
      </c>
      <c r="AY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2" t="s">
        <v>47</v>
      </c>
      <c r="C15" s="1" t="s">
        <v>136</v>
      </c>
      <c r="D15" s="1" t="s">
        <v>137</v>
      </c>
      <c r="E15" s="1" t="s">
        <v>138</v>
      </c>
      <c r="F15" s="1" t="s">
        <v>51</v>
      </c>
      <c r="G15" s="1">
        <v>500.0</v>
      </c>
      <c r="H15" s="1" t="s">
        <v>52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53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54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56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57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f t="shared" si="1"/>
        <v>526</v>
      </c>
      <c r="AM15" s="1">
        <v>500.0</v>
      </c>
      <c r="AN15" s="1">
        <v>512.0</v>
      </c>
      <c r="AO15" s="1">
        <v>310.0</v>
      </c>
      <c r="AP15" s="2">
        <v>11.0</v>
      </c>
      <c r="AQ15" s="1">
        <v>190.0</v>
      </c>
      <c r="AR15" s="1">
        <v>190.0</v>
      </c>
      <c r="AS15" s="1" t="s">
        <v>139</v>
      </c>
      <c r="AT15" s="3" t="str">
        <f>HYPERLINK("https://icf.clappia.com/app/GMB253374/submission/ELL57047801/ICF247370-GMB253374-1clne83aej4240000000/SIG-20250701_18549g375.jpeg", "SIG-20250701_18549g375.jpeg")</f>
        <v>SIG-20250701_18549g375.jpeg</v>
      </c>
      <c r="AU15" s="1" t="s">
        <v>140</v>
      </c>
      <c r="AV15" s="3" t="str">
        <f>HYPERLINK("https://icf.clappia.com/app/GMB253374/submission/ELL57047801/ICF247370-GMB253374-2ejkghkg41bm00000000/SIG-20250701_1854idf5.jpeg", "SIG-20250701_1854idf5.jpeg")</f>
        <v>SIG-20250701_1854idf5.jpeg</v>
      </c>
      <c r="AW15" s="1" t="s">
        <v>141</v>
      </c>
      <c r="AX15" s="3" t="str">
        <f>HYPERLINK("https://icf.clappia.com/app/GMB253374/submission/ELL57047801/ICF247370-GMB253374-4f43db6bloc200000000/SIG-20250701_18546oof1.jpeg", "SIG-20250701_18546oof1.jpeg")</f>
        <v>SIG-20250701_18546oof1.jpeg</v>
      </c>
      <c r="AY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2" t="s">
        <v>47</v>
      </c>
      <c r="C16" s="1" t="s">
        <v>143</v>
      </c>
      <c r="D16" s="1" t="s">
        <v>143</v>
      </c>
      <c r="E16" s="1" t="s">
        <v>144</v>
      </c>
      <c r="F16" s="1" t="s">
        <v>51</v>
      </c>
      <c r="G16" s="1">
        <v>250.0</v>
      </c>
      <c r="H16" s="1" t="s">
        <v>52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53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54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56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57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f t="shared" si="1"/>
        <v>224</v>
      </c>
      <c r="AM16" s="1">
        <v>250.0</v>
      </c>
      <c r="AN16" s="1">
        <v>262.0</v>
      </c>
      <c r="AO16" s="1">
        <v>224.0</v>
      </c>
      <c r="AP16" s="2">
        <v>11.0</v>
      </c>
      <c r="AQ16" s="1">
        <v>26.0</v>
      </c>
      <c r="AR16" s="1">
        <v>26.0</v>
      </c>
      <c r="AS16" s="1" t="s">
        <v>145</v>
      </c>
      <c r="AT16" s="3" t="str">
        <f>HYPERLINK("https://icf.clappia.com/app/GMB253374/submission/CXI14864597/ICF247370-GMB253374-i58n48mcbo880000000/SIG-20250708_1307kob8i.jpeg", "SIG-20250708_1307kob8i.jpeg")</f>
        <v>SIG-20250708_1307kob8i.jpeg</v>
      </c>
      <c r="AU16" s="1" t="s">
        <v>146</v>
      </c>
      <c r="AV16" s="3" t="str">
        <f>HYPERLINK("https://icf.clappia.com/app/GMB253374/submission/CXI14864597/ICF247370-GMB253374-5cbddonoglc400000000/SIG-20250708_1308a52m0.jpeg", "SIG-20250708_1308a52m0.jpeg")</f>
        <v>SIG-20250708_1308a52m0.jpeg</v>
      </c>
      <c r="AW16" s="1" t="s">
        <v>147</v>
      </c>
      <c r="AX16" s="3" t="str">
        <f>HYPERLINK("https://icf.clappia.com/app/GMB253374/submission/CXI14864597/ICF247370-GMB253374-69118nm9gm2c00000000/SIG-20250708_131010kg05.jpeg", "SIG-20250708_131010kg05.jpeg")</f>
        <v>SIG-20250708_131010kg05.jpeg</v>
      </c>
      <c r="AY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2" t="s">
        <v>47</v>
      </c>
      <c r="C17" s="1" t="s">
        <v>149</v>
      </c>
      <c r="D17" s="1" t="s">
        <v>149</v>
      </c>
      <c r="E17" s="1" t="s">
        <v>150</v>
      </c>
      <c r="F17" s="1" t="s">
        <v>51</v>
      </c>
      <c r="G17" s="1">
        <v>200.0</v>
      </c>
      <c r="H17" s="1" t="s">
        <v>52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53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54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56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57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f t="shared" si="1"/>
        <v>192</v>
      </c>
      <c r="AM17" s="1">
        <v>200.0</v>
      </c>
      <c r="AN17" s="1">
        <v>212.0</v>
      </c>
      <c r="AO17" s="1">
        <v>192.0</v>
      </c>
      <c r="AP17" s="2">
        <v>11.0</v>
      </c>
      <c r="AQ17" s="1">
        <v>8.0</v>
      </c>
      <c r="AR17" s="1">
        <v>8.0</v>
      </c>
      <c r="AS17" s="1" t="s">
        <v>151</v>
      </c>
      <c r="AT17" s="3" t="str">
        <f>HYPERLINK("https://icf.clappia.com/app/GMB253374/submission/SYQ76566813/ICF247370-GMB253374-660d0ofdnaco0000000/SIG-20250708_12058e098.jpeg", "SIG-20250708_12058e098.jpeg")</f>
        <v>SIG-20250708_12058e098.jpeg</v>
      </c>
      <c r="AU17" s="1" t="s">
        <v>152</v>
      </c>
      <c r="AV17" s="3" t="str">
        <f>HYPERLINK("https://icf.clappia.com/app/GMB253374/submission/SYQ76566813/ICF247370-GMB253374-2h6f9li4507m00000000/SIG-20250708_12067032j.jpeg", "SIG-20250708_12067032j.jpeg")</f>
        <v>SIG-20250708_12067032j.jpeg</v>
      </c>
      <c r="AW17" s="1" t="s">
        <v>153</v>
      </c>
      <c r="AX17" s="3" t="str">
        <f>HYPERLINK("https://icf.clappia.com/app/GMB253374/submission/SYQ76566813/ICF247370-GMB253374-2645of43o9e7g0000000/SIG-20250708_1207mle87.jpeg", "SIG-20250708_1207mle87.jpeg")</f>
        <v>SIG-20250708_1207mle87.jpeg</v>
      </c>
      <c r="AY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2" t="s">
        <v>47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52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53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54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56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57</v>
      </c>
      <c r="AG18" s="1">
        <v>15.0</v>
      </c>
      <c r="AH18" s="1">
        <v>5.0</v>
      </c>
      <c r="AI18" s="1" t="s">
        <v>55</v>
      </c>
      <c r="AJ18" s="1">
        <v>10.0</v>
      </c>
      <c r="AK18" s="1" t="s">
        <v>55</v>
      </c>
      <c r="AL18" s="1">
        <f t="shared" si="1"/>
        <v>81</v>
      </c>
      <c r="AM18" s="1">
        <v>50.0</v>
      </c>
      <c r="AN18" s="1">
        <v>62.0</v>
      </c>
      <c r="AO18" s="1">
        <v>50.0</v>
      </c>
      <c r="AP18" s="2">
        <v>11.0</v>
      </c>
      <c r="AQ18" s="1">
        <v>0.0</v>
      </c>
      <c r="AR18" s="1">
        <v>0.0</v>
      </c>
      <c r="AS18" s="1" t="s">
        <v>158</v>
      </c>
      <c r="AT18" s="3" t="str">
        <f>HYPERLINK("https://icf.clappia.com/app/GMB253374/submission/PPO61134488/ICF247370-GMB253374-358fae4k2i0g00000000/SIG-20250701_12102c0di.jpeg", "SIG-20250701_12102c0di.jpeg")</f>
        <v>SIG-20250701_12102c0di.jpeg</v>
      </c>
      <c r="AU18" s="1" t="s">
        <v>159</v>
      </c>
      <c r="AV18" s="3" t="str">
        <f>HYPERLINK("https://icf.clappia.com/app/GMB253374/submission/PPO61134488/ICF247370-GMB253374-kgod2agafg7o0000000/SIG-20250701_121017oe6p.jpeg", "SIG-20250701_121017oe6p.jpeg")</f>
        <v>SIG-20250701_121017oe6p.jpeg</v>
      </c>
      <c r="AW18" s="1" t="s">
        <v>160</v>
      </c>
      <c r="AX18" s="3" t="str">
        <f>HYPERLINK("https://icf.clappia.com/app/GMB253374/submission/PPO61134488/ICF247370-GMB253374-2b4o794cb7hgk0000000/SIG-20250701_12118me5p.jpeg", "SIG-20250701_12118me5p.jpeg")</f>
        <v>SIG-20250701_12118me5p.jpeg</v>
      </c>
      <c r="AY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2" t="s">
        <v>47</v>
      </c>
      <c r="C19" s="1" t="s">
        <v>162</v>
      </c>
      <c r="D19" s="1" t="s">
        <v>156</v>
      </c>
      <c r="E19" s="2" t="s">
        <v>163</v>
      </c>
      <c r="F19" s="1" t="s">
        <v>51</v>
      </c>
      <c r="G19" s="1">
        <v>100.0</v>
      </c>
      <c r="H19" s="1" t="s">
        <v>52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53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54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56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57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f t="shared" si="1"/>
        <v>81</v>
      </c>
      <c r="AM19" s="1">
        <v>100.0</v>
      </c>
      <c r="AN19" s="1">
        <v>112.0</v>
      </c>
      <c r="AO19" s="1">
        <v>81.0</v>
      </c>
      <c r="AP19" s="2">
        <v>11.0</v>
      </c>
      <c r="AQ19" s="1">
        <v>19.0</v>
      </c>
      <c r="AR19" s="1">
        <v>19.0</v>
      </c>
      <c r="AS19" s="1" t="s">
        <v>164</v>
      </c>
      <c r="AT19" s="3" t="str">
        <f>HYPERLINK("https://icf.clappia.com/app/GMB253374/submission/WGS83898581/ICF247370-GMB253374-184f4dj894le00000000/SIG-20250630_11458e3m3.jpeg", "SIG-20250630_11458e3m3.jpeg")</f>
        <v>SIG-20250630_11458e3m3.jpeg</v>
      </c>
      <c r="AU19" s="1" t="s">
        <v>165</v>
      </c>
      <c r="AV19" s="3" t="str">
        <f>HYPERLINK("https://icf.clappia.com/app/GMB253374/submission/WGS83898581/ICF247370-GMB253374-1605mp9gend5i0000000/SIG-20250630_11467o356.jpeg", "SIG-20250630_11467o356.jpeg")</f>
        <v>SIG-20250630_11467o356.jpeg</v>
      </c>
      <c r="AW19" s="1" t="s">
        <v>166</v>
      </c>
      <c r="AX19" s="3" t="str">
        <f>HYPERLINK("https://icf.clappia.com/app/GMB253374/submission/WGS83898581/ICF247370-GMB253374-2de55aocc7m000000000/SIG-20250630_1147695mb.jpeg", "SIG-20250630_1147695mb.jpeg")</f>
        <v>SIG-20250630_1147695mb.jpeg</v>
      </c>
      <c r="AY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2" t="s">
        <v>47</v>
      </c>
      <c r="C20" s="1" t="s">
        <v>168</v>
      </c>
      <c r="D20" s="1" t="s">
        <v>169</v>
      </c>
      <c r="E20" s="2" t="s">
        <v>170</v>
      </c>
      <c r="F20" s="1" t="s">
        <v>51</v>
      </c>
      <c r="G20" s="1">
        <v>600.0</v>
      </c>
      <c r="H20" s="1" t="s">
        <v>52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53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54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56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57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f t="shared" si="1"/>
        <v>621</v>
      </c>
      <c r="AM20" s="1">
        <v>600.0</v>
      </c>
      <c r="AN20" s="1">
        <v>612.0</v>
      </c>
      <c r="AO20" s="1">
        <v>600.0</v>
      </c>
      <c r="AP20" s="2">
        <v>11.0</v>
      </c>
      <c r="AQ20" s="1">
        <v>0.0</v>
      </c>
      <c r="AR20" s="1">
        <v>0.0</v>
      </c>
      <c r="AS20" s="1" t="s">
        <v>171</v>
      </c>
      <c r="AT20" s="3" t="str">
        <f>HYPERLINK("https://icf.clappia.com/app/GMB253374/submission/UAD30979890/ICF247370-GMB253374-626iejjh56o400000000/SIG-20250704_15232o887.jpeg", "SIG-20250704_15232o887.jpeg")</f>
        <v>SIG-20250704_15232o887.jpeg</v>
      </c>
      <c r="AU20" s="1" t="s">
        <v>172</v>
      </c>
      <c r="AV20" s="3" t="str">
        <f>HYPERLINK("https://icf.clappia.com/app/GMB253374/submission/UAD30979890/ICF247370-GMB253374-aph4ac3l7bf40000000/SIG-20250704_15249j3m9.jpeg", "SIG-20250704_15249j3m9.jpeg")</f>
        <v>SIG-20250704_15249j3m9.jpeg</v>
      </c>
      <c r="AW20" s="1" t="s">
        <v>173</v>
      </c>
      <c r="AX20" s="3" t="str">
        <f>HYPERLINK("https://icf.clappia.com/app/GMB253374/submission/UAD30979890/ICF247370-GMB253374-3aa04dhghmfg00000000/SIG-20250704_1553ac09j.jpeg", "SIG-20250704_1553ac09j.jpeg")</f>
        <v>SIG-20250704_1553ac09j.jpeg</v>
      </c>
      <c r="AY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2" t="s">
        <v>47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52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53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54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56</v>
      </c>
      <c r="AA21" s="1" t="s">
        <v>55</v>
      </c>
      <c r="AB21" s="1" t="s">
        <v>55</v>
      </c>
      <c r="AC21" s="1" t="s">
        <v>55</v>
      </c>
      <c r="AD21" s="1" t="s">
        <v>55</v>
      </c>
      <c r="AE21" s="1" t="s">
        <v>55</v>
      </c>
      <c r="AF21" s="1" t="s">
        <v>57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55</v>
      </c>
      <c r="AL21" s="1">
        <f t="shared" si="1"/>
        <v>286</v>
      </c>
      <c r="AM21" s="1">
        <v>286.0</v>
      </c>
      <c r="AN21" s="1">
        <v>298.0</v>
      </c>
      <c r="AO21" s="1">
        <v>286.0</v>
      </c>
      <c r="AP21" s="2">
        <v>11.0</v>
      </c>
      <c r="AQ21" s="1">
        <v>0.0</v>
      </c>
      <c r="AR21" s="1">
        <v>0.0</v>
      </c>
      <c r="AS21" s="1" t="s">
        <v>171</v>
      </c>
      <c r="AT21" s="3" t="str">
        <f>HYPERLINK("https://icf.clappia.com/app/GMB253374/submission/QHE92361261/ICF247370-GMB253374-4g2jj2id4oh200000000/SIG-20250703_1132ip51i.jpeg", "SIG-20250703_1132ip51i.jpeg")</f>
        <v>SIG-20250703_1132ip51i.jpeg</v>
      </c>
      <c r="AU21" s="1" t="s">
        <v>177</v>
      </c>
      <c r="AV21" s="3" t="str">
        <f>HYPERLINK("https://icf.clappia.com/app/GMB253374/submission/QHE92361261/ICF247370-GMB253374-12b3iif0ip3k40000000/SIG-20250703_113431kg2.jpeg", "SIG-20250703_113431kg2.jpeg")</f>
        <v>SIG-20250703_113431kg2.jpeg</v>
      </c>
      <c r="AW21" s="1" t="s">
        <v>173</v>
      </c>
      <c r="AX21" s="3" t="str">
        <f>HYPERLINK("https://icf.clappia.com/app/GMB253374/submission/QHE92361261/ICF247370-GMB253374-3ic9kp48c4ja00000000/SIG-20250703_113459kh7.jpeg", "SIG-20250703_113459kh7.jpeg")</f>
        <v>SIG-20250703_113459kh7.jpeg</v>
      </c>
      <c r="AY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2" t="s">
        <v>47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52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53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54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56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57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f t="shared" si="1"/>
        <v>64</v>
      </c>
      <c r="AM22" s="1">
        <v>50.0</v>
      </c>
      <c r="AN22" s="1">
        <v>62.0</v>
      </c>
      <c r="AO22" s="1">
        <v>47.0</v>
      </c>
      <c r="AP22" s="2">
        <v>11.0</v>
      </c>
      <c r="AQ22" s="1">
        <v>3.0</v>
      </c>
      <c r="AR22" s="1">
        <v>3.0</v>
      </c>
      <c r="AS22" s="1" t="s">
        <v>171</v>
      </c>
      <c r="AT22" s="3" t="str">
        <f>HYPERLINK("https://icf.clappia.com/app/GMB253374/submission/PNU35415500/ICF247370-GMB253374-5p1kpf67fplm00000000/SIG-20250702_11183che9.jpeg", "SIG-20250702_11183che9.jpeg")</f>
        <v>SIG-20250702_11183che9.jpeg</v>
      </c>
      <c r="AU22" s="1" t="s">
        <v>172</v>
      </c>
      <c r="AV22" s="3" t="str">
        <f>HYPERLINK("https://icf.clappia.com/app/GMB253374/submission/PNU35415500/ICF247370-GMB253374-cfpb6mnikjf60000000/SIG-20250702_111998f3h.jpeg", "SIG-20250702_111998f3h.jpeg")</f>
        <v>SIG-20250702_111998f3h.jpeg</v>
      </c>
      <c r="AW22" s="1" t="s">
        <v>173</v>
      </c>
      <c r="AX22" s="3" t="str">
        <f>HYPERLINK("https://icf.clappia.com/app/GMB253374/submission/PNU35415500/ICF247370-GMB253374-172igmemkb5a00000000/SIG-20250702_1128ibh97.jpeg", "SIG-20250702_1128ibh97.jpeg")</f>
        <v>SIG-20250702_1128ibh97.jpeg</v>
      </c>
      <c r="AY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2" t="s">
        <v>47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52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53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54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56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57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f t="shared" si="1"/>
        <v>89</v>
      </c>
      <c r="AM23" s="1">
        <v>97.0</v>
      </c>
      <c r="AN23" s="1">
        <v>109.0</v>
      </c>
      <c r="AO23" s="1">
        <v>84.0</v>
      </c>
      <c r="AP23" s="2">
        <v>11.0</v>
      </c>
      <c r="AQ23" s="1">
        <v>13.0</v>
      </c>
      <c r="AR23" s="1">
        <v>13.0</v>
      </c>
      <c r="AS23" s="1" t="s">
        <v>171</v>
      </c>
      <c r="AT23" s="3" t="str">
        <f>HYPERLINK("https://icf.clappia.com/app/GMB253374/submission/JSU30784875/ICF247370-GMB253374-6053l7dne71200000000/SIG-20250701_1110da15o.jpeg", "SIG-20250701_1110da15o.jpeg")</f>
        <v>SIG-20250701_1110da15o.jpeg</v>
      </c>
      <c r="AU23" s="1" t="s">
        <v>184</v>
      </c>
      <c r="AV23" s="3" t="str">
        <f>HYPERLINK("https://icf.clappia.com/app/GMB253374/submission/JSU30784875/ICF247370-GMB253374-1d2m3l5p4hg560000000/SIG-20250701_11062i26j.jpeg", "SIG-20250701_11062i26j.jpeg")</f>
        <v>SIG-20250701_11062i26j.jpeg</v>
      </c>
      <c r="AW23" s="1" t="s">
        <v>173</v>
      </c>
      <c r="AX23" s="3" t="str">
        <f>HYPERLINK("https://icf.clappia.com/app/GMB253374/submission/JSU30784875/ICF247370-GMB253374-5lp6g2pkg6ik00000000/SIG-20250701_1107mg2fa.jpeg", "SIG-20250701_1107mg2fa.jpeg")</f>
        <v>SIG-20250701_1107mg2fa.jpeg</v>
      </c>
      <c r="AY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2" t="s">
        <v>47</v>
      </c>
      <c r="C24" s="1" t="s">
        <v>186</v>
      </c>
      <c r="D24" s="1" t="s">
        <v>187</v>
      </c>
      <c r="E24" s="1" t="s">
        <v>188</v>
      </c>
      <c r="F24" s="1" t="s">
        <v>51</v>
      </c>
      <c r="G24" s="1">
        <v>369.0</v>
      </c>
      <c r="H24" s="1" t="s">
        <v>52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53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54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56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57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f t="shared" si="1"/>
        <v>290</v>
      </c>
      <c r="AM24" s="1">
        <v>369.0</v>
      </c>
      <c r="AN24" s="1">
        <v>381.0</v>
      </c>
      <c r="AO24" s="1">
        <v>285.0</v>
      </c>
      <c r="AP24" s="2">
        <v>11.0</v>
      </c>
      <c r="AQ24" s="1">
        <v>84.0</v>
      </c>
      <c r="AR24" s="1">
        <v>84.0</v>
      </c>
      <c r="AS24" s="1" t="s">
        <v>189</v>
      </c>
      <c r="AT24" s="3" t="str">
        <f>HYPERLINK("https://icf.clappia.com/app/GMB253374/submission/HKO24280253/ICF247370-GMB253374-1n3pkdjfla2ja0000000/SIG-20250703_1105121g7.jpeg", "SIG-20250703_1105121g7.jpeg")</f>
        <v>SIG-20250703_1105121g7.jpeg</v>
      </c>
      <c r="AU24" s="1" t="s">
        <v>190</v>
      </c>
      <c r="AV24" s="3" t="str">
        <f>HYPERLINK("https://icf.clappia.com/app/GMB253374/submission/HKO24280253/ICF247370-GMB253374-10572739o7f6g0000000/SIG-20250703_1107ik24k.jpeg", "SIG-20250703_1107ik24k.jpeg")</f>
        <v>SIG-20250703_1107ik24k.jpeg</v>
      </c>
      <c r="AW24" s="1" t="s">
        <v>115</v>
      </c>
      <c r="AX24" s="3" t="str">
        <f>HYPERLINK("https://icf.clappia.com/app/GMB253374/submission/HKO24280253/ICF247370-GMB253374-1gb22aj9fkd4e0000000/SIG-20250703_1107n3m1a.jpeg", "SIG-20250703_1107n3m1a.jpeg")</f>
        <v>SIG-20250703_1107n3m1a.jpeg</v>
      </c>
      <c r="AY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2" t="s">
        <v>47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52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53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54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56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57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f t="shared" si="1"/>
        <v>152</v>
      </c>
      <c r="AM25" s="1">
        <v>157.0</v>
      </c>
      <c r="AN25" s="1">
        <v>169.0</v>
      </c>
      <c r="AO25" s="1">
        <v>152.0</v>
      </c>
      <c r="AP25" s="2">
        <v>11.0</v>
      </c>
      <c r="AQ25" s="1">
        <v>5.0</v>
      </c>
      <c r="AR25" s="1">
        <v>5.0</v>
      </c>
      <c r="AS25" s="1" t="s">
        <v>195</v>
      </c>
      <c r="AT25" s="3" t="str">
        <f>HYPERLINK("https://icf.clappia.com/app/GMB253374/submission/OOW21173158/ICF247370-GMB253374-17m83bkild1kc0000000/SIG-20250701_1225ci0po.jpeg", "SIG-20250701_1225ci0po.jpeg")</f>
        <v>SIG-20250701_1225ci0po.jpeg</v>
      </c>
      <c r="AU25" s="1" t="s">
        <v>196</v>
      </c>
      <c r="AV25" s="3" t="str">
        <f>HYPERLINK("https://icf.clappia.com/app/GMB253374/submission/OOW21173158/ICF247370-GMB253374-1eh9fcjdj55ki0000000/SIG-20250701_1231i4f0m.jpeg", "SIG-20250701_1231i4f0m.jpeg")</f>
        <v>SIG-20250701_1231i4f0m.jpeg</v>
      </c>
      <c r="AW25" s="1" t="s">
        <v>197</v>
      </c>
      <c r="AX25" s="3" t="str">
        <f>HYPERLINK("https://icf.clappia.com/app/GMB253374/submission/OOW21173158/ICF247370-GMB253374-4jop93c8c7m600000000/SIG-20250701_123114d0da.jpeg", "SIG-20250701_123114d0da.jpeg")</f>
        <v>SIG-20250701_123114d0da.jpeg</v>
      </c>
      <c r="AY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2" t="s">
        <v>47</v>
      </c>
      <c r="C26" s="1" t="s">
        <v>199</v>
      </c>
      <c r="D26" s="1" t="s">
        <v>199</v>
      </c>
      <c r="E26" s="1" t="s">
        <v>200</v>
      </c>
      <c r="F26" s="1" t="s">
        <v>51</v>
      </c>
      <c r="G26" s="1">
        <v>200.0</v>
      </c>
      <c r="H26" s="1" t="s">
        <v>52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53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54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56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57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f t="shared" si="1"/>
        <v>197</v>
      </c>
      <c r="AM26" s="1">
        <v>200.0</v>
      </c>
      <c r="AN26" s="1">
        <v>212.0</v>
      </c>
      <c r="AO26" s="1">
        <v>197.0</v>
      </c>
      <c r="AP26" s="2">
        <v>11.0</v>
      </c>
      <c r="AQ26" s="1">
        <v>3.0</v>
      </c>
      <c r="AR26" s="1">
        <v>3.0</v>
      </c>
      <c r="AS26" s="1" t="s">
        <v>201</v>
      </c>
      <c r="AT26" s="3" t="str">
        <f>HYPERLINK("https://icf.clappia.com/app/GMB253374/submission/PJU16680841/ICF247370-GMB253374-4hhkpg7i8d2c00000000/SIG-20250708_1134jpk04.jpeg", "SIG-20250708_1134jpk04.jpeg")</f>
        <v>SIG-20250708_1134jpk04.jpeg</v>
      </c>
      <c r="AU26" s="1" t="s">
        <v>202</v>
      </c>
      <c r="AV26" s="3" t="str">
        <f>HYPERLINK("https://icf.clappia.com/app/GMB253374/submission/PJU16680841/ICF247370-GMB253374-4h5b404ed26a0000000/SIG-20250708_113414k5hd.jpeg", "SIG-20250708_113414k5hd.jpeg")</f>
        <v>SIG-20250708_113414k5hd.jpeg</v>
      </c>
      <c r="AW26" s="1" t="s">
        <v>203</v>
      </c>
      <c r="AX26" s="3" t="str">
        <f>HYPERLINK("https://icf.clappia.com/app/GMB253374/submission/PJU16680841/ICF247370-GMB253374-65hbh1n0f19a00000000/SIG-20250708_113517eip2.jpeg", "SIG-20250708_113517eip2.jpeg")</f>
        <v>SIG-20250708_113517eip2.jpeg</v>
      </c>
      <c r="AY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2" t="s">
        <v>47</v>
      </c>
      <c r="C27" s="1" t="s">
        <v>205</v>
      </c>
      <c r="D27" s="1" t="s">
        <v>199</v>
      </c>
      <c r="E27" s="2" t="s">
        <v>206</v>
      </c>
      <c r="F27" s="1" t="s">
        <v>51</v>
      </c>
      <c r="G27" s="1">
        <v>300.0</v>
      </c>
      <c r="H27" s="1" t="s">
        <v>52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53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54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56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57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f t="shared" si="1"/>
        <v>300</v>
      </c>
      <c r="AM27" s="1">
        <v>300.0</v>
      </c>
      <c r="AN27" s="1">
        <v>312.0</v>
      </c>
      <c r="AO27" s="1">
        <v>290.0</v>
      </c>
      <c r="AP27" s="2">
        <v>11.0</v>
      </c>
      <c r="AQ27" s="1">
        <v>10.0</v>
      </c>
      <c r="AR27" s="1">
        <v>10.0</v>
      </c>
      <c r="AS27" s="1" t="s">
        <v>207</v>
      </c>
      <c r="AT27" s="3" t="str">
        <f>HYPERLINK("https://icf.clappia.com/app/GMB253374/submission/CDK39295937/ICF247370-GMB253374-4cpbe6kbp4mo00000000/SIG-20250704_104610acip.jpeg", "SIG-20250704_104610acip.jpeg")</f>
        <v>SIG-20250704_104610acip.jpeg</v>
      </c>
      <c r="AU27" s="1" t="s">
        <v>208</v>
      </c>
      <c r="AV27" s="3" t="str">
        <f>HYPERLINK("https://icf.clappia.com/app/GMB253374/submission/CDK39295937/ICF247370-GMB253374-aamci20fh25e0000000/SIG-20250704_1046dhp2.jpeg", "SIG-20250704_1046dhp2.jpeg")</f>
        <v>SIG-20250704_1046dhp2.jpeg</v>
      </c>
      <c r="AW27" s="1" t="s">
        <v>209</v>
      </c>
      <c r="AX27" s="3" t="str">
        <f>HYPERLINK("https://icf.clappia.com/app/GMB253374/submission/CDK39295937/ICF247370-GMB253374-2mb63jgfg75m00000000/SIG-20250704_104614hkh8.jpeg", "SIG-20250704_104614hkh8.jpeg")</f>
        <v>SIG-20250704_104614hkh8.jpeg</v>
      </c>
      <c r="AY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2" t="s">
        <v>47</v>
      </c>
      <c r="C28" s="1" t="s">
        <v>211</v>
      </c>
      <c r="D28" s="1" t="s">
        <v>211</v>
      </c>
      <c r="E28" s="1" t="s">
        <v>212</v>
      </c>
      <c r="F28" s="1" t="s">
        <v>51</v>
      </c>
      <c r="G28" s="1">
        <v>200.0</v>
      </c>
      <c r="H28" s="1" t="s">
        <v>52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53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54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56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57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f t="shared" si="1"/>
        <v>191</v>
      </c>
      <c r="AM28" s="1">
        <v>200.0</v>
      </c>
      <c r="AN28" s="1">
        <v>212.0</v>
      </c>
      <c r="AO28" s="1">
        <v>191.0</v>
      </c>
      <c r="AP28" s="2">
        <v>11.0</v>
      </c>
      <c r="AQ28" s="1">
        <v>9.0</v>
      </c>
      <c r="AR28" s="1">
        <v>9.0</v>
      </c>
      <c r="AS28" s="1" t="s">
        <v>201</v>
      </c>
      <c r="AT28" s="3" t="str">
        <f>HYPERLINK("https://icf.clappia.com/app/GMB253374/submission/DDZ85713329/ICF247370-GMB253374-239l17225dk240000000/SIG-20250708_1111n7n71.jpeg", "SIG-20250708_1111n7n71.jpeg")</f>
        <v>SIG-20250708_1111n7n71.jpeg</v>
      </c>
      <c r="AU28" s="1" t="s">
        <v>202</v>
      </c>
      <c r="AV28" s="3" t="str">
        <f>HYPERLINK("https://icf.clappia.com/app/GMB253374/submission/DDZ85713329/ICF247370-GMB253374-51no0jo37nme00000000/SIG-20250708_1111dpagi.jpeg", "SIG-20250708_1111dpagi.jpeg")</f>
        <v>SIG-20250708_1111dpagi.jpeg</v>
      </c>
      <c r="AW28" s="1" t="s">
        <v>203</v>
      </c>
      <c r="AX28" s="3" t="str">
        <f>HYPERLINK("https://icf.clappia.com/app/GMB253374/submission/DDZ85713329/ICF247370-GMB253374-1lginn8le6ioo0000000/SIG-20250708_1111a94lh.jpeg", "SIG-20250708_1111a94lh.jpeg")</f>
        <v>SIG-20250708_1111a94lh.jpeg</v>
      </c>
      <c r="AY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2" t="s">
        <v>47</v>
      </c>
      <c r="C29" s="1" t="s">
        <v>214</v>
      </c>
      <c r="D29" s="1" t="s">
        <v>214</v>
      </c>
      <c r="E29" s="1" t="s">
        <v>215</v>
      </c>
      <c r="F29" s="1" t="s">
        <v>51</v>
      </c>
      <c r="G29" s="1">
        <v>250.0</v>
      </c>
      <c r="H29" s="1" t="s">
        <v>52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53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54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56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57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f t="shared" si="1"/>
        <v>222</v>
      </c>
      <c r="AM29" s="1">
        <v>250.0</v>
      </c>
      <c r="AN29" s="1">
        <v>262.0</v>
      </c>
      <c r="AO29" s="1">
        <v>222.0</v>
      </c>
      <c r="AP29" s="2">
        <v>11.0</v>
      </c>
      <c r="AQ29" s="1">
        <v>28.0</v>
      </c>
      <c r="AR29" s="1">
        <v>28.0</v>
      </c>
      <c r="AS29" s="1" t="s">
        <v>201</v>
      </c>
      <c r="AT29" s="3" t="str">
        <f>HYPERLINK("https://icf.clappia.com/app/GMB253374/submission/EOD64806849/ICF247370-GMB253374-g17ocn6nl4ic0000000/SIG-20250708_1104o77lc.jpeg", "SIG-20250708_1104o77lc.jpeg")</f>
        <v>SIG-20250708_1104o77lc.jpeg</v>
      </c>
      <c r="AU29" s="1" t="s">
        <v>202</v>
      </c>
      <c r="AV29" s="3" t="str">
        <f>HYPERLINK("https://icf.clappia.com/app/GMB253374/submission/EOD64806849/ICF247370-GMB253374-40k5mh6i45nm00000000/SIG-20250708_1104hlh89.jpeg", "SIG-20250708_1104hlh89.jpeg")</f>
        <v>SIG-20250708_1104hlh89.jpeg</v>
      </c>
      <c r="AW29" s="1" t="s">
        <v>216</v>
      </c>
      <c r="AX29" s="3" t="str">
        <f>HYPERLINK("https://icf.clappia.com/app/GMB253374/submission/EOD64806849/ICF247370-GMB253374-3618c7c6bncm00000000/SIG-20250708_110514l9pa.jpeg", "SIG-20250708_110514l9pa.jpeg")</f>
        <v>SIG-20250708_110514l9pa.jpeg</v>
      </c>
      <c r="AY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2" t="s">
        <v>47</v>
      </c>
      <c r="C30" s="1" t="s">
        <v>218</v>
      </c>
      <c r="D30" s="1" t="s">
        <v>214</v>
      </c>
      <c r="E30" s="1" t="s">
        <v>219</v>
      </c>
      <c r="F30" s="1" t="s">
        <v>51</v>
      </c>
      <c r="G30" s="1">
        <v>508.0</v>
      </c>
      <c r="H30" s="1" t="s">
        <v>52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53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54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56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57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f t="shared" si="1"/>
        <v>442</v>
      </c>
      <c r="AM30" s="1">
        <v>508.0</v>
      </c>
      <c r="AN30" s="1">
        <v>520.0</v>
      </c>
      <c r="AO30" s="1">
        <v>422.0</v>
      </c>
      <c r="AP30" s="2">
        <v>11.0</v>
      </c>
      <c r="AQ30" s="1">
        <v>86.0</v>
      </c>
      <c r="AR30" s="1">
        <v>86.0</v>
      </c>
      <c r="AS30" s="1" t="s">
        <v>220</v>
      </c>
      <c r="AT30" s="3" t="str">
        <f>HYPERLINK("https://icf.clappia.com/app/GMB253374/submission/JLF75053394/ICF247370-GMB253374-kljlbidd5cni0000000/SIG-20250704_161714f0ag.jpeg", "SIG-20250704_161714f0ag.jpeg")</f>
        <v>SIG-20250704_161714f0ag.jpeg</v>
      </c>
      <c r="AU30" s="1" t="s">
        <v>221</v>
      </c>
      <c r="AV30" s="3" t="str">
        <f>HYPERLINK("https://icf.clappia.com/app/GMB253374/submission/JLF75053394/ICF247370-GMB253374-295nmnij30j680000000/SIG-20250704_161893116.jpeg", "SIG-20250704_161893116.jpeg")</f>
        <v>SIG-20250704_161893116.jpeg</v>
      </c>
      <c r="AW30" s="1" t="s">
        <v>222</v>
      </c>
      <c r="AX30" s="3" t="str">
        <f>HYPERLINK("https://icf.clappia.com/app/GMB253374/submission/JLF75053394/ICF247370-GMB253374-11041n2i90p440000000/SIG-20250704_1620af3na.jpeg", "SIG-20250704_1620af3na.jpeg")</f>
        <v>SIG-20250704_1620af3na.jpeg</v>
      </c>
      <c r="AY30" s="3" t="str">
        <f>HYPERLINK("https://www.google.com/maps/place/7.9522133%2C-11.75237", "7.9522133,-11.75237")</f>
        <v>7.9522133,-11.75237</v>
      </c>
    </row>
    <row r="31" ht="15.75" customHeight="1">
      <c r="A31" s="1" t="s">
        <v>223</v>
      </c>
      <c r="B31" s="2" t="s">
        <v>47</v>
      </c>
      <c r="C31" s="1" t="s">
        <v>224</v>
      </c>
      <c r="D31" s="1" t="s">
        <v>225</v>
      </c>
      <c r="E31" s="1" t="s">
        <v>226</v>
      </c>
      <c r="F31" s="1" t="s">
        <v>51</v>
      </c>
      <c r="G31" s="1">
        <v>61.0</v>
      </c>
      <c r="H31" s="1" t="s">
        <v>52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53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54</v>
      </c>
      <c r="U31" s="1">
        <v>25.0</v>
      </c>
      <c r="V31" s="1">
        <v>12.0</v>
      </c>
      <c r="W31" s="1" t="s">
        <v>55</v>
      </c>
      <c r="X31" s="1">
        <v>13.0</v>
      </c>
      <c r="Y31" s="1" t="s">
        <v>55</v>
      </c>
      <c r="Z31" s="1" t="s">
        <v>56</v>
      </c>
      <c r="AA31" s="1">
        <v>18.0</v>
      </c>
      <c r="AB31" s="1">
        <v>8.0</v>
      </c>
      <c r="AC31" s="1" t="s">
        <v>55</v>
      </c>
      <c r="AD31" s="1">
        <v>10.0</v>
      </c>
      <c r="AE31" s="1" t="s">
        <v>55</v>
      </c>
      <c r="AF31" s="1" t="s">
        <v>57</v>
      </c>
      <c r="AG31" s="1">
        <v>18.0</v>
      </c>
      <c r="AH31" s="1">
        <v>8.0</v>
      </c>
      <c r="AI31" s="1" t="s">
        <v>55</v>
      </c>
      <c r="AJ31" s="1">
        <v>10.0</v>
      </c>
      <c r="AK31" s="1" t="s">
        <v>55</v>
      </c>
      <c r="AL31" s="1">
        <f t="shared" si="1"/>
        <v>130</v>
      </c>
      <c r="AM31" s="1">
        <v>61.0</v>
      </c>
      <c r="AN31" s="1">
        <v>73.0</v>
      </c>
      <c r="AO31" s="1">
        <v>61.0</v>
      </c>
      <c r="AP31" s="2">
        <v>11.0</v>
      </c>
      <c r="AQ31" s="1">
        <v>0.0</v>
      </c>
      <c r="AR31" s="1">
        <v>0.0</v>
      </c>
      <c r="AS31" s="1" t="s">
        <v>227</v>
      </c>
      <c r="AT31" s="3" t="str">
        <f>HYPERLINK("https://icf.clappia.com/app/GMB253374/submission/JLV26390993/ICF247370-GMB253374-3g73h3g5adck00000000/SIG-20250704_0957ddhp0.jpeg", "SIG-20250704_0957ddhp0.jpeg")</f>
        <v>SIG-20250704_0957ddhp0.jpeg</v>
      </c>
      <c r="AU31" s="1" t="s">
        <v>228</v>
      </c>
      <c r="AV31" s="3" t="str">
        <f>HYPERLINK("https://icf.clappia.com/app/GMB253374/submission/JLV26390993/ICF247370-GMB253374-1f852g69fejpg0000000/SIG-20250704_095716m28d.jpeg", "SIG-20250704_095716m28d.jpeg")</f>
        <v>SIG-20250704_095716m28d.jpeg</v>
      </c>
      <c r="AW31" s="1" t="s">
        <v>229</v>
      </c>
      <c r="AX31" s="3" t="str">
        <f>HYPERLINK("https://icf.clappia.com/app/GMB253374/submission/JLV26390993/ICF247370-GMB253374-8ip6ho2fc18g0000000/SIG-20250704_09573nn4c.jpeg", "SIG-20250704_09573nn4c.jpeg")</f>
        <v>SIG-20250704_09573nn4c.jpeg</v>
      </c>
      <c r="AY31" s="3" t="str">
        <f>HYPERLINK("https://www.google.com/maps/place/7.9463617%2C-11.7213367", "7.9463617,-11.7213367")</f>
        <v>7.9463617,-11.7213367</v>
      </c>
    </row>
    <row r="32" ht="15.75" customHeight="1">
      <c r="A32" s="1" t="s">
        <v>230</v>
      </c>
      <c r="B32" s="2" t="s">
        <v>47</v>
      </c>
      <c r="C32" s="1" t="s">
        <v>231</v>
      </c>
      <c r="D32" s="1" t="s">
        <v>231</v>
      </c>
      <c r="E32" s="1" t="s">
        <v>232</v>
      </c>
      <c r="F32" s="1" t="s">
        <v>51</v>
      </c>
      <c r="G32" s="1">
        <v>200.0</v>
      </c>
      <c r="H32" s="1" t="s">
        <v>52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53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54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56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57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f t="shared" si="1"/>
        <v>159</v>
      </c>
      <c r="AM32" s="1">
        <v>200.0</v>
      </c>
      <c r="AN32" s="1">
        <v>212.0</v>
      </c>
      <c r="AO32" s="1">
        <v>142.0</v>
      </c>
      <c r="AP32" s="2">
        <v>11.0</v>
      </c>
      <c r="AQ32" s="1">
        <v>58.0</v>
      </c>
      <c r="AR32" s="1">
        <v>58.0</v>
      </c>
      <c r="AS32" s="1" t="s">
        <v>233</v>
      </c>
      <c r="AT32" s="3" t="str">
        <f>HYPERLINK("https://icf.clappia.com/app/GMB253374/submission/NPE78839204/ICF247370-GMB253374-n1e0onlkdgec0000000/SIG-20250708_1045134h4o.jpeg", "SIG-20250708_1045134h4o.jpeg")</f>
        <v>SIG-20250708_1045134h4o.jpeg</v>
      </c>
      <c r="AU32" s="1" t="s">
        <v>234</v>
      </c>
      <c r="AV32" s="3" t="str">
        <f>HYPERLINK("https://icf.clappia.com/app/GMB253374/submission/NPE78839204/ICF247370-GMB253374-5f6cjanl25pi00000000/SIG-20250708_10469g7f9.jpeg", "SIG-20250708_10469g7f9.jpeg")</f>
        <v>SIG-20250708_10469g7f9.jpeg</v>
      </c>
      <c r="AW32" s="1" t="s">
        <v>235</v>
      </c>
      <c r="AX32" s="3" t="str">
        <f>HYPERLINK("https://icf.clappia.com/app/GMB253374/submission/NPE78839204/ICF247370-GMB253374-1cncjln77cb5i0000000/SIG-20250708_104611jgcb.jpeg", "SIG-20250708_104611jgcb.jpeg")</f>
        <v>SIG-20250708_104611jgcb.jpeg</v>
      </c>
      <c r="AY32" s="3" t="str">
        <f>HYPERLINK("https://www.google.com/maps/place/8.9502201%2C-11.9820138", "8.9502201,-11.9820138")</f>
        <v>8.9502201,-11.9820138</v>
      </c>
    </row>
    <row r="33" ht="15.75" customHeight="1">
      <c r="A33" s="1" t="s">
        <v>236</v>
      </c>
      <c r="B33" s="2" t="s">
        <v>47</v>
      </c>
      <c r="C33" s="1" t="s">
        <v>237</v>
      </c>
      <c r="D33" s="1" t="s">
        <v>237</v>
      </c>
      <c r="E33" s="1" t="s">
        <v>238</v>
      </c>
      <c r="F33" s="1" t="s">
        <v>51</v>
      </c>
      <c r="G33" s="1">
        <v>150.0</v>
      </c>
      <c r="H33" s="1" t="s">
        <v>52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53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54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56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57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f t="shared" si="1"/>
        <v>115</v>
      </c>
      <c r="AM33" s="1">
        <v>150.0</v>
      </c>
      <c r="AN33" s="1">
        <v>162.0</v>
      </c>
      <c r="AO33" s="1">
        <v>92.0</v>
      </c>
      <c r="AP33" s="2">
        <v>11.0</v>
      </c>
      <c r="AQ33" s="1">
        <v>58.0</v>
      </c>
      <c r="AR33" s="1">
        <v>58.0</v>
      </c>
      <c r="AS33" s="1" t="s">
        <v>239</v>
      </c>
      <c r="AT33" s="3" t="str">
        <f>HYPERLINK("https://icf.clappia.com/app/GMB253374/submission/RDY52296865/ICF247370-GMB253374-19bknbh7de4960000000/SIG-20250708_1036c1i2a.jpeg", "SIG-20250708_1036c1i2a.jpeg")</f>
        <v>SIG-20250708_1036c1i2a.jpeg</v>
      </c>
      <c r="AU33" s="1" t="s">
        <v>240</v>
      </c>
      <c r="AV33" s="3" t="str">
        <f>HYPERLINK("https://icf.clappia.com/app/GMB253374/submission/RDY52296865/ICF247370-GMB253374-3akpa63l2ggo00000000/SIG-20250708_103614ni2h.jpeg", "SIG-20250708_103614ni2h.jpeg")</f>
        <v>SIG-20250708_103614ni2h.jpeg</v>
      </c>
      <c r="AW33" s="1" t="s">
        <v>241</v>
      </c>
      <c r="AX33" s="3" t="str">
        <f>HYPERLINK("https://icf.clappia.com/app/GMB253374/submission/RDY52296865/ICF247370-GMB253374-4ij29co5f1kk00000000/SIG-20250708_1036eaghe.jpeg", "SIG-20250708_1036eaghe.jpeg")</f>
        <v>SIG-20250708_1036eaghe.jpeg</v>
      </c>
      <c r="AY33" s="3" t="str">
        <f>HYPERLINK("https://www.google.com/maps/place/8.9502417%2C-11.9821668", "8.9502417,-11.9821668")</f>
        <v>8.9502417,-11.9821668</v>
      </c>
    </row>
    <row r="34" ht="15.75" customHeight="1">
      <c r="A34" s="1" t="s">
        <v>242</v>
      </c>
      <c r="B34" s="2" t="s">
        <v>47</v>
      </c>
      <c r="C34" s="1" t="s">
        <v>243</v>
      </c>
      <c r="D34" s="1" t="s">
        <v>243</v>
      </c>
      <c r="E34" s="1" t="s">
        <v>244</v>
      </c>
      <c r="F34" s="1" t="s">
        <v>51</v>
      </c>
      <c r="G34" s="1">
        <v>150.0</v>
      </c>
      <c r="H34" s="1" t="s">
        <v>52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53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54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56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57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f t="shared" si="1"/>
        <v>126</v>
      </c>
      <c r="AM34" s="1">
        <v>150.0</v>
      </c>
      <c r="AN34" s="1">
        <v>162.0</v>
      </c>
      <c r="AO34" s="1">
        <v>126.0</v>
      </c>
      <c r="AP34" s="2">
        <v>11.0</v>
      </c>
      <c r="AQ34" s="1">
        <v>24.0</v>
      </c>
      <c r="AR34" s="1">
        <v>24.0</v>
      </c>
      <c r="AS34" s="1" t="s">
        <v>245</v>
      </c>
      <c r="AT34" s="3" t="str">
        <f>HYPERLINK("https://icf.clappia.com/app/GMB253374/submission/NWU44497842/ICF247370-GMB253374-5pnk2dag9age00000000/SIG-20250708_10278nanb.jpeg", "SIG-20250708_10278nanb.jpeg")</f>
        <v>SIG-20250708_10278nanb.jpeg</v>
      </c>
      <c r="AU34" s="1" t="s">
        <v>246</v>
      </c>
      <c r="AV34" s="3" t="str">
        <f>HYPERLINK("https://icf.clappia.com/app/GMB253374/submission/NWU44497842/ICF247370-GMB253374-1ogfnjehkgo2i0000000/SIG-20250708_10278eo01.jpeg", "SIG-20250708_10278eo01.jpeg")</f>
        <v>SIG-20250708_10278eo01.jpeg</v>
      </c>
      <c r="AW34" s="1" t="s">
        <v>241</v>
      </c>
      <c r="AX34" s="3" t="str">
        <f>HYPERLINK("https://icf.clappia.com/app/GMB253374/submission/NWU44497842/ICF247370-GMB253374-5l86bg68kabi00000000/SIG-20250708_10281agmfc.jpeg", "SIG-20250708_10281agmfc.jpeg")</f>
        <v>SIG-20250708_10281agmfc.jpeg</v>
      </c>
      <c r="AY34" s="3" t="str">
        <f>HYPERLINK("https://www.google.com/maps/place/8.9507818%2C-11.981657", "8.9507818,-11.981657")</f>
        <v>8.9507818,-11.981657</v>
      </c>
    </row>
    <row r="35" ht="15.75" customHeight="1">
      <c r="A35" s="1" t="s">
        <v>247</v>
      </c>
      <c r="B35" s="2" t="s">
        <v>47</v>
      </c>
      <c r="C35" s="1" t="s">
        <v>248</v>
      </c>
      <c r="D35" s="1" t="s">
        <v>249</v>
      </c>
      <c r="E35" s="1" t="s">
        <v>250</v>
      </c>
      <c r="F35" s="1" t="s">
        <v>51</v>
      </c>
      <c r="G35" s="1">
        <v>410.0</v>
      </c>
      <c r="H35" s="1" t="s">
        <v>52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53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54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56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57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f t="shared" si="1"/>
        <v>394</v>
      </c>
      <c r="AM35" s="1">
        <v>410.0</v>
      </c>
      <c r="AN35" s="1">
        <v>422.0</v>
      </c>
      <c r="AO35" s="1">
        <v>394.0</v>
      </c>
      <c r="AP35" s="2">
        <v>11.0</v>
      </c>
      <c r="AQ35" s="1">
        <v>16.0</v>
      </c>
      <c r="AR35" s="1">
        <v>16.0</v>
      </c>
      <c r="AS35" s="1" t="s">
        <v>251</v>
      </c>
      <c r="AT35" s="3" t="str">
        <f>HYPERLINK("https://icf.clappia.com/app/GMB253374/submission/RFW97363834/ICF247370-GMB253374-5og21dgdbic000000000/SIG-20250703_1411c1m9l.jpeg", "SIG-20250703_1411c1m9l.jpeg")</f>
        <v>SIG-20250703_1411c1m9l.jpeg</v>
      </c>
      <c r="AU35" s="1" t="s">
        <v>252</v>
      </c>
      <c r="AV35" s="3" t="str">
        <f>HYPERLINK("https://icf.clappia.com/app/GMB253374/submission/RFW97363834/ICF247370-GMB253374-53ph2b432n4c00000000/SIG-20250703_1411bdh6f.jpeg", "SIG-20250703_1411bdh6f.jpeg")</f>
        <v>SIG-20250703_1411bdh6f.jpeg</v>
      </c>
      <c r="AW35" s="1" t="s">
        <v>253</v>
      </c>
      <c r="AX35" s="3" t="str">
        <f>HYPERLINK("https://icf.clappia.com/app/GMB253374/submission/RFW97363834/ICF247370-GMB253374-3h58lj5i0gfg00000000/SIG-20250703_1412164mmj.jpeg", "SIG-20250703_1412164mmj.jpeg")</f>
        <v>SIG-20250703_1412164mmj.jpeg</v>
      </c>
      <c r="AY35" s="3" t="str">
        <f>HYPERLINK("https://www.google.com/maps/place/7.9632983%2C-11.7526067", "7.9632983,-11.7526067")</f>
        <v>7.9632983,-11.7526067</v>
      </c>
    </row>
    <row r="36" ht="15.75" customHeight="1">
      <c r="A36" s="1" t="s">
        <v>254</v>
      </c>
      <c r="B36" s="2" t="s">
        <v>47</v>
      </c>
      <c r="C36" s="1" t="s">
        <v>255</v>
      </c>
      <c r="D36" s="1" t="s">
        <v>256</v>
      </c>
      <c r="E36" s="1" t="s">
        <v>257</v>
      </c>
      <c r="F36" s="1" t="s">
        <v>72</v>
      </c>
      <c r="G36" s="1">
        <v>50.0</v>
      </c>
      <c r="H36" s="1" t="s">
        <v>52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53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54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56</v>
      </c>
      <c r="AA36" s="1">
        <v>6.0</v>
      </c>
      <c r="AB36" s="1">
        <v>1.0</v>
      </c>
      <c r="AC36" s="1" t="s">
        <v>55</v>
      </c>
      <c r="AD36" s="1">
        <v>5.0</v>
      </c>
      <c r="AE36" s="1">
        <v>3.0</v>
      </c>
      <c r="AF36" s="1" t="s">
        <v>57</v>
      </c>
      <c r="AG36" s="1">
        <v>3.0</v>
      </c>
      <c r="AH36" s="1">
        <v>3.0</v>
      </c>
      <c r="AI36" s="1">
        <v>3.0</v>
      </c>
      <c r="AJ36" s="1" t="s">
        <v>55</v>
      </c>
      <c r="AK36" s="1" t="s">
        <v>55</v>
      </c>
      <c r="AL36" s="1">
        <f t="shared" si="1"/>
        <v>80</v>
      </c>
      <c r="AM36" s="1">
        <v>50.0</v>
      </c>
      <c r="AN36" s="1">
        <v>62.0</v>
      </c>
      <c r="AO36" s="1">
        <v>47.0</v>
      </c>
      <c r="AP36" s="2">
        <v>11.0</v>
      </c>
      <c r="AQ36" s="1">
        <v>3.0</v>
      </c>
      <c r="AR36" s="1">
        <v>3.0</v>
      </c>
      <c r="AS36" s="1" t="s">
        <v>258</v>
      </c>
      <c r="AT36" s="3" t="str">
        <f>HYPERLINK("https://icf.clappia.com/app/GMB253374/submission/AJQ70594136/ICF247370-GMB253374-480f982hhh2800000000/SIG-20250702_12221ad29n.jpeg", "SIG-20250702_12221ad29n.jpeg")</f>
        <v>SIG-20250702_12221ad29n.jpeg</v>
      </c>
      <c r="AU36" s="1" t="s">
        <v>259</v>
      </c>
      <c r="AV36" s="3" t="str">
        <f>HYPERLINK("https://icf.clappia.com/app/GMB253374/submission/AJQ70594136/ICF247370-GMB253374-6729cilengfe00000000/SIG-20250702_122210b577.jpeg", "SIG-20250702_122210b577.jpeg")</f>
        <v>SIG-20250702_122210b577.jpeg</v>
      </c>
      <c r="AW36" s="1" t="s">
        <v>260</v>
      </c>
      <c r="AX36" s="3" t="str">
        <f>HYPERLINK("https://icf.clappia.com/app/GMB253374/submission/AJQ70594136/ICF247370-GMB253374-4o81ighio62c00000000/SIG-20250702_1223dhkgh.jpeg", "SIG-20250702_1223dhkgh.jpeg")</f>
        <v>SIG-20250702_1223dhkgh.jpeg</v>
      </c>
      <c r="AY36" s="3" t="str">
        <f>HYPERLINK("https://www.google.com/maps/place/7.5275933%2C-11.8707783", "7.5275933,-11.8707783")</f>
        <v>7.5275933,-11.8707783</v>
      </c>
    </row>
    <row r="37" ht="15.75" customHeight="1">
      <c r="A37" s="1" t="s">
        <v>261</v>
      </c>
      <c r="B37" s="2" t="s">
        <v>47</v>
      </c>
      <c r="C37" s="1" t="s">
        <v>262</v>
      </c>
      <c r="D37" s="1" t="s">
        <v>263</v>
      </c>
      <c r="E37" s="1" t="s">
        <v>264</v>
      </c>
      <c r="F37" s="1" t="s">
        <v>51</v>
      </c>
      <c r="G37" s="1">
        <v>363.0</v>
      </c>
      <c r="H37" s="1" t="s">
        <v>52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53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54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56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57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f t="shared" si="1"/>
        <v>363</v>
      </c>
      <c r="AM37" s="1">
        <v>363.0</v>
      </c>
      <c r="AN37" s="1">
        <v>375.0</v>
      </c>
      <c r="AO37" s="1">
        <v>363.0</v>
      </c>
      <c r="AP37" s="2">
        <v>11.0</v>
      </c>
      <c r="AQ37" s="1">
        <v>0.0</v>
      </c>
      <c r="AR37" s="1">
        <v>0.0</v>
      </c>
      <c r="AS37" s="1" t="s">
        <v>265</v>
      </c>
      <c r="AT37" s="3" t="str">
        <f>HYPERLINK("https://icf.clappia.com/app/GMB253374/submission/JBB84731463/ICF247370-GMB253374-49hifgplkfj600000000/SIG-20250703_1108ba690.jpeg", "SIG-20250703_1108ba690.jpeg")</f>
        <v>SIG-20250703_1108ba690.jpeg</v>
      </c>
      <c r="AU37" s="1" t="s">
        <v>266</v>
      </c>
      <c r="AV37" s="3" t="str">
        <f>HYPERLINK("https://icf.clappia.com/app/GMB253374/submission/JBB84731463/ICF247370-GMB253374-jc6nde9a698c0000000/SIG-20250703_110915j863.jpeg", "SIG-20250703_110915j863.jpeg")</f>
        <v>SIG-20250703_110915j863.jpeg</v>
      </c>
      <c r="AW37" s="1" t="s">
        <v>267</v>
      </c>
      <c r="AX37" s="3" t="str">
        <f>HYPERLINK("https://icf.clappia.com/app/GMB253374/submission/JBB84731463/ICF247370-GMB253374-4n45apl8hi9200000000/SIG-20250703_11115c84a.jpeg", "SIG-20250703_11115c84a.jpeg")</f>
        <v>SIG-20250703_11115c84a.jpeg</v>
      </c>
      <c r="AY37" s="3" t="str">
        <f>HYPERLINK("https://www.google.com/maps/place/9.2959783%2C-12.2153083", "9.2959783,-12.2153083")</f>
        <v>9.2959783,-12.2153083</v>
      </c>
    </row>
    <row r="38" ht="15.75" customHeight="1">
      <c r="A38" s="1" t="s">
        <v>268</v>
      </c>
      <c r="B38" s="2" t="s">
        <v>47</v>
      </c>
      <c r="C38" s="1" t="s">
        <v>269</v>
      </c>
      <c r="D38" s="1" t="s">
        <v>270</v>
      </c>
      <c r="E38" s="1" t="s">
        <v>271</v>
      </c>
      <c r="F38" s="1" t="s">
        <v>51</v>
      </c>
      <c r="G38" s="1">
        <v>278.0</v>
      </c>
      <c r="H38" s="1" t="s">
        <v>52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53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54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56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57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f t="shared" si="1"/>
        <v>278</v>
      </c>
      <c r="AM38" s="1">
        <v>278.0</v>
      </c>
      <c r="AN38" s="1">
        <v>290.0</v>
      </c>
      <c r="AO38" s="1">
        <v>278.0</v>
      </c>
      <c r="AP38" s="2">
        <v>11.0</v>
      </c>
      <c r="AQ38" s="1">
        <v>0.0</v>
      </c>
      <c r="AR38" s="1">
        <v>0.0</v>
      </c>
      <c r="AS38" s="1" t="s">
        <v>272</v>
      </c>
      <c r="AT38" s="3" t="str">
        <f>HYPERLINK("https://icf.clappia.com/app/GMB253374/submission/TKH81609744/ICF247370-GMB253374-5ppn3h4omakm00000000/SIG-20250704_1139lhcia.jpeg", "SIG-20250704_1139lhcia.jpeg")</f>
        <v>SIG-20250704_1139lhcia.jpeg</v>
      </c>
      <c r="AU38" s="1" t="s">
        <v>273</v>
      </c>
      <c r="AV38" s="3" t="str">
        <f>HYPERLINK("https://icf.clappia.com/app/GMB253374/submission/TKH81609744/ICF247370-GMB253374-1bi85alf58jjm0000000/SIG-20250704_1141m10k0.jpeg", "SIG-20250704_1141m10k0.jpeg")</f>
        <v>SIG-20250704_1141m10k0.jpeg</v>
      </c>
      <c r="AW38" s="1" t="s">
        <v>274</v>
      </c>
      <c r="AX38" s="3" t="str">
        <f>HYPERLINK("https://icf.clappia.com/app/GMB253374/submission/TKH81609744/ICF247370-GMB253374-85kal91ficpa0000000/SIG-20250704_11401ac7i5.jpeg", "SIG-20250704_11401ac7i5.jpeg")</f>
        <v>SIG-20250704_11401ac7i5.jpeg</v>
      </c>
      <c r="AY38" s="3" t="str">
        <f>HYPERLINK("https://www.google.com/maps/place/8.9380083%2C-12.12789", "8.9380083,-12.12789")</f>
        <v>8.9380083,-12.12789</v>
      </c>
    </row>
    <row r="39" ht="15.75" customHeight="1">
      <c r="A39" s="1" t="s">
        <v>275</v>
      </c>
      <c r="B39" s="2" t="s">
        <v>47</v>
      </c>
      <c r="C39" s="1" t="s">
        <v>276</v>
      </c>
      <c r="D39" s="1" t="s">
        <v>277</v>
      </c>
      <c r="E39" s="1" t="s">
        <v>278</v>
      </c>
      <c r="F39" s="1" t="s">
        <v>51</v>
      </c>
      <c r="G39" s="1">
        <v>200.0</v>
      </c>
      <c r="H39" s="1" t="s">
        <v>52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53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54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56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57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f t="shared" si="1"/>
        <v>201</v>
      </c>
      <c r="AM39" s="1">
        <v>200.0</v>
      </c>
      <c r="AN39" s="1">
        <v>212.0</v>
      </c>
      <c r="AO39" s="1">
        <v>197.0</v>
      </c>
      <c r="AP39" s="2">
        <v>11.0</v>
      </c>
      <c r="AQ39" s="1">
        <v>3.0</v>
      </c>
      <c r="AR39" s="1">
        <v>3.0</v>
      </c>
      <c r="AS39" s="1" t="s">
        <v>279</v>
      </c>
      <c r="AT39" s="3" t="str">
        <f>HYPERLINK("https://icf.clappia.com/app/GMB253374/submission/LXY38717136/ICF247370-GMB253374-4djo6he5dg7e00000000/SIG-20250630_1523gd43i.jpeg", "SIG-20250630_1523gd43i.jpeg")</f>
        <v>SIG-20250630_1523gd43i.jpeg</v>
      </c>
      <c r="AU39" s="1" t="s">
        <v>280</v>
      </c>
      <c r="AV39" s="3" t="str">
        <f>HYPERLINK("https://icf.clappia.com/app/GMB253374/submission/LXY38717136/ICF247370-GMB253374-2f3n0758c2io00000000/SIG-20250630_152512canc.jpeg", "SIG-20250630_152512canc.jpeg")</f>
        <v>SIG-20250630_152512canc.jpeg</v>
      </c>
      <c r="AW39" s="1" t="s">
        <v>281</v>
      </c>
      <c r="AX39" s="3" t="str">
        <f>HYPERLINK("https://icf.clappia.com/app/GMB253374/submission/LXY38717136/ICF247370-GMB253374-5567lnk9hae800000000/SIG-20250630_1538obh0l.jpeg", "SIG-20250630_1538obh0l.jpeg")</f>
        <v>SIG-20250630_1538obh0l.jpeg</v>
      </c>
      <c r="AY39" s="3" t="str">
        <f>HYPERLINK("https://www.google.com/maps/place/7.6365533%2C-11.759465", "7.6365533,-11.759465")</f>
        <v>7.6365533,-11.759465</v>
      </c>
    </row>
    <row r="40" ht="15.75" customHeight="1">
      <c r="A40" s="1" t="s">
        <v>282</v>
      </c>
      <c r="B40" s="2" t="s">
        <v>47</v>
      </c>
      <c r="C40" s="1" t="s">
        <v>283</v>
      </c>
      <c r="D40" s="1" t="s">
        <v>284</v>
      </c>
      <c r="E40" s="1" t="s">
        <v>285</v>
      </c>
      <c r="F40" s="1" t="s">
        <v>51</v>
      </c>
      <c r="G40" s="1">
        <v>150.0</v>
      </c>
      <c r="H40" s="1" t="s">
        <v>52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53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54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56</v>
      </c>
      <c r="AA40" s="1" t="s">
        <v>55</v>
      </c>
      <c r="AB40" s="1" t="s">
        <v>55</v>
      </c>
      <c r="AC40" s="1" t="s">
        <v>55</v>
      </c>
      <c r="AD40" s="1" t="s">
        <v>55</v>
      </c>
      <c r="AE40" s="1" t="s">
        <v>55</v>
      </c>
      <c r="AF40" s="1" t="s">
        <v>57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55</v>
      </c>
      <c r="AL40" s="1">
        <f t="shared" si="1"/>
        <v>110</v>
      </c>
      <c r="AM40" s="1">
        <v>150.0</v>
      </c>
      <c r="AN40" s="1">
        <v>162.0</v>
      </c>
      <c r="AO40" s="1">
        <v>110.0</v>
      </c>
      <c r="AP40" s="2">
        <v>11.0</v>
      </c>
      <c r="AQ40" s="1">
        <v>40.0</v>
      </c>
      <c r="AR40" s="1">
        <v>40.0</v>
      </c>
      <c r="AS40" s="1" t="s">
        <v>286</v>
      </c>
      <c r="AT40" s="3" t="str">
        <f>HYPERLINK("https://icf.clappia.com/app/GMB253374/submission/QZF16254094/ICF247370-GMB253374-5lfa235ehooi00000000/SIG-20250703_1311plhcl.jpeg", "SIG-20250703_1311plhcl.jpeg")</f>
        <v>SIG-20250703_1311plhcl.jpeg</v>
      </c>
      <c r="AU40" s="1" t="s">
        <v>287</v>
      </c>
      <c r="AV40" s="3" t="str">
        <f>HYPERLINK("https://icf.clappia.com/app/GMB253374/submission/QZF16254094/ICF247370-GMB253374-230hja6e1hmmk0000000/SIG-20250703_1305mahj2.jpeg", "SIG-20250703_1305mahj2.jpeg")</f>
        <v>SIG-20250703_1305mahj2.jpeg</v>
      </c>
      <c r="AW40" s="1" t="s">
        <v>288</v>
      </c>
      <c r="AX40" s="3" t="str">
        <f>HYPERLINK("https://icf.clappia.com/app/GMB253374/submission/QZF16254094/ICF247370-GMB253374-3h0jkpiic3h800000000/SIG-20250703_131311502c.jpeg", "SIG-20250703_131311502c.jpeg")</f>
        <v>SIG-20250703_131311502c.jpeg</v>
      </c>
      <c r="AY40" s="3" t="str">
        <f>HYPERLINK("https://www.google.com/maps/place/7.8697033%2C-11.5760783", "7.8697033,-11.5760783")</f>
        <v>7.8697033,-11.5760783</v>
      </c>
    </row>
    <row r="41" ht="15.75" customHeight="1">
      <c r="A41" s="1" t="s">
        <v>289</v>
      </c>
      <c r="B41" s="2" t="s">
        <v>47</v>
      </c>
      <c r="C41" s="1" t="s">
        <v>290</v>
      </c>
      <c r="D41" s="1" t="s">
        <v>291</v>
      </c>
      <c r="E41" s="1" t="s">
        <v>292</v>
      </c>
      <c r="F41" s="1" t="s">
        <v>51</v>
      </c>
      <c r="G41" s="1">
        <v>300.0</v>
      </c>
      <c r="H41" s="1" t="s">
        <v>52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53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54</v>
      </c>
      <c r="U41" s="1" t="s">
        <v>55</v>
      </c>
      <c r="V41" s="1" t="s">
        <v>55</v>
      </c>
      <c r="W41" s="1" t="s">
        <v>55</v>
      </c>
      <c r="X41" s="1" t="s">
        <v>55</v>
      </c>
      <c r="Y41" s="1" t="s">
        <v>55</v>
      </c>
      <c r="Z41" s="1" t="s">
        <v>56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57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f t="shared" si="1"/>
        <v>157</v>
      </c>
      <c r="AM41" s="1">
        <v>300.0</v>
      </c>
      <c r="AN41" s="1">
        <v>312.0</v>
      </c>
      <c r="AO41" s="1">
        <v>135.0</v>
      </c>
      <c r="AP41" s="2">
        <v>11.0</v>
      </c>
      <c r="AQ41" s="1">
        <v>165.0</v>
      </c>
      <c r="AR41" s="1">
        <v>165.0</v>
      </c>
      <c r="AS41" s="1" t="s">
        <v>293</v>
      </c>
      <c r="AT41" s="3" t="str">
        <f>HYPERLINK("https://icf.clappia.com/app/GMB253374/submission/IBF12505389/ICF247370-GMB253374-5pjj7lmafoi400000000/SIG-20250630_1339105b4h.jpeg", "SIG-20250630_1339105b4h.jpeg")</f>
        <v>SIG-20250630_1339105b4h.jpeg</v>
      </c>
      <c r="AU41" s="1" t="s">
        <v>294</v>
      </c>
      <c r="AV41" s="3" t="str">
        <f>HYPERLINK("https://icf.clappia.com/app/GMB253374/submission/IBF12505389/ICF247370-GMB253374-369j4c0c94ia00000000/SIG-20250630_13451a105b.jpeg", "SIG-20250630_13451a105b.jpeg")</f>
        <v>SIG-20250630_13451a105b.jpeg</v>
      </c>
      <c r="AW41" s="1" t="s">
        <v>295</v>
      </c>
      <c r="AX41" s="3" t="str">
        <f>HYPERLINK("https://icf.clappia.com/app/GMB253374/submission/IBF12505389/ICF247370-GMB253374-226ld7dd4kong0000000/SIG-20250630_1346c8883.jpeg", "SIG-20250630_1346c8883.jpeg")</f>
        <v>SIG-20250630_1346c8883.jpeg</v>
      </c>
      <c r="AY41" s="3" t="str">
        <f>HYPERLINK("https://www.google.com/maps/place/7.879165%2C-11.5726383", "7.879165,-11.5726383")</f>
        <v>7.879165,-11.5726383</v>
      </c>
    </row>
    <row r="42" ht="15.75" customHeight="1">
      <c r="A42" s="1" t="s">
        <v>296</v>
      </c>
      <c r="B42" s="2" t="s">
        <v>47</v>
      </c>
      <c r="C42" s="1" t="s">
        <v>297</v>
      </c>
      <c r="D42" s="1" t="s">
        <v>298</v>
      </c>
      <c r="E42" s="1" t="s">
        <v>299</v>
      </c>
      <c r="F42" s="1" t="s">
        <v>51</v>
      </c>
      <c r="G42" s="1">
        <v>176.0</v>
      </c>
      <c r="H42" s="1" t="s">
        <v>52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53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54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56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57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f t="shared" si="1"/>
        <v>181</v>
      </c>
      <c r="AM42" s="1">
        <v>176.0</v>
      </c>
      <c r="AN42" s="1">
        <v>188.0</v>
      </c>
      <c r="AO42" s="1">
        <v>170.0</v>
      </c>
      <c r="AP42" s="2">
        <v>11.0</v>
      </c>
      <c r="AQ42" s="1">
        <v>6.0</v>
      </c>
      <c r="AR42" s="1">
        <v>6.0</v>
      </c>
      <c r="AS42" s="1" t="s">
        <v>300</v>
      </c>
      <c r="AT42" s="3" t="str">
        <f>HYPERLINK("https://icf.clappia.com/app/GMB253374/submission/MZK66008483/ICF247370-GMB253374-3mfp6fm623j000000000/SIG-20250701_1656m0kle.jpeg", "SIG-20250701_1656m0kle.jpeg")</f>
        <v>SIG-20250701_1656m0kle.jpeg</v>
      </c>
      <c r="AU42" s="1" t="s">
        <v>301</v>
      </c>
      <c r="AV42" s="3" t="str">
        <f>HYPERLINK("https://icf.clappia.com/app/GMB253374/submission/MZK66008483/ICF247370-GMB253374-5g2aeg5nbcgg00000000/SIG-20250701_16596djie.jpeg", "SIG-20250701_16596djie.jpeg")</f>
        <v>SIG-20250701_16596djie.jpeg</v>
      </c>
      <c r="AW42" s="1" t="s">
        <v>302</v>
      </c>
      <c r="AX42" s="3" t="str">
        <f>HYPERLINK("https://icf.clappia.com/app/GMB253374/submission/MZK66008483/ICF247370-GMB253374-5fa7mo2mm9ic00000000/SIG-20250701_1659186d22.jpeg", "SIG-20250701_1659186d22.jpeg")</f>
        <v>SIG-20250701_1659186d22.jpeg</v>
      </c>
      <c r="AY42" s="3" t="str">
        <f>HYPERLINK("https://www.google.com/maps/place/7.7698637%2C-11.7208856", "7.7698637,-11.7208856")</f>
        <v>7.7698637,-11.7208856</v>
      </c>
    </row>
    <row r="43" ht="15.75" customHeight="1">
      <c r="A43" s="1" t="s">
        <v>303</v>
      </c>
      <c r="B43" s="2" t="s">
        <v>47</v>
      </c>
      <c r="C43" s="1" t="s">
        <v>304</v>
      </c>
      <c r="D43" s="1" t="s">
        <v>305</v>
      </c>
      <c r="E43" s="1" t="s">
        <v>306</v>
      </c>
      <c r="F43" s="1" t="s">
        <v>51</v>
      </c>
      <c r="G43" s="1">
        <v>361.0</v>
      </c>
      <c r="H43" s="1" t="s">
        <v>52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53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54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56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57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f t="shared" si="1"/>
        <v>328</v>
      </c>
      <c r="AM43" s="1">
        <v>361.0</v>
      </c>
      <c r="AN43" s="1">
        <v>373.0</v>
      </c>
      <c r="AO43" s="1">
        <v>328.0</v>
      </c>
      <c r="AP43" s="2">
        <v>11.0</v>
      </c>
      <c r="AQ43" s="1">
        <v>33.0</v>
      </c>
      <c r="AR43" s="1">
        <v>33.0</v>
      </c>
      <c r="AS43" s="1" t="s">
        <v>307</v>
      </c>
      <c r="AT43" s="3" t="str">
        <f>HYPERLINK("https://icf.clappia.com/app/GMB253374/submission/KMJ13778990/ICF247370-GMB253374-5hb72m73gde600000000/SIG-20250704_14171d1c5.jpeg", "SIG-20250704_14171d1c5.jpeg")</f>
        <v>SIG-20250704_14171d1c5.jpeg</v>
      </c>
      <c r="AU43" s="1" t="s">
        <v>308</v>
      </c>
      <c r="AV43" s="3" t="str">
        <f>HYPERLINK("https://icf.clappia.com/app/GMB253374/submission/KMJ13778990/ICF247370-GMB253374-35kgln73fhko00000000/SIG-20250704_1418hbnp8.jpeg", "SIG-20250704_1418hbnp8.jpeg")</f>
        <v>SIG-20250704_1418hbnp8.jpeg</v>
      </c>
      <c r="AW43" s="1" t="s">
        <v>309</v>
      </c>
      <c r="AX43" s="3" t="str">
        <f>HYPERLINK("https://icf.clappia.com/app/GMB253374/submission/KMJ13778990/ICF247370-GMB253374-3hd79a64kg1600000000/SIG-20250704_1419in0m6.jpeg", "SIG-20250704_1419in0m6.jpeg")</f>
        <v>SIG-20250704_1419in0m6.jpeg</v>
      </c>
      <c r="AY43" s="3" t="str">
        <f>HYPERLINK("https://www.google.com/maps/place/7.8769682%2C-11.7821142", "7.8769682,-11.7821142")</f>
        <v>7.8769682,-11.7821142</v>
      </c>
    </row>
    <row r="44" ht="15.75" customHeight="1">
      <c r="A44" s="1" t="s">
        <v>310</v>
      </c>
      <c r="B44" s="2" t="s">
        <v>47</v>
      </c>
      <c r="C44" s="1" t="s">
        <v>311</v>
      </c>
      <c r="D44" s="1" t="s">
        <v>312</v>
      </c>
      <c r="E44" s="1" t="s">
        <v>313</v>
      </c>
      <c r="F44" s="1" t="s">
        <v>51</v>
      </c>
      <c r="G44" s="1">
        <v>302.0</v>
      </c>
      <c r="H44" s="1" t="s">
        <v>52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53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54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56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57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f t="shared" si="1"/>
        <v>184</v>
      </c>
      <c r="AM44" s="1">
        <v>302.0</v>
      </c>
      <c r="AN44" s="1">
        <v>314.0</v>
      </c>
      <c r="AO44" s="1">
        <v>93.0</v>
      </c>
      <c r="AP44" s="2">
        <v>11.0</v>
      </c>
      <c r="AQ44" s="1">
        <v>209.0</v>
      </c>
      <c r="AR44" s="1">
        <v>209.0</v>
      </c>
      <c r="AS44" s="1" t="s">
        <v>314</v>
      </c>
      <c r="AT44" s="3" t="str">
        <f>HYPERLINK("https://icf.clappia.com/app/GMB253374/submission/OPF88259693/ICF247370-GMB253374-2bc1b0l734c9g0000000/SIG-20250704_113415ko26.jpeg", "SIG-20250704_113415ko26.jpeg")</f>
        <v>SIG-20250704_113415ko26.jpeg</v>
      </c>
      <c r="AU44" s="1" t="s">
        <v>315</v>
      </c>
      <c r="AV44" s="3" t="str">
        <f>HYPERLINK("https://icf.clappia.com/app/GMB253374/submission/OPF88259693/ICF247370-GMB253374-17c5n4e6kpe1m0000000/SIG-20250704_1156llg08.jpeg", "SIG-20250704_1156llg08.jpeg")</f>
        <v>SIG-20250704_1156llg08.jpeg</v>
      </c>
      <c r="AW44" s="1" t="s">
        <v>316</v>
      </c>
      <c r="AX44" s="3" t="str">
        <f>HYPERLINK("https://icf.clappia.com/app/GMB253374/submission/OPF88259693/ICF247370-GMB253374-5d97hgnoa7oc00000000/SIG-20250704_11333a952.jpeg", "SIG-20250704_11333a952.jpeg")</f>
        <v>SIG-20250704_11333a952.jpeg</v>
      </c>
      <c r="AY44" s="3" t="str">
        <f>HYPERLINK("https://www.google.com/maps/place/7.8940167%2C-11.715825", "7.8940167,-11.715825")</f>
        <v>7.8940167,-11.715825</v>
      </c>
    </row>
    <row r="45" ht="15.75" customHeight="1">
      <c r="A45" s="1" t="s">
        <v>317</v>
      </c>
      <c r="B45" s="2" t="s">
        <v>47</v>
      </c>
      <c r="C45" s="1" t="s">
        <v>318</v>
      </c>
      <c r="D45" s="1" t="s">
        <v>319</v>
      </c>
      <c r="E45" s="1" t="s">
        <v>320</v>
      </c>
      <c r="F45" s="1" t="s">
        <v>51</v>
      </c>
      <c r="G45" s="1">
        <v>146.0</v>
      </c>
      <c r="H45" s="1" t="s">
        <v>52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53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54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56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57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f t="shared" si="1"/>
        <v>146</v>
      </c>
      <c r="AM45" s="1">
        <v>146.0</v>
      </c>
      <c r="AN45" s="1">
        <v>158.0</v>
      </c>
      <c r="AO45" s="1">
        <v>146.0</v>
      </c>
      <c r="AP45" s="2">
        <v>11.0</v>
      </c>
      <c r="AQ45" s="1">
        <v>0.0</v>
      </c>
      <c r="AR45" s="1">
        <v>0.0</v>
      </c>
      <c r="AS45" s="1" t="s">
        <v>321</v>
      </c>
      <c r="AT45" s="3" t="str">
        <f>HYPERLINK("https://icf.clappia.com/app/GMB253374/submission/MNX01049160/ICF247370-GMB253374-227nk6bgh5gik0000000/SIG-20250703_155114pibc.jpeg", "SIG-20250703_155114pibc.jpeg")</f>
        <v>SIG-20250703_155114pibc.jpeg</v>
      </c>
      <c r="AU45" s="1" t="s">
        <v>322</v>
      </c>
      <c r="AV45" s="3" t="str">
        <f>HYPERLINK("https://icf.clappia.com/app/GMB253374/submission/MNX01049160/ICF247370-GMB253374-4fn8pcja13cg00000000/SIG-20250703_15519kcd1.jpeg", "SIG-20250703_15519kcd1.jpeg")</f>
        <v>SIG-20250703_15519kcd1.jpeg</v>
      </c>
      <c r="AW45" s="1" t="s">
        <v>323</v>
      </c>
      <c r="AX45" s="3" t="str">
        <f>HYPERLINK("https://icf.clappia.com/app/GMB253374/submission/MNX01049160/ICF247370-GMB253374-6be5j050l6be00000000/SIG-20250703_155112gdoh.jpeg", "SIG-20250703_155112gdoh.jpeg")</f>
        <v>SIG-20250703_155112gdoh.jpeg</v>
      </c>
      <c r="AY45" s="3" t="str">
        <f>HYPERLINK("https://www.google.com/maps/place/7.8706856%2C-11.7087865", "7.8706856,-11.7087865")</f>
        <v>7.8706856,-11.7087865</v>
      </c>
    </row>
    <row r="46" ht="15.75" customHeight="1">
      <c r="A46" s="1" t="s">
        <v>324</v>
      </c>
      <c r="B46" s="2" t="s">
        <v>47</v>
      </c>
      <c r="C46" s="1" t="s">
        <v>325</v>
      </c>
      <c r="D46" s="1" t="s">
        <v>319</v>
      </c>
      <c r="E46" s="1" t="s">
        <v>326</v>
      </c>
      <c r="F46" s="1" t="s">
        <v>51</v>
      </c>
      <c r="G46" s="1">
        <v>164.0</v>
      </c>
      <c r="H46" s="1" t="s">
        <v>52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53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54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56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57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f t="shared" si="1"/>
        <v>164</v>
      </c>
      <c r="AM46" s="1">
        <v>164.0</v>
      </c>
      <c r="AN46" s="1">
        <v>176.0</v>
      </c>
      <c r="AO46" s="1">
        <v>87.0</v>
      </c>
      <c r="AP46" s="2">
        <v>11.0</v>
      </c>
      <c r="AQ46" s="1">
        <v>77.0</v>
      </c>
      <c r="AR46" s="1">
        <v>77.0</v>
      </c>
      <c r="AS46" s="1">
        <v>3.0</v>
      </c>
      <c r="AT46" s="3" t="str">
        <f>HYPERLINK("https://icf.clappia.com/app/GMB253374/submission/HIF62083761/ICF247370-GMB253374-h3nd1ff0ide00000000/SIG-20250701_11201736he.jpeg", "SIG-20250701_11201736he.jpeg")</f>
        <v>SIG-20250701_11201736he.jpeg</v>
      </c>
      <c r="AU46" s="1" t="s">
        <v>322</v>
      </c>
      <c r="AV46" s="3" t="str">
        <f>HYPERLINK("https://icf.clappia.com/app/GMB253374/submission/HIF62083761/ICF247370-GMB253374-4238642gncgg00000000/SIG-20250701_1120ip5l5.jpeg", "SIG-20250701_1120ip5l5.jpeg")</f>
        <v>SIG-20250701_1120ip5l5.jpeg</v>
      </c>
      <c r="AW46" s="1" t="s">
        <v>327</v>
      </c>
      <c r="AX46" s="3" t="str">
        <f>HYPERLINK("https://icf.clappia.com/app/GMB253374/submission/HIF62083761/ICF247370-GMB253374-2kp8d0olf7f200000000/SIG-20250701_1121jl8f7.jpeg", "SIG-20250701_1121jl8f7.jpeg")</f>
        <v>SIG-20250701_1121jl8f7.jpeg</v>
      </c>
      <c r="AY46" s="3" t="str">
        <f>HYPERLINK("https://www.google.com/maps/place/7.8654967%2C-11.7072867", "7.8654967,-11.7072867")</f>
        <v>7.8654967,-11.7072867</v>
      </c>
    </row>
    <row r="47" ht="15.75" customHeight="1">
      <c r="A47" s="1" t="s">
        <v>328</v>
      </c>
      <c r="B47" s="2" t="s">
        <v>47</v>
      </c>
      <c r="C47" s="1" t="s">
        <v>329</v>
      </c>
      <c r="D47" s="1" t="s">
        <v>330</v>
      </c>
      <c r="E47" s="1" t="s">
        <v>331</v>
      </c>
      <c r="F47" s="1" t="s">
        <v>51</v>
      </c>
      <c r="G47" s="1">
        <v>700.0</v>
      </c>
      <c r="H47" s="1" t="s">
        <v>52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53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54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56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57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f t="shared" si="1"/>
        <v>712</v>
      </c>
      <c r="AM47" s="1">
        <v>700.0</v>
      </c>
      <c r="AN47" s="1">
        <v>712.0</v>
      </c>
      <c r="AO47" s="1">
        <v>690.0</v>
      </c>
      <c r="AP47" s="2">
        <v>11.0</v>
      </c>
      <c r="AQ47" s="1">
        <v>10.0</v>
      </c>
      <c r="AR47" s="1">
        <v>10.0</v>
      </c>
      <c r="AS47" s="1" t="s">
        <v>332</v>
      </c>
      <c r="AT47" s="3" t="str">
        <f>HYPERLINK("https://icf.clappia.com/app/GMB253374/submission/YRL21892720/ICF247370-GMB253374-1nf9gi23mmngk0000000/SIG-20250703_1123m4ae6.jpeg", "SIG-20250703_1123m4ae6.jpeg")</f>
        <v>SIG-20250703_1123m4ae6.jpeg</v>
      </c>
      <c r="AU47" s="1" t="s">
        <v>333</v>
      </c>
      <c r="AV47" s="3" t="str">
        <f>HYPERLINK("https://icf.clappia.com/app/GMB253374/submission/YRL21892720/ICF247370-GMB253374-51af72l3oc4000000000/SIG-20250703_1124abenf.jpeg", "SIG-20250703_1124abenf.jpeg")</f>
        <v>SIG-20250703_1124abenf.jpeg</v>
      </c>
      <c r="AW47" s="1" t="s">
        <v>334</v>
      </c>
      <c r="AX47" s="3" t="str">
        <f>HYPERLINK("https://icf.clappia.com/app/GMB253374/submission/YRL21892720/ICF247370-GMB253374-3f5neh6j51c200000000/SIG-20250703_112930f89.jpeg", "SIG-20250703_112930f89.jpeg")</f>
        <v>SIG-20250703_112930f89.jpeg</v>
      </c>
      <c r="AY47" s="3" t="str">
        <f>HYPERLINK("https://www.google.com/maps/place/7.9318533%2C-11.7669683", "7.9318533,-11.7669683")</f>
        <v>7.9318533,-11.7669683</v>
      </c>
    </row>
    <row r="48" ht="15.75" customHeight="1">
      <c r="A48" s="1" t="s">
        <v>335</v>
      </c>
      <c r="B48" s="2" t="s">
        <v>47</v>
      </c>
      <c r="C48" s="1" t="s">
        <v>336</v>
      </c>
      <c r="D48" s="1" t="s">
        <v>330</v>
      </c>
      <c r="E48" s="1" t="s">
        <v>337</v>
      </c>
      <c r="F48" s="1" t="s">
        <v>72</v>
      </c>
      <c r="G48" s="1">
        <v>110.0</v>
      </c>
      <c r="H48" s="1" t="s">
        <v>52</v>
      </c>
      <c r="I48" s="1">
        <v>15.0</v>
      </c>
      <c r="J48" s="1" t="s">
        <v>55</v>
      </c>
      <c r="K48" s="1" t="s">
        <v>55</v>
      </c>
      <c r="L48" s="1">
        <v>15.0</v>
      </c>
      <c r="M48" s="1">
        <v>15.0</v>
      </c>
      <c r="N48" s="1" t="s">
        <v>53</v>
      </c>
      <c r="O48" s="1">
        <v>20.0</v>
      </c>
      <c r="P48" s="1" t="s">
        <v>55</v>
      </c>
      <c r="Q48" s="1" t="s">
        <v>55</v>
      </c>
      <c r="R48" s="1">
        <v>20.0</v>
      </c>
      <c r="S48" s="1">
        <v>20.0</v>
      </c>
      <c r="T48" s="1" t="s">
        <v>54</v>
      </c>
      <c r="U48" s="1">
        <v>25.0</v>
      </c>
      <c r="V48" s="1" t="s">
        <v>55</v>
      </c>
      <c r="W48" s="1" t="s">
        <v>55</v>
      </c>
      <c r="X48" s="1">
        <v>25.0</v>
      </c>
      <c r="Y48" s="1">
        <v>25.0</v>
      </c>
      <c r="Z48" s="1" t="s">
        <v>56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57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f t="shared" si="1"/>
        <v>60</v>
      </c>
      <c r="AM48" s="1">
        <v>110.0</v>
      </c>
      <c r="AN48" s="1">
        <v>122.0</v>
      </c>
      <c r="AO48" s="1">
        <v>60.0</v>
      </c>
      <c r="AP48" s="2">
        <v>11.0</v>
      </c>
      <c r="AQ48" s="1">
        <v>50.0</v>
      </c>
      <c r="AR48" s="1">
        <v>50.0</v>
      </c>
      <c r="AS48" s="1" t="s">
        <v>338</v>
      </c>
      <c r="AT48" s="3" t="str">
        <f>HYPERLINK("https://icf.clappia.com/app/GMB253374/submission/EII62830926/ICF247370-GMB253374-32id6flacl8000000000/SIG-20250630_110818foob.jpeg", "SIG-20250630_110818foob.jpeg")</f>
        <v>SIG-20250630_110818foob.jpeg</v>
      </c>
      <c r="AU48" s="1" t="s">
        <v>339</v>
      </c>
      <c r="AV48" s="3" t="str">
        <f>HYPERLINK("https://icf.clappia.com/app/GMB253374/submission/EII62830926/ICF247370-GMB253374-dhnn2mocng7i0000000/SIG-20250630_1111e9ipl.jpeg", "SIG-20250630_1111e9ipl.jpeg")</f>
        <v>SIG-20250630_1111e9ipl.jpeg</v>
      </c>
      <c r="AW48" s="1" t="s">
        <v>340</v>
      </c>
      <c r="AX48" s="3" t="str">
        <f>HYPERLINK("https://icf.clappia.com/app/GMB253374/submission/EII62830926/ICF247370-GMB253374-1p0c55chebbm00000000/SIG-20250630_1118162e96.jpeg", "SIG-20250630_1118162e96.jpeg")</f>
        <v>SIG-20250630_1118162e96.jpeg</v>
      </c>
      <c r="AY48" s="3" t="str">
        <f>HYPERLINK("https://www.google.com/maps/place/7.9366764%2C-11.7566055", "7.9366764,-11.7566055")</f>
        <v>7.9366764,-11.7566055</v>
      </c>
    </row>
    <row r="49" ht="15.75" customHeight="1">
      <c r="A49" s="1" t="s">
        <v>341</v>
      </c>
      <c r="B49" s="2" t="s">
        <v>47</v>
      </c>
      <c r="C49" s="1" t="s">
        <v>342</v>
      </c>
      <c r="D49" s="1" t="s">
        <v>343</v>
      </c>
      <c r="E49" s="1" t="s">
        <v>344</v>
      </c>
      <c r="F49" s="1" t="s">
        <v>72</v>
      </c>
      <c r="G49" s="1">
        <v>450.0</v>
      </c>
      <c r="H49" s="1" t="s">
        <v>52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53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54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56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57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f t="shared" si="1"/>
        <v>420</v>
      </c>
      <c r="AM49" s="1">
        <v>450.0</v>
      </c>
      <c r="AN49" s="1">
        <v>462.0</v>
      </c>
      <c r="AO49" s="1">
        <v>405.0</v>
      </c>
      <c r="AP49" s="2">
        <v>11.0</v>
      </c>
      <c r="AQ49" s="1">
        <v>45.0</v>
      </c>
      <c r="AR49" s="1">
        <v>45.0</v>
      </c>
      <c r="AS49" s="1" t="s">
        <v>345</v>
      </c>
      <c r="AT49" s="3" t="str">
        <f>HYPERLINK("https://icf.clappia.com/app/GMB253374/submission/UZO94350173/ICF247370-GMB253374-2gkn77717al000000000/SIG-20250702_14131112h3.jpeg", "SIG-20250702_14131112h3.jpeg")</f>
        <v>SIG-20250702_14131112h3.jpeg</v>
      </c>
      <c r="AU49" s="1" t="s">
        <v>346</v>
      </c>
      <c r="AV49" s="3" t="str">
        <f>HYPERLINK("https://icf.clappia.com/app/GMB253374/submission/UZO94350173/ICF247370-GMB253374-237bm86j0d7760000000/SIG-20250702_1411n657k.jpeg", "SIG-20250702_1411n657k.jpeg")</f>
        <v>SIG-20250702_1411n657k.jpeg</v>
      </c>
      <c r="AW49" s="1" t="s">
        <v>347</v>
      </c>
      <c r="AX49" s="3" t="str">
        <f>HYPERLINK("https://icf.clappia.com/app/GMB253374/submission/UZO94350173/ICF247370-GMB253374-35eb07jib8oa00000000/SIG-20250702_1725nbl70.jpeg", "SIG-20250702_1725nbl70.jpeg")</f>
        <v>SIG-20250702_1725nbl70.jpeg</v>
      </c>
      <c r="AY49" s="3" t="str">
        <f t="shared" ref="AY49:AY50" si="2">HYPERLINK("https://www.google.com/maps/place/7.9262533%2C-11.7722", "7.9262533,-11.7722")</f>
        <v>7.9262533,-11.7722</v>
      </c>
    </row>
    <row r="50" ht="15.75" customHeight="1">
      <c r="A50" s="1" t="s">
        <v>348</v>
      </c>
      <c r="B50" s="2" t="s">
        <v>47</v>
      </c>
      <c r="C50" s="1" t="s">
        <v>349</v>
      </c>
      <c r="D50" s="1" t="s">
        <v>343</v>
      </c>
      <c r="E50" s="1" t="s">
        <v>350</v>
      </c>
      <c r="F50" s="1" t="s">
        <v>72</v>
      </c>
      <c r="G50" s="1">
        <v>46.0</v>
      </c>
      <c r="H50" s="1" t="s">
        <v>52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53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54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56</v>
      </c>
      <c r="AA50" s="1">
        <v>16.0</v>
      </c>
      <c r="AB50" s="1">
        <v>8.0</v>
      </c>
      <c r="AC50" s="1" t="s">
        <v>55</v>
      </c>
      <c r="AD50" s="1">
        <v>8.0</v>
      </c>
      <c r="AE50" s="1" t="s">
        <v>55</v>
      </c>
      <c r="AF50" s="1" t="s">
        <v>57</v>
      </c>
      <c r="AG50" s="1">
        <v>2.0</v>
      </c>
      <c r="AH50" s="1">
        <v>1.0</v>
      </c>
      <c r="AI50" s="1" t="s">
        <v>55</v>
      </c>
      <c r="AJ50" s="1">
        <v>1.0</v>
      </c>
      <c r="AK50" s="1" t="s">
        <v>55</v>
      </c>
      <c r="AL50" s="1">
        <f t="shared" si="1"/>
        <v>80</v>
      </c>
      <c r="AM50" s="1">
        <v>46.0</v>
      </c>
      <c r="AN50" s="1">
        <v>58.0</v>
      </c>
      <c r="AO50" s="1">
        <v>46.0</v>
      </c>
      <c r="AP50" s="2">
        <v>11.0</v>
      </c>
      <c r="AQ50" s="1">
        <v>0.0</v>
      </c>
      <c r="AR50" s="1">
        <v>0.0</v>
      </c>
      <c r="AS50" s="1" t="s">
        <v>345</v>
      </c>
      <c r="AT50" s="3" t="str">
        <f>HYPERLINK("https://icf.clappia.com/app/GMB253374/submission/XNE81483721/ICF247370-GMB253374-49dklff2p6ie00000000/SIG-20250701_133419e98p.jpeg", "SIG-20250701_133419e98p.jpeg")</f>
        <v>SIG-20250701_133419e98p.jpeg</v>
      </c>
      <c r="AU50" s="1" t="s">
        <v>346</v>
      </c>
      <c r="AV50" s="3" t="str">
        <f>HYPERLINK("https://icf.clappia.com/app/GMB253374/submission/XNE81483721/ICF247370-GMB253374-5ne3a6n435kc00000000/SIG-20250701_1335169nf5.jpeg", "SIG-20250701_1335169nf5.jpeg")</f>
        <v>SIG-20250701_1335169nf5.jpeg</v>
      </c>
      <c r="AW50" s="1" t="s">
        <v>347</v>
      </c>
      <c r="AX50" s="3" t="str">
        <f>HYPERLINK("https://icf.clappia.com/app/GMB253374/submission/XNE81483721/ICF247370-GMB253374-1l6hoob715og80000000/SIG-20250701_1336f9i7f.jpeg", "SIG-20250701_1336f9i7f.jpeg")</f>
        <v>SIG-20250701_1336f9i7f.jpeg</v>
      </c>
      <c r="AY50" s="3" t="str">
        <f t="shared" si="2"/>
        <v>7.9262533,-11.7722</v>
      </c>
    </row>
    <row r="51" ht="15.75" customHeight="1">
      <c r="A51" s="1" t="s">
        <v>351</v>
      </c>
      <c r="B51" s="2" t="s">
        <v>47</v>
      </c>
      <c r="C51" s="1" t="s">
        <v>352</v>
      </c>
      <c r="D51" s="1" t="s">
        <v>343</v>
      </c>
      <c r="E51" s="1" t="s">
        <v>353</v>
      </c>
      <c r="F51" s="1" t="s">
        <v>72</v>
      </c>
      <c r="G51" s="1">
        <v>90.0</v>
      </c>
      <c r="H51" s="1" t="s">
        <v>52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53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54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56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57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f t="shared" si="1"/>
        <v>46</v>
      </c>
      <c r="AM51" s="1">
        <v>90.0</v>
      </c>
      <c r="AN51" s="1">
        <v>102.0</v>
      </c>
      <c r="AO51" s="1">
        <v>39.0</v>
      </c>
      <c r="AP51" s="2">
        <v>11.0</v>
      </c>
      <c r="AQ51" s="1">
        <v>51.0</v>
      </c>
      <c r="AR51" s="1">
        <v>51.0</v>
      </c>
      <c r="AS51" s="1" t="s">
        <v>354</v>
      </c>
      <c r="AT51" s="3" t="str">
        <f>HYPERLINK("https://icf.clappia.com/app/GMB253374/submission/TXN53586004/ICF247370-GMB253374-4abajjo8l40000000000/SIG-20250630_135252oi5.jpeg", "SIG-20250630_135252oi5.jpeg")</f>
        <v>SIG-20250630_135252oi5.jpeg</v>
      </c>
      <c r="AU51" s="1" t="s">
        <v>355</v>
      </c>
      <c r="AV51" s="3" t="str">
        <f>HYPERLINK("https://icf.clappia.com/app/GMB253374/submission/TXN53586004/ICF247370-GMB253374-1on8l4a76kchg0000000/SIG-20250630_13531ab809.jpeg", "SIG-20250630_13531ab809.jpeg")</f>
        <v>SIG-20250630_13531ab809.jpeg</v>
      </c>
      <c r="AW51" s="1" t="s">
        <v>347</v>
      </c>
      <c r="AX51" s="3" t="str">
        <f>HYPERLINK("https://icf.clappia.com/app/GMB253374/submission/TXN53586004/ICF247370-GMB253374-j6p1pj6cb3cc000000/SIG-20250630_1355h528o.jpeg", "SIG-20250630_1355h528o.jpeg")</f>
        <v>SIG-20250630_1355h528o.jpeg</v>
      </c>
      <c r="AY51" s="3" t="str">
        <f>HYPERLINK("https://www.google.com/maps/place/7.9351583%2C-11.7610817", "7.9351583,-11.7610817")</f>
        <v>7.9351583,-11.7610817</v>
      </c>
    </row>
    <row r="52" ht="15.75" customHeight="1">
      <c r="A52" s="1" t="s">
        <v>356</v>
      </c>
      <c r="B52" s="2" t="s">
        <v>47</v>
      </c>
      <c r="C52" s="1" t="s">
        <v>357</v>
      </c>
      <c r="D52" s="1" t="s">
        <v>358</v>
      </c>
      <c r="E52" s="1" t="s">
        <v>359</v>
      </c>
      <c r="F52" s="1" t="s">
        <v>51</v>
      </c>
      <c r="G52" s="1">
        <v>178.0</v>
      </c>
      <c r="H52" s="1" t="s">
        <v>52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53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54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56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57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f t="shared" si="1"/>
        <v>178</v>
      </c>
      <c r="AM52" s="1">
        <v>178.0</v>
      </c>
      <c r="AN52" s="1">
        <v>190.0</v>
      </c>
      <c r="AO52" s="1">
        <v>171.0</v>
      </c>
      <c r="AP52" s="2">
        <v>11.0</v>
      </c>
      <c r="AQ52" s="1">
        <v>7.0</v>
      </c>
      <c r="AR52" s="1">
        <v>7.0</v>
      </c>
      <c r="AS52" s="1" t="s">
        <v>360</v>
      </c>
      <c r="AT52" s="3" t="str">
        <f>HYPERLINK("https://icf.clappia.com/app/GMB253374/submission/FXG98586464/ICF247370-GMB253374-2c7df609hafk00000000/SIG-20250704_09189lj5k.jpeg", "SIG-20250704_09189lj5k.jpeg")</f>
        <v>SIG-20250704_09189lj5k.jpeg</v>
      </c>
      <c r="AU52" s="1" t="s">
        <v>361</v>
      </c>
      <c r="AV52" s="3" t="str">
        <f>HYPERLINK("https://icf.clappia.com/app/GMB253374/submission/FXG98586464/ICF247370-GMB253374-3nbo9i8j5a6o00000000/SIG-20250704_0919148be.jpeg", "SIG-20250704_0919148be.jpeg")</f>
        <v>SIG-20250704_0919148be.jpeg</v>
      </c>
      <c r="AW52" s="1" t="s">
        <v>362</v>
      </c>
      <c r="AX52" s="3" t="str">
        <f>HYPERLINK("https://icf.clappia.com/app/GMB253374/submission/FXG98586464/ICF247370-GMB253374-5l23jhceaf2e00000000/SIG-20250704_091995h8d.jpeg", "SIG-20250704_091995h8d.jpeg")</f>
        <v>SIG-20250704_091995h8d.jpeg</v>
      </c>
      <c r="AY52" s="3" t="str">
        <f>HYPERLINK("https://www.google.com/maps/place/7.6720117%2C-11.9739583", "7.6720117,-11.9739583")</f>
        <v>7.6720117,-11.9739583</v>
      </c>
    </row>
    <row r="53" ht="15.75" customHeight="1">
      <c r="A53" s="1" t="s">
        <v>363</v>
      </c>
      <c r="B53" s="2" t="s">
        <v>47</v>
      </c>
      <c r="C53" s="1" t="s">
        <v>364</v>
      </c>
      <c r="D53" s="1" t="s">
        <v>358</v>
      </c>
      <c r="E53" s="1" t="s">
        <v>365</v>
      </c>
      <c r="F53" s="1" t="s">
        <v>51</v>
      </c>
      <c r="G53" s="1">
        <v>55.0</v>
      </c>
      <c r="H53" s="1" t="s">
        <v>52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53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54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56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57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f t="shared" si="1"/>
        <v>55</v>
      </c>
      <c r="AM53" s="1">
        <v>55.0</v>
      </c>
      <c r="AN53" s="1">
        <v>67.0</v>
      </c>
      <c r="AO53" s="1">
        <v>55.0</v>
      </c>
      <c r="AP53" s="2">
        <v>11.0</v>
      </c>
      <c r="AQ53" s="1">
        <v>0.0</v>
      </c>
      <c r="AR53" s="1">
        <v>0.0</v>
      </c>
      <c r="AS53" s="1" t="s">
        <v>360</v>
      </c>
      <c r="AT53" s="3" t="str">
        <f>HYPERLINK("https://icf.clappia.com/app/GMB253374/submission/HHF03939359/ICF247370-GMB253374-m0n20jhk2ndi0000000/SIG-20250703_1017fp734.jpeg", "SIG-20250703_1017fp734.jpeg")</f>
        <v>SIG-20250703_1017fp734.jpeg</v>
      </c>
      <c r="AU53" s="1" t="s">
        <v>361</v>
      </c>
      <c r="AV53" s="3" t="str">
        <f>HYPERLINK("https://icf.clappia.com/app/GMB253374/submission/HHF03939359/ICF247370-GMB253374-56i9m4p2ikb200000000/SIG-20250703_1017iip13.jpeg", "SIG-20250703_1017iip13.jpeg")</f>
        <v>SIG-20250703_1017iip13.jpeg</v>
      </c>
      <c r="AW53" s="1" t="s">
        <v>362</v>
      </c>
      <c r="AX53" s="3" t="str">
        <f>HYPERLINK("https://icf.clappia.com/app/GMB253374/submission/HHF03939359/ICF247370-GMB253374-5pkcn53lhm7e00000000/SIG-20250703_10186iedc.jpeg", "SIG-20250703_10186iedc.jpeg")</f>
        <v>SIG-20250703_10186iedc.jpeg</v>
      </c>
      <c r="AY53" s="3" t="str">
        <f>HYPERLINK("https://www.google.com/maps/place/7.6841183%2C-12.0164067", "7.6841183,-12.0164067")</f>
        <v>7.6841183,-12.0164067</v>
      </c>
    </row>
    <row r="54" ht="15.75" customHeight="1">
      <c r="A54" s="1" t="s">
        <v>366</v>
      </c>
      <c r="B54" s="2" t="s">
        <v>47</v>
      </c>
      <c r="C54" s="1" t="s">
        <v>367</v>
      </c>
      <c r="D54" s="1" t="s">
        <v>358</v>
      </c>
      <c r="E54" s="1" t="s">
        <v>368</v>
      </c>
      <c r="F54" s="1" t="s">
        <v>51</v>
      </c>
      <c r="G54" s="1">
        <v>55.0</v>
      </c>
      <c r="H54" s="1" t="s">
        <v>52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53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54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56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57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f t="shared" si="1"/>
        <v>55</v>
      </c>
      <c r="AM54" s="1">
        <v>55.0</v>
      </c>
      <c r="AN54" s="1">
        <v>67.0</v>
      </c>
      <c r="AO54" s="1">
        <v>55.0</v>
      </c>
      <c r="AP54" s="2">
        <v>11.0</v>
      </c>
      <c r="AQ54" s="1">
        <v>0.0</v>
      </c>
      <c r="AR54" s="1">
        <v>0.0</v>
      </c>
      <c r="AS54" s="1" t="s">
        <v>360</v>
      </c>
      <c r="AT54" s="3" t="str">
        <f>HYPERLINK("https://icf.clappia.com/app/GMB253374/submission/ORA68502911/ICF247370-GMB253374-22of6m0ba2cek0000000/SIG-20250702_102117m7a8.jpeg", "SIG-20250702_102117m7a8.jpeg")</f>
        <v>SIG-20250702_102117m7a8.jpeg</v>
      </c>
      <c r="AU54" s="1" t="s">
        <v>369</v>
      </c>
      <c r="AV54" s="3" t="str">
        <f>HYPERLINK("https://icf.clappia.com/app/GMB253374/submission/ORA68502911/ICF247370-GMB253374-5igjjphjddpe00000000/SIG-20250702_1021o2751.jpeg", "SIG-20250702_1021o2751.jpeg")</f>
        <v>SIG-20250702_1021o2751.jpeg</v>
      </c>
      <c r="AW54" s="1" t="s">
        <v>362</v>
      </c>
      <c r="AX54" s="3" t="str">
        <f>HYPERLINK("https://icf.clappia.com/app/GMB253374/submission/ORA68502911/ICF247370-GMB253374-1kf4ccne40aja0000000/SIG-20250702_102211ghj9.jpeg", "SIG-20250702_102211ghj9.jpeg")</f>
        <v>SIG-20250702_102211ghj9.jpeg</v>
      </c>
      <c r="AY54" s="3" t="str">
        <f>HYPERLINK("https://www.google.com/maps/place/7.65028%2C-11.980885", "7.65028,-11.980885")</f>
        <v>7.65028,-11.980885</v>
      </c>
    </row>
    <row r="55" ht="15.75" customHeight="1">
      <c r="A55" s="1" t="s">
        <v>370</v>
      </c>
      <c r="B55" s="2" t="s">
        <v>47</v>
      </c>
      <c r="C55" s="1" t="s">
        <v>371</v>
      </c>
      <c r="D55" s="1" t="s">
        <v>358</v>
      </c>
      <c r="E55" s="1" t="s">
        <v>372</v>
      </c>
      <c r="F55" s="1" t="s">
        <v>51</v>
      </c>
      <c r="G55" s="1">
        <v>101.0</v>
      </c>
      <c r="H55" s="1" t="s">
        <v>52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53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54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56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57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f t="shared" si="1"/>
        <v>101</v>
      </c>
      <c r="AM55" s="1">
        <v>101.0</v>
      </c>
      <c r="AN55" s="1">
        <v>113.0</v>
      </c>
      <c r="AO55" s="1">
        <v>97.0</v>
      </c>
      <c r="AP55" s="2">
        <v>11.0</v>
      </c>
      <c r="AQ55" s="1">
        <v>4.0</v>
      </c>
      <c r="AR55" s="1">
        <v>4.0</v>
      </c>
      <c r="AS55" s="1" t="s">
        <v>360</v>
      </c>
      <c r="AT55" s="3" t="str">
        <f>HYPERLINK("https://icf.clappia.com/app/GMB253374/submission/VSU40392426/ICF247370-GMB253374-4np3m39mggog00000000/SIG-20250701_121118l5gg.jpeg", "SIG-20250701_121118l5gg.jpeg")</f>
        <v>SIG-20250701_121118l5gg.jpeg</v>
      </c>
      <c r="AU55" s="1" t="s">
        <v>373</v>
      </c>
      <c r="AV55" s="3" t="str">
        <f>HYPERLINK("https://icf.clappia.com/app/GMB253374/submission/VSU40392426/ICF247370-GMB253374-5ejmobja7gk000000000/SIG-20250701_1211o37b7.jpeg", "SIG-20250701_1211o37b7.jpeg")</f>
        <v>SIG-20250701_1211o37b7.jpeg</v>
      </c>
      <c r="AW55" s="1" t="s">
        <v>362</v>
      </c>
      <c r="AX55" s="3" t="str">
        <f>HYPERLINK("https://icf.clappia.com/app/GMB253374/submission/VSU40392426/ICF247370-GMB253374-21k8adp63b0ei0000000/SIG-20250701_1212cdn6e.jpeg", "SIG-20250701_1212cdn6e.jpeg")</f>
        <v>SIG-20250701_1212cdn6e.jpeg</v>
      </c>
      <c r="AY55" s="3" t="str">
        <f>HYPERLINK("https://www.google.com/maps/place/7.7008183%2C-11.9911933", "7.7008183,-11.9911933")</f>
        <v>7.7008183,-11.9911933</v>
      </c>
    </row>
    <row r="56" ht="15.75" customHeight="1">
      <c r="A56" s="1" t="s">
        <v>374</v>
      </c>
      <c r="B56" s="2" t="s">
        <v>47</v>
      </c>
      <c r="C56" s="1" t="s">
        <v>375</v>
      </c>
      <c r="D56" s="1" t="s">
        <v>376</v>
      </c>
      <c r="E56" s="1" t="s">
        <v>377</v>
      </c>
      <c r="F56" s="1" t="s">
        <v>51</v>
      </c>
      <c r="G56" s="1">
        <v>216.0</v>
      </c>
      <c r="H56" s="1" t="s">
        <v>52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53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54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56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57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f t="shared" si="1"/>
        <v>216</v>
      </c>
      <c r="AM56" s="1">
        <v>216.0</v>
      </c>
      <c r="AN56" s="1">
        <v>228.0</v>
      </c>
      <c r="AO56" s="1">
        <v>216.0</v>
      </c>
      <c r="AP56" s="2">
        <v>11.0</v>
      </c>
      <c r="AQ56" s="1">
        <v>0.0</v>
      </c>
      <c r="AR56" s="1">
        <v>0.0</v>
      </c>
      <c r="AS56" s="1" t="s">
        <v>378</v>
      </c>
      <c r="AT56" s="3" t="str">
        <f>HYPERLINK("https://icf.clappia.com/app/GMB253374/submission/UUR34985280/ICF247370-GMB253374-4nh07bi68li200000000/SIG-20250702_102310h9ba.jpeg", "SIG-20250702_102310h9ba.jpeg")</f>
        <v>SIG-20250702_102310h9ba.jpeg</v>
      </c>
      <c r="AU56" s="1" t="s">
        <v>379</v>
      </c>
      <c r="AV56" s="3" t="str">
        <f>HYPERLINK("https://icf.clappia.com/app/GMB253374/submission/UUR34985280/ICF247370-GMB253374-33l24e88i0n800000000/SIG-20250702_102474g4p.jpeg", "SIG-20250702_102474g4p.jpeg")</f>
        <v>SIG-20250702_102474g4p.jpeg</v>
      </c>
      <c r="AW56" s="1" t="s">
        <v>55</v>
      </c>
      <c r="AX56" s="3" t="str">
        <f>HYPERLINK("https://icf.clappia.com/app/GMB253374/submission/UUR34985280/ICF247370-GMB253374-22p6p2dk60e6c0000000/SIG-20250702_10346ne75.jpeg", "SIG-20250702_10346ne75.jpeg")</f>
        <v>SIG-20250702_10346ne75.jpeg</v>
      </c>
      <c r="AY56" s="3" t="str">
        <f>HYPERLINK("https://www.google.com/maps/place/8.0167433%2C-11.7833083", "8.0167433,-11.7833083")</f>
        <v>8.0167433,-11.7833083</v>
      </c>
    </row>
    <row r="57" ht="15.75" customHeight="1">
      <c r="A57" s="1" t="s">
        <v>380</v>
      </c>
      <c r="B57" s="2" t="s">
        <v>47</v>
      </c>
      <c r="C57" s="1" t="s">
        <v>381</v>
      </c>
      <c r="D57" s="1" t="s">
        <v>376</v>
      </c>
      <c r="E57" s="1" t="s">
        <v>382</v>
      </c>
      <c r="F57" s="1" t="s">
        <v>51</v>
      </c>
      <c r="G57" s="1">
        <v>55.0</v>
      </c>
      <c r="H57" s="1" t="s">
        <v>52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53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54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56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57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f t="shared" si="1"/>
        <v>55</v>
      </c>
      <c r="AM57" s="1">
        <v>55.0</v>
      </c>
      <c r="AN57" s="1">
        <v>67.0</v>
      </c>
      <c r="AO57" s="1">
        <v>55.0</v>
      </c>
      <c r="AP57" s="2">
        <v>11.0</v>
      </c>
      <c r="AQ57" s="1">
        <v>0.0</v>
      </c>
      <c r="AR57" s="1">
        <v>0.0</v>
      </c>
      <c r="AS57" s="1" t="s">
        <v>383</v>
      </c>
      <c r="AT57" s="3" t="str">
        <f>HYPERLINK("https://icf.clappia.com/app/GMB253374/submission/ZMO87225262/ICF247370-GMB253374-2j70jb9pbef000000000/SIG-20250701_125213emhm.jpeg", "SIG-20250701_125213emhm.jpeg")</f>
        <v>SIG-20250701_125213emhm.jpeg</v>
      </c>
      <c r="AU57" s="1" t="s">
        <v>55</v>
      </c>
      <c r="AV57" s="3" t="str">
        <f>HYPERLINK("https://icf.clappia.com/app/GMB253374/submission/ZMO87225262/ICF247370-GMB253374-452ihih19m7g00000000/SIG-20250701_125218hja.jpeg", "SIG-20250701_125218hja.jpeg")</f>
        <v>SIG-20250701_125218hja.jpeg</v>
      </c>
      <c r="AW57" s="1" t="s">
        <v>55</v>
      </c>
      <c r="AX57" s="3" t="str">
        <f>HYPERLINK("https://icf.clappia.com/app/GMB253374/submission/ZMO87225262/ICF247370-GMB253374-1bdjpmoj3kh2o0000000/SIG-20250701_1252b64ab.jpeg", "SIG-20250701_1252b64ab.jpeg")</f>
        <v>SIG-20250701_1252b64ab.jpeg</v>
      </c>
      <c r="AY57" s="3" t="str">
        <f>HYPERLINK("https://www.google.com/maps/place/8.030565%2C-11.7861167", "8.030565,-11.7861167")</f>
        <v>8.030565,-11.7861167</v>
      </c>
    </row>
    <row r="58" ht="15.75" customHeight="1">
      <c r="A58" s="1" t="s">
        <v>384</v>
      </c>
      <c r="B58" s="2" t="s">
        <v>47</v>
      </c>
      <c r="C58" s="1" t="s">
        <v>385</v>
      </c>
      <c r="D58" s="1" t="s">
        <v>386</v>
      </c>
      <c r="E58" s="1" t="s">
        <v>387</v>
      </c>
      <c r="F58" s="1" t="s">
        <v>51</v>
      </c>
      <c r="G58" s="1">
        <v>74.0</v>
      </c>
      <c r="H58" s="1" t="s">
        <v>52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53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54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56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57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f t="shared" si="1"/>
        <v>85</v>
      </c>
      <c r="AM58" s="1">
        <v>74.0</v>
      </c>
      <c r="AN58" s="1">
        <v>86.0</v>
      </c>
      <c r="AO58" s="1">
        <v>74.0</v>
      </c>
      <c r="AP58" s="2">
        <v>11.0</v>
      </c>
      <c r="AQ58" s="1">
        <v>0.0</v>
      </c>
      <c r="AR58" s="1">
        <v>0.0</v>
      </c>
      <c r="AS58" s="1" t="s">
        <v>388</v>
      </c>
      <c r="AT58" s="3" t="str">
        <f>HYPERLINK("https://icf.clappia.com/app/GMB253374/submission/YWF75793136/ICF247370-GMB253374-5j87280432ce00000000/SIG-20250702_13291524eh.jpeg", "SIG-20250702_13291524eh.jpeg")</f>
        <v>SIG-20250702_13291524eh.jpeg</v>
      </c>
      <c r="AU58" s="1" t="s">
        <v>389</v>
      </c>
      <c r="AV58" s="3" t="str">
        <f>HYPERLINK("https://icf.clappia.com/app/GMB253374/submission/YWF75793136/ICF247370-GMB253374-56fbcc8gm68o00000000/SIG-20250702_1330h6gpb.jpeg", "SIG-20250702_1330h6gpb.jpeg")</f>
        <v>SIG-20250702_1330h6gpb.jpeg</v>
      </c>
      <c r="AW58" s="1" t="s">
        <v>390</v>
      </c>
      <c r="AX58" s="3" t="str">
        <f>HYPERLINK("https://icf.clappia.com/app/GMB253374/submission/YWF75793136/ICF247370-GMB253374-2o90acgdlb1200000000/SIG-20250702_1330n82k4.jpeg", "SIG-20250702_1330n82k4.jpeg")</f>
        <v>SIG-20250702_1330n82k4.jpeg</v>
      </c>
      <c r="AY58" s="3" t="str">
        <f>HYPERLINK("https://www.google.com/maps/place/7.9835535%2C-11.7255121", "7.9835535,-11.7255121")</f>
        <v>7.9835535,-11.7255121</v>
      </c>
    </row>
    <row r="59" ht="15.75" customHeight="1">
      <c r="A59" s="1" t="s">
        <v>391</v>
      </c>
      <c r="B59" s="2" t="s">
        <v>47</v>
      </c>
      <c r="C59" s="1" t="s">
        <v>392</v>
      </c>
      <c r="D59" s="1" t="s">
        <v>392</v>
      </c>
      <c r="E59" s="1" t="s">
        <v>393</v>
      </c>
      <c r="F59" s="1" t="s">
        <v>51</v>
      </c>
      <c r="G59" s="1">
        <v>153.0</v>
      </c>
      <c r="H59" s="1" t="s">
        <v>52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53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54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56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57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f t="shared" si="1"/>
        <v>153</v>
      </c>
      <c r="AM59" s="1">
        <v>153.0</v>
      </c>
      <c r="AN59" s="1">
        <v>165.0</v>
      </c>
      <c r="AO59" s="1">
        <v>153.0</v>
      </c>
      <c r="AP59" s="2">
        <v>11.0</v>
      </c>
      <c r="AQ59" s="1">
        <v>0.0</v>
      </c>
      <c r="AR59" s="1">
        <v>0.0</v>
      </c>
      <c r="AS59" s="1" t="s">
        <v>394</v>
      </c>
      <c r="AT59" s="3" t="str">
        <f>HYPERLINK("https://icf.clappia.com/app/GMB253374/submission/QNZ23568558/ICF247370-GMB253374-22oe1l5f8ll040000000/SIG-20250707_1540ado5k.jpeg", "SIG-20250707_1540ado5k.jpeg")</f>
        <v>SIG-20250707_1540ado5k.jpeg</v>
      </c>
      <c r="AU59" s="1" t="s">
        <v>395</v>
      </c>
      <c r="AV59" s="3" t="str">
        <f>HYPERLINK("https://icf.clappia.com/app/GMB253374/submission/QNZ23568558/ICF247370-GMB253374-h9o40i76ccde0000000/SIG-20250707_1540m2c3k.jpeg", "SIG-20250707_1540m2c3k.jpeg")</f>
        <v>SIG-20250707_1540m2c3k.jpeg</v>
      </c>
      <c r="AW59" s="1" t="s">
        <v>396</v>
      </c>
      <c r="AX59" s="3" t="str">
        <f>HYPERLINK("https://icf.clappia.com/app/GMB253374/submission/QNZ23568558/ICF247370-GMB253374-5ch79ail8oio00000000/SIG-20250707_15396pd4k.jpeg", "SIG-20250707_15396pd4k.jpeg")</f>
        <v>SIG-20250707_15396pd4k.jpeg</v>
      </c>
      <c r="AY59" s="3" t="str">
        <f>HYPERLINK("https://www.google.com/maps/place/8.8908594%2C-12.0624374", "8.8908594,-12.0624374")</f>
        <v>8.8908594,-12.0624374</v>
      </c>
    </row>
    <row r="60" ht="15.75" customHeight="1">
      <c r="A60" s="1" t="s">
        <v>397</v>
      </c>
      <c r="B60" s="2" t="s">
        <v>47</v>
      </c>
      <c r="C60" s="1" t="s">
        <v>398</v>
      </c>
      <c r="D60" s="1" t="s">
        <v>392</v>
      </c>
      <c r="E60" s="1" t="s">
        <v>399</v>
      </c>
      <c r="F60" s="1" t="s">
        <v>72</v>
      </c>
      <c r="G60" s="1">
        <v>324.0</v>
      </c>
      <c r="H60" s="1" t="s">
        <v>52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53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54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56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57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f t="shared" si="1"/>
        <v>220</v>
      </c>
      <c r="AM60" s="1">
        <v>324.0</v>
      </c>
      <c r="AN60" s="1">
        <v>336.0</v>
      </c>
      <c r="AO60" s="1">
        <v>220.0</v>
      </c>
      <c r="AP60" s="2">
        <v>11.0</v>
      </c>
      <c r="AQ60" s="1">
        <v>104.0</v>
      </c>
      <c r="AR60" s="1">
        <v>104.0</v>
      </c>
      <c r="AS60" s="1" t="s">
        <v>400</v>
      </c>
      <c r="AT60" s="3" t="str">
        <f>HYPERLINK("https://icf.clappia.com/app/GMB253374/submission/UEP46014656/ICF247370-GMB253374-617d0jcdbi3a00000000/SIG-20250704_1118103234.jpeg", "SIG-20250704_1118103234.jpeg")</f>
        <v>SIG-20250704_1118103234.jpeg</v>
      </c>
      <c r="AU60" s="1" t="s">
        <v>401</v>
      </c>
      <c r="AV60" s="3" t="str">
        <f>HYPERLINK("https://icf.clappia.com/app/GMB253374/submission/UEP46014656/ICF247370-GMB253374-1hke513kl6ic00000000/SIG-20250704_111838np2.jpeg", "SIG-20250704_111838np2.jpeg")</f>
        <v>SIG-20250704_111838np2.jpeg</v>
      </c>
      <c r="AW60" s="1" t="s">
        <v>402</v>
      </c>
      <c r="AX60" s="3" t="str">
        <f>HYPERLINK("https://icf.clappia.com/app/GMB253374/submission/UEP46014656/ICF247370-GMB253374-me7a1d00gf4c0000000/SIG-20250704_1119egga8.jpeg", "SIG-20250704_1119egga8.jpeg")</f>
        <v>SIG-20250704_1119egga8.jpeg</v>
      </c>
      <c r="AY60" s="3" t="str">
        <f>HYPERLINK("https://www.google.com/maps/place/7.982275%2C-11.74377", "7.982275,-11.74377")</f>
        <v>7.982275,-11.74377</v>
      </c>
    </row>
    <row r="61" ht="15.75" customHeight="1">
      <c r="A61" s="1" t="s">
        <v>403</v>
      </c>
      <c r="B61" s="2" t="s">
        <v>47</v>
      </c>
      <c r="C61" s="1" t="s">
        <v>404</v>
      </c>
      <c r="D61" s="1" t="s">
        <v>405</v>
      </c>
      <c r="E61" s="1" t="s">
        <v>406</v>
      </c>
      <c r="F61" s="1" t="s">
        <v>51</v>
      </c>
      <c r="G61" s="1">
        <v>354.0</v>
      </c>
      <c r="H61" s="1" t="s">
        <v>52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53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54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56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57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f t="shared" si="1"/>
        <v>356</v>
      </c>
      <c r="AM61" s="1">
        <v>354.0</v>
      </c>
      <c r="AN61" s="1">
        <v>366.0</v>
      </c>
      <c r="AO61" s="1">
        <v>349.0</v>
      </c>
      <c r="AP61" s="2">
        <v>11.0</v>
      </c>
      <c r="AQ61" s="1">
        <v>5.0</v>
      </c>
      <c r="AR61" s="1">
        <v>5.0</v>
      </c>
      <c r="AS61" s="1" t="s">
        <v>400</v>
      </c>
      <c r="AT61" s="3" t="str">
        <f>HYPERLINK("https://icf.clappia.com/app/GMB253374/submission/XOM04249188/ICF247370-GMB253374-18bkkiom1ol920000000/SIG-20250703_115113emc3.jpeg", "SIG-20250703_115113emc3.jpeg")</f>
        <v>SIG-20250703_115113emc3.jpeg</v>
      </c>
      <c r="AU61" s="1" t="s">
        <v>401</v>
      </c>
      <c r="AV61" s="3" t="str">
        <f>HYPERLINK("https://icf.clappia.com/app/GMB253374/submission/XOM04249188/ICF247370-GMB253374-4cngk9k11a3e00000000/SIG-20250703_1151io79b.jpeg", "SIG-20250703_1151io79b.jpeg")</f>
        <v>SIG-20250703_1151io79b.jpeg</v>
      </c>
      <c r="AW61" s="1" t="s">
        <v>402</v>
      </c>
      <c r="AX61" s="3" t="str">
        <f>HYPERLINK("https://icf.clappia.com/app/GMB253374/submission/XOM04249188/ICF247370-GMB253374-1ngag000fn0lm0000000/SIG-20250703_1152ad662.jpeg", "SIG-20250703_1152ad662.jpeg")</f>
        <v>SIG-20250703_1152ad662.jpeg</v>
      </c>
      <c r="AY61" s="3" t="str">
        <f>HYPERLINK("https://www.google.com/maps/place/7.9897716%2C-11.7435315", "7.9897716,-11.7435315")</f>
        <v>7.9897716,-11.7435315</v>
      </c>
    </row>
    <row r="62" ht="15.75" customHeight="1">
      <c r="A62" s="1" t="s">
        <v>407</v>
      </c>
      <c r="B62" s="2" t="s">
        <v>47</v>
      </c>
      <c r="C62" s="1" t="s">
        <v>408</v>
      </c>
      <c r="D62" s="1" t="s">
        <v>405</v>
      </c>
      <c r="E62" s="1" t="s">
        <v>409</v>
      </c>
      <c r="F62" s="1" t="s">
        <v>51</v>
      </c>
      <c r="G62" s="1">
        <v>624.0</v>
      </c>
      <c r="H62" s="1" t="s">
        <v>52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53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54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56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57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f t="shared" si="1"/>
        <v>251</v>
      </c>
      <c r="AM62" s="1">
        <v>624.0</v>
      </c>
      <c r="AN62" s="1">
        <v>636.0</v>
      </c>
      <c r="AO62" s="1">
        <v>228.0</v>
      </c>
      <c r="AP62" s="2">
        <v>11.0</v>
      </c>
      <c r="AQ62" s="1">
        <v>396.0</v>
      </c>
      <c r="AR62" s="1">
        <v>396.0</v>
      </c>
      <c r="AS62" s="1" t="s">
        <v>400</v>
      </c>
      <c r="AT62" s="3" t="str">
        <f>HYPERLINK("https://icf.clappia.com/app/GMB253374/submission/MCA98531057/ICF247370-GMB253374-15g3020d6d5d20000000/SIG-20250702_1402n824b.jpeg", "SIG-20250702_1402n824b.jpeg")</f>
        <v>SIG-20250702_1402n824b.jpeg</v>
      </c>
      <c r="AU62" s="1" t="s">
        <v>401</v>
      </c>
      <c r="AV62" s="3" t="str">
        <f>HYPERLINK("https://icf.clappia.com/app/GMB253374/submission/MCA98531057/ICF247370-GMB253374-2a923a4lgln4k0000000/SIG-20250702_1403i8ln2.jpeg", "SIG-20250702_1403i8ln2.jpeg")</f>
        <v>SIG-20250702_1403i8ln2.jpeg</v>
      </c>
      <c r="AW62" s="1" t="s">
        <v>402</v>
      </c>
      <c r="AX62" s="3" t="str">
        <f>HYPERLINK("https://icf.clappia.com/app/GMB253374/submission/MCA98531057/ICF247370-GMB253374-3elh65e15e4400000000/SIG-20250702_140313k4k0.jpeg", "SIG-20250702_140313k4k0.jpeg")</f>
        <v>SIG-20250702_140313k4k0.jpeg</v>
      </c>
      <c r="AY62" s="3" t="str">
        <f>HYPERLINK("https://www.google.com/maps/place/7.989771%2C-11.743533", "7.989771,-11.743533")</f>
        <v>7.989771,-11.743533</v>
      </c>
    </row>
    <row r="63" ht="15.75" customHeight="1">
      <c r="A63" s="1" t="s">
        <v>410</v>
      </c>
      <c r="B63" s="2" t="s">
        <v>47</v>
      </c>
      <c r="C63" s="1" t="s">
        <v>411</v>
      </c>
      <c r="D63" s="1" t="s">
        <v>405</v>
      </c>
      <c r="E63" s="1" t="s">
        <v>412</v>
      </c>
      <c r="F63" s="1" t="s">
        <v>51</v>
      </c>
      <c r="G63" s="1">
        <v>103.0</v>
      </c>
      <c r="H63" s="1" t="s">
        <v>52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53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54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56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57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f t="shared" si="1"/>
        <v>496</v>
      </c>
      <c r="AM63" s="1">
        <v>103.0</v>
      </c>
      <c r="AN63" s="1">
        <v>115.0</v>
      </c>
      <c r="AO63" s="1">
        <v>103.0</v>
      </c>
      <c r="AP63" s="2">
        <v>11.0</v>
      </c>
      <c r="AQ63" s="1">
        <v>0.0</v>
      </c>
      <c r="AR63" s="1">
        <v>0.0</v>
      </c>
      <c r="AS63" s="1" t="s">
        <v>400</v>
      </c>
      <c r="AT63" s="3" t="str">
        <f>HYPERLINK("https://icf.clappia.com/app/GMB253374/submission/NCX45845402/ICF247370-GMB253374-2fh8inoil2oo00000000/SIG-20250701_1326c2d9j.jpeg", "SIG-20250701_1326c2d9j.jpeg")</f>
        <v>SIG-20250701_1326c2d9j.jpeg</v>
      </c>
      <c r="AU63" s="1" t="s">
        <v>401</v>
      </c>
      <c r="AV63" s="3" t="str">
        <f>HYPERLINK("https://icf.clappia.com/app/GMB253374/submission/NCX45845402/ICF247370-GMB253374-pno0bbnahjeg0000000/SIG-20250701_1326a6148.jpeg", "SIG-20250701_1326a6148.jpeg")</f>
        <v>SIG-20250701_1326a6148.jpeg</v>
      </c>
      <c r="AW63" s="1" t="s">
        <v>402</v>
      </c>
      <c r="AX63" s="3" t="str">
        <f>HYPERLINK("https://icf.clappia.com/app/GMB253374/submission/NCX45845402/ICF247370-GMB253374-5g3pfchh7j6g0000000/SIG-20250701_1327kg949.jpeg", "SIG-20250701_1327kg949.jpeg")</f>
        <v>SIG-20250701_1327kg949.jpeg</v>
      </c>
      <c r="AY63" s="3" t="str">
        <f>HYPERLINK("https://www.google.com/maps/place/7.9897734%2C-11.7435305", "7.9897734,-11.7435305")</f>
        <v>7.9897734,-11.7435305</v>
      </c>
    </row>
    <row r="64" ht="15.75" customHeight="1">
      <c r="A64" s="1" t="s">
        <v>413</v>
      </c>
      <c r="B64" s="2" t="s">
        <v>47</v>
      </c>
      <c r="C64" s="1" t="s">
        <v>414</v>
      </c>
      <c r="D64" s="1" t="s">
        <v>414</v>
      </c>
      <c r="E64" s="1" t="s">
        <v>415</v>
      </c>
      <c r="F64" s="1" t="s">
        <v>51</v>
      </c>
      <c r="G64" s="1">
        <v>300.0</v>
      </c>
      <c r="H64" s="1" t="s">
        <v>52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53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54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56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57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f t="shared" si="1"/>
        <v>300</v>
      </c>
      <c r="AM64" s="1">
        <v>300.0</v>
      </c>
      <c r="AN64" s="1">
        <v>312.0</v>
      </c>
      <c r="AO64" s="1">
        <v>300.0</v>
      </c>
      <c r="AP64" s="2">
        <v>11.0</v>
      </c>
      <c r="AQ64" s="1">
        <v>0.0</v>
      </c>
      <c r="AR64" s="1">
        <v>0.0</v>
      </c>
      <c r="AS64" s="1" t="s">
        <v>416</v>
      </c>
      <c r="AT64" s="3" t="str">
        <f>HYPERLINK("https://icf.clappia.com/app/GMB253374/submission/XDT47174302/ICF247370-GMB253374-3p7lflnn929o00000000/SIG-20250707_15353c753.jpeg", "SIG-20250707_15353c753.jpeg")</f>
        <v>SIG-20250707_15353c753.jpeg</v>
      </c>
      <c r="AU64" s="1" t="s">
        <v>417</v>
      </c>
      <c r="AV64" s="3" t="str">
        <f>HYPERLINK("https://icf.clappia.com/app/GMB253374/submission/XDT47174302/ICF247370-GMB253374-63h2fh9eeem800000000/SIG-20250707_153517gp26.jpeg", "SIG-20250707_153517gp26.jpeg")</f>
        <v>SIG-20250707_153517gp26.jpeg</v>
      </c>
      <c r="AW64" s="1" t="s">
        <v>418</v>
      </c>
      <c r="AX64" s="3" t="str">
        <f>HYPERLINK("https://icf.clappia.com/app/GMB253374/submission/XDT47174302/ICF247370-GMB253374-28kcm63dk4b4c0000000/SIG-20250707_1535lfg7.jpeg", "SIG-20250707_1535lfg7.jpeg")</f>
        <v>SIG-20250707_1535lfg7.jpeg</v>
      </c>
      <c r="AY64" s="3" t="str">
        <f>HYPERLINK("https://www.google.com/maps/place/8.8912252%2C-12.0626241", "8.8912252,-12.0626241")</f>
        <v>8.8912252,-12.0626241</v>
      </c>
    </row>
    <row r="65" ht="15.75" customHeight="1">
      <c r="A65" s="1" t="s">
        <v>419</v>
      </c>
      <c r="B65" s="2" t="s">
        <v>47</v>
      </c>
      <c r="C65" s="1" t="s">
        <v>420</v>
      </c>
      <c r="D65" s="1" t="s">
        <v>421</v>
      </c>
      <c r="E65" s="1" t="s">
        <v>422</v>
      </c>
      <c r="F65" s="1" t="s">
        <v>51</v>
      </c>
      <c r="G65" s="1">
        <v>250.0</v>
      </c>
      <c r="H65" s="1" t="s">
        <v>52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53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54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56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57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f t="shared" si="1"/>
        <v>251</v>
      </c>
      <c r="AM65" s="1">
        <v>250.0</v>
      </c>
      <c r="AN65" s="1">
        <v>262.0</v>
      </c>
      <c r="AO65" s="1">
        <v>241.0</v>
      </c>
      <c r="AP65" s="2">
        <v>11.0</v>
      </c>
      <c r="AQ65" s="1">
        <v>9.0</v>
      </c>
      <c r="AR65" s="1">
        <v>9.0</v>
      </c>
      <c r="AS65" s="1" t="s">
        <v>423</v>
      </c>
      <c r="AT65" s="3" t="str">
        <f>HYPERLINK("https://icf.clappia.com/app/GMB253374/submission/LJU75396007/ICF247370-GMB253374-k051mibehl040000000/SIG-20250630_1402bjf70.jpeg", "SIG-20250630_1402bjf70.jpeg")</f>
        <v>SIG-20250630_1402bjf70.jpeg</v>
      </c>
      <c r="AU65" s="1" t="s">
        <v>424</v>
      </c>
      <c r="AV65" s="3" t="str">
        <f>HYPERLINK("https://icf.clappia.com/app/GMB253374/submission/LJU75396007/ICF247370-GMB253374-43bjo07jl70200000000/SIG-20250630_1402138d8e.jpeg", "SIG-20250630_1402138d8e.jpeg")</f>
        <v>SIG-20250630_1402138d8e.jpeg</v>
      </c>
      <c r="AW65" s="1" t="s">
        <v>425</v>
      </c>
      <c r="AX65" s="3" t="str">
        <f>HYPERLINK("https://icf.clappia.com/app/GMB253374/submission/LJU75396007/ICF247370-GMB253374-4olkd0kfeac800000000/SIG-20250701_0908g3nhd.jpeg", "SIG-20250701_0908g3nhd.jpeg")</f>
        <v>SIG-20250701_0908g3nhd.jpeg</v>
      </c>
      <c r="AY65" s="3" t="str">
        <f>HYPERLINK("https://www.google.com/maps/place/8.9171779%2C-12.0312305", "8.9171779,-12.0312305")</f>
        <v>8.9171779,-12.0312305</v>
      </c>
    </row>
    <row r="66" ht="15.75" customHeight="1">
      <c r="A66" s="1" t="s">
        <v>426</v>
      </c>
      <c r="B66" s="2" t="s">
        <v>47</v>
      </c>
      <c r="C66" s="1" t="s">
        <v>427</v>
      </c>
      <c r="D66" s="1" t="s">
        <v>428</v>
      </c>
      <c r="E66" s="1" t="s">
        <v>429</v>
      </c>
      <c r="F66" s="1" t="s">
        <v>51</v>
      </c>
      <c r="G66" s="1">
        <v>143.0</v>
      </c>
      <c r="H66" s="1" t="s">
        <v>52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53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54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56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57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f t="shared" si="1"/>
        <v>146</v>
      </c>
      <c r="AM66" s="1">
        <v>143.0</v>
      </c>
      <c r="AN66" s="1">
        <v>155.0</v>
      </c>
      <c r="AO66" s="1">
        <v>133.0</v>
      </c>
      <c r="AP66" s="2">
        <v>11.0</v>
      </c>
      <c r="AQ66" s="1">
        <v>10.0</v>
      </c>
      <c r="AR66" s="1">
        <v>10.0</v>
      </c>
      <c r="AS66" s="1" t="s">
        <v>430</v>
      </c>
      <c r="AT66" s="3" t="str">
        <f>HYPERLINK("https://icf.clappia.com/app/GMB253374/submission/LID19010002/ICF247370-GMB253374-111go43a98h6g0000000/SIG-20250703_162043npe.jpeg", "SIG-20250703_162043npe.jpeg")</f>
        <v>SIG-20250703_162043npe.jpeg</v>
      </c>
      <c r="AU66" s="1" t="s">
        <v>431</v>
      </c>
      <c r="AV66" s="3" t="str">
        <f>HYPERLINK("https://icf.clappia.com/app/GMB253374/submission/LID19010002/ICF247370-GMB253374-524f2apg0loc00000000/SIG-20250703_1621lmb10.jpeg", "SIG-20250703_1621lmb10.jpeg")</f>
        <v>SIG-20250703_1621lmb10.jpeg</v>
      </c>
      <c r="AW66" s="1" t="s">
        <v>432</v>
      </c>
      <c r="AX66" s="3" t="str">
        <f>HYPERLINK("https://icf.clappia.com/app/GMB253374/submission/LID19010002/ICF247370-GMB253374-3g3m5mghmp1g00000000/SIG-20250703_1620fh3f3.jpeg", "SIG-20250703_1620fh3f3.jpeg")</f>
        <v>SIG-20250703_1620fh3f3.jpeg</v>
      </c>
      <c r="AY66" s="3" t="str">
        <f>HYPERLINK("https://www.google.com/maps/place/7.819895%2C-11.9911", "7.819895,-11.9911")</f>
        <v>7.819895,-11.9911</v>
      </c>
    </row>
    <row r="67" ht="15.75" customHeight="1">
      <c r="A67" s="1" t="s">
        <v>433</v>
      </c>
      <c r="B67" s="2" t="s">
        <v>47</v>
      </c>
      <c r="C67" s="1" t="s">
        <v>428</v>
      </c>
      <c r="D67" s="1" t="s">
        <v>428</v>
      </c>
      <c r="E67" s="1" t="s">
        <v>434</v>
      </c>
      <c r="F67" s="1" t="s">
        <v>51</v>
      </c>
      <c r="G67" s="1">
        <v>188.0</v>
      </c>
      <c r="H67" s="1" t="s">
        <v>52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53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54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56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57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f t="shared" si="1"/>
        <v>188</v>
      </c>
      <c r="AM67" s="1">
        <v>188.0</v>
      </c>
      <c r="AN67" s="1">
        <v>200.0</v>
      </c>
      <c r="AO67" s="1">
        <v>188.0</v>
      </c>
      <c r="AP67" s="2">
        <v>11.0</v>
      </c>
      <c r="AQ67" s="1">
        <v>0.0</v>
      </c>
      <c r="AR67" s="1">
        <v>0.0</v>
      </c>
      <c r="AS67" s="1" t="s">
        <v>435</v>
      </c>
      <c r="AT67" s="3" t="str">
        <f>HYPERLINK("https://icf.clappia.com/app/GMB253374/submission/OED58433845/ICF247370-GMB253374-3hnnmnmo42be00000000/SIG-20250707_1529n23g1.jpeg", "SIG-20250707_1529n23g1.jpeg")</f>
        <v>SIG-20250707_1529n23g1.jpeg</v>
      </c>
      <c r="AU67" s="1" t="s">
        <v>436</v>
      </c>
      <c r="AV67" s="3" t="str">
        <f>HYPERLINK("https://icf.clappia.com/app/GMB253374/submission/OED58433845/ICF247370-GMB253374-12pif1igmn7da0000000/SIG-20250707_152978m1i.jpeg", "SIG-20250707_152978m1i.jpeg")</f>
        <v>SIG-20250707_152978m1i.jpeg</v>
      </c>
      <c r="AW67" s="1" t="s">
        <v>437</v>
      </c>
      <c r="AX67" s="3" t="str">
        <f>HYPERLINK("https://icf.clappia.com/app/GMB253374/submission/OED58433845/ICF247370-GMB253374-3fdop9hlm8em00000000/SIG-20250707_1530hbbbg.jpeg", "SIG-20250707_1530hbbbg.jpeg")</f>
        <v>SIG-20250707_1530hbbbg.jpeg</v>
      </c>
      <c r="AY67" s="3" t="str">
        <f>HYPERLINK("https://www.google.com/maps/place/8.8910108%2C-12.062507", "8.8910108,-12.062507")</f>
        <v>8.8910108,-12.062507</v>
      </c>
    </row>
    <row r="68" ht="15.75" customHeight="1">
      <c r="A68" s="1" t="s">
        <v>438</v>
      </c>
      <c r="B68" s="2" t="s">
        <v>47</v>
      </c>
      <c r="C68" s="1" t="s">
        <v>439</v>
      </c>
      <c r="D68" s="1" t="s">
        <v>428</v>
      </c>
      <c r="E68" s="1" t="s">
        <v>440</v>
      </c>
      <c r="F68" s="1" t="s">
        <v>51</v>
      </c>
      <c r="G68" s="1">
        <v>122.0</v>
      </c>
      <c r="H68" s="1" t="s">
        <v>52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53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54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56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57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f t="shared" si="1"/>
        <v>122</v>
      </c>
      <c r="AM68" s="1">
        <v>122.0</v>
      </c>
      <c r="AN68" s="1">
        <v>134.0</v>
      </c>
      <c r="AO68" s="1">
        <v>112.0</v>
      </c>
      <c r="AP68" s="2">
        <v>11.0</v>
      </c>
      <c r="AQ68" s="1">
        <v>10.0</v>
      </c>
      <c r="AR68" s="1">
        <v>10.0</v>
      </c>
      <c r="AS68" s="1" t="s">
        <v>430</v>
      </c>
      <c r="AT68" s="3" t="str">
        <f>HYPERLINK("https://icf.clappia.com/app/GMB253374/submission/AUG40263204/ICF247370-GMB253374-3172oik3mba400000000/SIG-20250702_1532m3b87.jpeg", "SIG-20250702_1532m3b87.jpeg")</f>
        <v>SIG-20250702_1532m3b87.jpeg</v>
      </c>
      <c r="AU68" s="1" t="s">
        <v>431</v>
      </c>
      <c r="AV68" s="3" t="str">
        <f>HYPERLINK("https://icf.clappia.com/app/GMB253374/submission/AUG40263204/ICF247370-GMB253374-1ih6po3idokng0000000/SIG-20250702_15321584b5.jpeg", "SIG-20250702_15321584b5.jpeg")</f>
        <v>SIG-20250702_15321584b5.jpeg</v>
      </c>
      <c r="AW68" s="1" t="s">
        <v>432</v>
      </c>
      <c r="AX68" s="3" t="str">
        <f>HYPERLINK("https://icf.clappia.com/app/GMB253374/submission/AUG40263204/ICF247370-GMB253374-67g07101a6ok00000000/SIG-20250702_1532o06h3.jpeg", "SIG-20250702_1532o06h3.jpeg")</f>
        <v>SIG-20250702_1532o06h3.jpeg</v>
      </c>
      <c r="AY68" s="3" t="str">
        <f>HYPERLINK("https://www.google.com/maps/place/7.82007%2C-11.99163", "7.82007,-11.99163")</f>
        <v>7.82007,-11.99163</v>
      </c>
    </row>
    <row r="69" ht="15.75" customHeight="1">
      <c r="A69" s="1" t="s">
        <v>441</v>
      </c>
      <c r="B69" s="2" t="s">
        <v>47</v>
      </c>
      <c r="C69" s="1" t="s">
        <v>442</v>
      </c>
      <c r="D69" s="1" t="s">
        <v>428</v>
      </c>
      <c r="E69" s="1" t="s">
        <v>443</v>
      </c>
      <c r="F69" s="1" t="s">
        <v>51</v>
      </c>
      <c r="G69" s="1">
        <v>117.0</v>
      </c>
      <c r="H69" s="1" t="s">
        <v>52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53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54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56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57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f t="shared" si="1"/>
        <v>117</v>
      </c>
      <c r="AM69" s="1">
        <v>117.0</v>
      </c>
      <c r="AN69" s="1">
        <v>129.0</v>
      </c>
      <c r="AO69" s="1">
        <v>117.0</v>
      </c>
      <c r="AP69" s="2">
        <v>11.0</v>
      </c>
      <c r="AQ69" s="1">
        <v>0.0</v>
      </c>
      <c r="AR69" s="1">
        <v>0.0</v>
      </c>
      <c r="AS69" s="1" t="s">
        <v>430</v>
      </c>
      <c r="AT69" s="3" t="str">
        <f>HYPERLINK("https://icf.clappia.com/app/GMB253374/submission/HWE52461124/ICF247370-GMB253374-46n5l32hmfeo00000000/SIG-20250701_150611km6n.jpeg", "SIG-20250701_150611km6n.jpeg")</f>
        <v>SIG-20250701_150611km6n.jpeg</v>
      </c>
      <c r="AU69" s="1" t="s">
        <v>431</v>
      </c>
      <c r="AV69" s="3" t="str">
        <f>HYPERLINK("https://icf.clappia.com/app/GMB253374/submission/HWE52461124/ICF247370-GMB253374-b6cdcl8l1ag00000000/SIG-20250701_15081cj74.jpeg", "SIG-20250701_15081cj74.jpeg")</f>
        <v>SIG-20250701_15081cj74.jpeg</v>
      </c>
      <c r="AW69" s="1" t="s">
        <v>432</v>
      </c>
      <c r="AX69" s="3" t="str">
        <f>HYPERLINK("https://icf.clappia.com/app/GMB253374/submission/HWE52461124/ICF247370-GMB253374-99i5m2o3i2ja0000000/SIG-20250701_1507e0kc3.jpeg", "SIG-20250701_1507e0kc3.jpeg")</f>
        <v>SIG-20250701_1507e0kc3.jpeg</v>
      </c>
      <c r="AY69" s="3" t="str">
        <f>HYPERLINK("https://www.google.com/maps/place/7.819865%2C-11.9910833", "7.819865,-11.9910833")</f>
        <v>7.819865,-11.9910833</v>
      </c>
    </row>
    <row r="70" ht="15.75" customHeight="1">
      <c r="A70" s="1" t="s">
        <v>444</v>
      </c>
      <c r="B70" s="2" t="s">
        <v>47</v>
      </c>
      <c r="C70" s="1" t="s">
        <v>445</v>
      </c>
      <c r="D70" s="1" t="s">
        <v>428</v>
      </c>
      <c r="E70" s="1" t="s">
        <v>446</v>
      </c>
      <c r="F70" s="1" t="s">
        <v>51</v>
      </c>
      <c r="G70" s="1">
        <v>274.0</v>
      </c>
      <c r="H70" s="1" t="s">
        <v>52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53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54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56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57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f t="shared" si="1"/>
        <v>274</v>
      </c>
      <c r="AM70" s="1">
        <v>274.0</v>
      </c>
      <c r="AN70" s="1">
        <v>286.0</v>
      </c>
      <c r="AO70" s="1">
        <v>264.0</v>
      </c>
      <c r="AP70" s="2">
        <v>11.0</v>
      </c>
      <c r="AQ70" s="1">
        <v>10.0</v>
      </c>
      <c r="AR70" s="1">
        <v>10.0</v>
      </c>
      <c r="AS70" s="1" t="s">
        <v>447</v>
      </c>
      <c r="AT70" s="3" t="str">
        <f>HYPERLINK("https://icf.clappia.com/app/GMB253374/submission/DSV59595275/ICF247370-GMB253374-ed2m18apc7mg0000000/SIG-20250630_1235193ia.jpeg", "SIG-20250630_1235193ia.jpeg")</f>
        <v>SIG-20250630_1235193ia.jpeg</v>
      </c>
      <c r="AU70" s="1" t="s">
        <v>431</v>
      </c>
      <c r="AV70" s="3" t="str">
        <f>HYPERLINK("https://icf.clappia.com/app/GMB253374/submission/DSV59595275/ICF247370-GMB253374-2ni3o3bcj2hi00000000/SIG-20250630_12367c0dj.jpeg", "SIG-20250630_12367c0dj.jpeg")</f>
        <v>SIG-20250630_12367c0dj.jpeg</v>
      </c>
      <c r="AW70" s="1" t="s">
        <v>448</v>
      </c>
      <c r="AX70" s="3" t="str">
        <f>HYPERLINK("https://icf.clappia.com/app/GMB253374/submission/DSV59595275/ICF247370-GMB253374-6007c0di26oi00000000/SIG-20250630_1236307gg.jpeg", "SIG-20250630_1236307gg.jpeg")</f>
        <v>SIG-20250630_1236307gg.jpeg</v>
      </c>
      <c r="AY70" s="3" t="str">
        <f>HYPERLINK("https://www.google.com/maps/place/7.820255%2C-11.99162", "7.820255,-11.99162")</f>
        <v>7.820255,-11.99162</v>
      </c>
    </row>
    <row r="71" ht="15.75" customHeight="1">
      <c r="A71" s="1" t="s">
        <v>449</v>
      </c>
      <c r="B71" s="2" t="s">
        <v>47</v>
      </c>
      <c r="C71" s="1" t="s">
        <v>450</v>
      </c>
      <c r="D71" s="1" t="s">
        <v>451</v>
      </c>
      <c r="E71" s="1" t="s">
        <v>452</v>
      </c>
      <c r="F71" s="1" t="s">
        <v>72</v>
      </c>
      <c r="G71" s="1">
        <v>351.0</v>
      </c>
      <c r="H71" s="1" t="s">
        <v>52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53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54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56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57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f t="shared" si="1"/>
        <v>207</v>
      </c>
      <c r="AM71" s="1">
        <v>351.0</v>
      </c>
      <c r="AN71" s="1">
        <v>363.0</v>
      </c>
      <c r="AO71" s="1">
        <v>207.0</v>
      </c>
      <c r="AP71" s="2">
        <v>11.0</v>
      </c>
      <c r="AQ71" s="1">
        <v>144.0</v>
      </c>
      <c r="AR71" s="1">
        <v>144.0</v>
      </c>
      <c r="AS71" s="1" t="s">
        <v>388</v>
      </c>
      <c r="AT71" s="3" t="str">
        <f>HYPERLINK("https://icf.clappia.com/app/GMB253374/submission/LCU16703599/ICF247370-GMB253374-a00g4jnn9i0g0000000/SIG-20250704_111212hcpd.jpeg", "SIG-20250704_111212hcpd.jpeg")</f>
        <v>SIG-20250704_111212hcpd.jpeg</v>
      </c>
      <c r="AU71" s="1" t="s">
        <v>389</v>
      </c>
      <c r="AV71" s="3" t="str">
        <f>HYPERLINK("https://icf.clappia.com/app/GMB253374/submission/LCU16703599/ICF247370-GMB253374-4g3dpahefgpk00000000/SIG-20250704_1113189phj.jpeg", "SIG-20250704_1113189phj.jpeg")</f>
        <v>SIG-20250704_1113189phj.jpeg</v>
      </c>
      <c r="AW71" s="1" t="s">
        <v>453</v>
      </c>
      <c r="AX71" s="3" t="str">
        <f>HYPERLINK("https://icf.clappia.com/app/GMB253374/submission/LCU16703599/ICF247370-GMB253374-3g696fcl72ge00000000/SIG-20250704_111417k8jn.jpeg", "SIG-20250704_111417k8jn.jpeg")</f>
        <v>SIG-20250704_111417k8jn.jpeg</v>
      </c>
      <c r="AY71" s="3" t="str">
        <f>HYPERLINK("https://www.google.com/maps/place/7.9822317%2C-11.743625", "7.9822317,-11.743625")</f>
        <v>7.9822317,-11.743625</v>
      </c>
    </row>
    <row r="72" ht="15.75" customHeight="1">
      <c r="A72" s="1" t="s">
        <v>454</v>
      </c>
      <c r="B72" s="2" t="s">
        <v>47</v>
      </c>
      <c r="C72" s="1" t="s">
        <v>455</v>
      </c>
      <c r="D72" s="1" t="s">
        <v>456</v>
      </c>
      <c r="E72" s="1" t="s">
        <v>457</v>
      </c>
      <c r="F72" s="1" t="s">
        <v>51</v>
      </c>
      <c r="G72" s="1">
        <v>245.0</v>
      </c>
      <c r="H72" s="1" t="s">
        <v>52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53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54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56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57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f t="shared" si="1"/>
        <v>245</v>
      </c>
      <c r="AM72" s="1">
        <v>245.0</v>
      </c>
      <c r="AN72" s="1">
        <v>257.0</v>
      </c>
      <c r="AO72" s="1">
        <v>241.0</v>
      </c>
      <c r="AP72" s="2">
        <v>11.0</v>
      </c>
      <c r="AQ72" s="1">
        <v>4.0</v>
      </c>
      <c r="AR72" s="1">
        <v>4.0</v>
      </c>
      <c r="AS72" s="1" t="s">
        <v>458</v>
      </c>
      <c r="AT72" s="3" t="str">
        <f>HYPERLINK("https://icf.clappia.com/app/GMB253374/submission/OOL56805107/ICF247370-GMB253374-bbfphi85pm9e0000000/SIG-20250703_1133ia739.jpeg", "SIG-20250703_1133ia739.jpeg")</f>
        <v>SIG-20250703_1133ia739.jpeg</v>
      </c>
      <c r="AU72" s="1" t="s">
        <v>459</v>
      </c>
      <c r="AV72" s="3" t="str">
        <f>HYPERLINK("https://icf.clappia.com/app/GMB253374/submission/OOL56805107/ICF247370-GMB253374-5448d9pb2coe00000000/SIG-20250703_113671bj3.jpeg", "SIG-20250703_113671bj3.jpeg")</f>
        <v>SIG-20250703_113671bj3.jpeg</v>
      </c>
      <c r="AW72" s="1" t="s">
        <v>453</v>
      </c>
      <c r="AX72" s="3" t="str">
        <f>HYPERLINK("https://icf.clappia.com/app/GMB253374/submission/OOL56805107/ICF247370-GMB253374-5pj5f7k9f2o800000000/SIG-20250703_1138h58bg.jpeg", "SIG-20250703_1138h58bg.jpeg")</f>
        <v>SIG-20250703_1138h58bg.jpeg</v>
      </c>
      <c r="AY72" s="3" t="str">
        <f>HYPERLINK("https://www.google.com/maps/place/7.9897722%2C-11.7435308", "7.9897722,-11.7435308")</f>
        <v>7.9897722,-11.7435308</v>
      </c>
    </row>
    <row r="73" ht="15.75" customHeight="1">
      <c r="A73" s="1" t="s">
        <v>460</v>
      </c>
      <c r="B73" s="2" t="s">
        <v>47</v>
      </c>
      <c r="C73" s="1" t="s">
        <v>461</v>
      </c>
      <c r="D73" s="1" t="s">
        <v>456</v>
      </c>
      <c r="E73" s="1" t="s">
        <v>462</v>
      </c>
      <c r="F73" s="1" t="s">
        <v>51</v>
      </c>
      <c r="G73" s="1">
        <v>185.0</v>
      </c>
      <c r="H73" s="1" t="s">
        <v>52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53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54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56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57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f t="shared" si="1"/>
        <v>233</v>
      </c>
      <c r="AM73" s="1">
        <v>185.0</v>
      </c>
      <c r="AN73" s="1">
        <v>197.0</v>
      </c>
      <c r="AO73" s="1">
        <v>185.0</v>
      </c>
      <c r="AP73" s="2">
        <v>11.0</v>
      </c>
      <c r="AQ73" s="1">
        <v>0.0</v>
      </c>
      <c r="AR73" s="1">
        <v>0.0</v>
      </c>
      <c r="AS73" s="1" t="s">
        <v>463</v>
      </c>
      <c r="AT73" s="3" t="str">
        <f>HYPERLINK("https://icf.clappia.com/app/GMB253374/submission/PJJ36853570/ICF247370-GMB253374-3bjgahfh9f3m00000000/SIG-20250702_13424bich.jpeg", "SIG-20250702_13424bich.jpeg")</f>
        <v>SIG-20250702_13424bich.jpeg</v>
      </c>
      <c r="AU73" s="1" t="s">
        <v>464</v>
      </c>
      <c r="AV73" s="3" t="str">
        <f>HYPERLINK("https://icf.clappia.com/app/GMB253374/submission/PJJ36853570/ICF247370-GMB253374-12b0nm46hpb1i0000000/SIG-20250702_134513h39a.jpeg", "SIG-20250702_134513h39a.jpeg")</f>
        <v>SIG-20250702_134513h39a.jpeg</v>
      </c>
      <c r="AW73" s="1" t="s">
        <v>465</v>
      </c>
      <c r="AX73" s="3" t="str">
        <f>HYPERLINK("https://icf.clappia.com/app/GMB253374/submission/PJJ36853570/ICF247370-GMB253374-de3djn1dbi5m0000000/SIG-20250702_1345h882p.jpeg", "SIG-20250702_1345h882p.jpeg")</f>
        <v>SIG-20250702_1345h882p.jpeg</v>
      </c>
      <c r="AY73" s="3" t="str">
        <f>HYPERLINK("https://www.google.com/maps/place/7.9909215%2C-11.7355449", "7.9909215,-11.7355449")</f>
        <v>7.9909215,-11.7355449</v>
      </c>
    </row>
    <row r="74" ht="15.75" customHeight="1">
      <c r="A74" s="1" t="s">
        <v>466</v>
      </c>
      <c r="B74" s="2" t="s">
        <v>47</v>
      </c>
      <c r="C74" s="1" t="s">
        <v>467</v>
      </c>
      <c r="D74" s="1" t="s">
        <v>468</v>
      </c>
      <c r="E74" s="1" t="s">
        <v>469</v>
      </c>
      <c r="F74" s="1" t="s">
        <v>51</v>
      </c>
      <c r="G74" s="1">
        <v>214.0</v>
      </c>
      <c r="H74" s="1" t="s">
        <v>52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53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54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56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57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f t="shared" si="1"/>
        <v>214</v>
      </c>
      <c r="AM74" s="1">
        <v>214.0</v>
      </c>
      <c r="AN74" s="1">
        <v>226.0</v>
      </c>
      <c r="AO74" s="1">
        <v>214.0</v>
      </c>
      <c r="AP74" s="2">
        <v>11.0</v>
      </c>
      <c r="AQ74" s="1">
        <v>0.0</v>
      </c>
      <c r="AR74" s="1">
        <v>0.0</v>
      </c>
      <c r="AS74" s="1" t="s">
        <v>463</v>
      </c>
      <c r="AT74" s="3" t="str">
        <f>HYPERLINK("https://icf.clappia.com/app/GMB253374/submission/ZHR61385228/ICF247370-GMB253374-2odd5e1fn93k00000000/SIG-20250701_12551a5hbd.jpeg", "SIG-20250701_12551a5hbd.jpeg")</f>
        <v>SIG-20250701_12551a5hbd.jpeg</v>
      </c>
      <c r="AU74" s="1" t="s">
        <v>470</v>
      </c>
      <c r="AV74" s="3" t="str">
        <f>HYPERLINK("https://icf.clappia.com/app/GMB253374/submission/ZHR61385228/ICF247370-GMB253374-eejn7cm82ke40000000/SIG-20250701_12551aag61.jpeg", "SIG-20250701_12551aag61.jpeg")</f>
        <v>SIG-20250701_12551aag61.jpeg</v>
      </c>
      <c r="AW74" s="1" t="s">
        <v>471</v>
      </c>
      <c r="AX74" s="3" t="str">
        <f>HYPERLINK("https://icf.clappia.com/app/GMB253374/submission/ZHR61385228/ICF247370-GMB253374-4aai7ia1ni2400000000/SIG-20250701_12567ifok.jpeg", "SIG-20250701_12567ifok.jpeg")</f>
        <v>SIG-20250701_12567ifok.jpeg</v>
      </c>
      <c r="AY74" s="3" t="str">
        <f>HYPERLINK("https://www.google.com/maps/place/7.9897726%2C-11.7435307", "7.9897726,-11.7435307")</f>
        <v>7.9897726,-11.7435307</v>
      </c>
    </row>
    <row r="75" ht="15.75" customHeight="1">
      <c r="A75" s="1" t="s">
        <v>472</v>
      </c>
      <c r="B75" s="2" t="s">
        <v>47</v>
      </c>
      <c r="C75" s="1" t="s">
        <v>473</v>
      </c>
      <c r="D75" s="1" t="s">
        <v>473</v>
      </c>
      <c r="E75" s="1" t="s">
        <v>474</v>
      </c>
      <c r="F75" s="1" t="s">
        <v>51</v>
      </c>
      <c r="G75" s="1">
        <v>100.0</v>
      </c>
      <c r="H75" s="1" t="s">
        <v>52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53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54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56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57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f t="shared" si="1"/>
        <v>95</v>
      </c>
      <c r="AM75" s="1">
        <v>100.0</v>
      </c>
      <c r="AN75" s="1">
        <v>112.0</v>
      </c>
      <c r="AO75" s="1">
        <v>95.0</v>
      </c>
      <c r="AP75" s="2">
        <v>11.0</v>
      </c>
      <c r="AQ75" s="1">
        <v>5.0</v>
      </c>
      <c r="AR75" s="1">
        <v>5.0</v>
      </c>
      <c r="AS75" s="1" t="s">
        <v>475</v>
      </c>
      <c r="AT75" s="3" t="str">
        <f>HYPERLINK("https://icf.clappia.com/app/GMB253374/submission/JPD89008590/ICF247370-GMB253374-60j9gg5f2b2600000000/SIG-20250707_1512mk7f2.jpeg", "SIG-20250707_1512mk7f2.jpeg")</f>
        <v>SIG-20250707_1512mk7f2.jpeg</v>
      </c>
      <c r="AU75" s="1" t="s">
        <v>476</v>
      </c>
      <c r="AV75" s="3" t="str">
        <f>HYPERLINK("https://icf.clappia.com/app/GMB253374/submission/JPD89008590/ICF247370-GMB253374-5k1p0jdgj5ik00000000/SIG-20250707_1512175l9d.jpeg", "SIG-20250707_1512175l9d.jpeg")</f>
        <v>SIG-20250707_1512175l9d.jpeg</v>
      </c>
      <c r="AW75" s="1" t="s">
        <v>477</v>
      </c>
      <c r="AX75" s="3" t="str">
        <f>HYPERLINK("https://icf.clappia.com/app/GMB253374/submission/JPD89008590/ICF247370-GMB253374-3p7cjfb1ngdo00000000/SIG-20250707_15133kdhe.jpeg", "SIG-20250707_15133kdhe.jpeg")</f>
        <v>SIG-20250707_15133kdhe.jpeg</v>
      </c>
      <c r="AY75" s="3" t="str">
        <f>HYPERLINK("https://www.google.com/maps/place/8.8911353%2C-12.0625766", "8.8911353,-12.0625766")</f>
        <v>8.8911353,-12.0625766</v>
      </c>
    </row>
    <row r="76" ht="15.75" customHeight="1">
      <c r="A76" s="1" t="s">
        <v>478</v>
      </c>
      <c r="B76" s="2" t="s">
        <v>47</v>
      </c>
      <c r="C76" s="1" t="s">
        <v>479</v>
      </c>
      <c r="D76" s="1" t="s">
        <v>479</v>
      </c>
      <c r="E76" s="1" t="s">
        <v>480</v>
      </c>
      <c r="F76" s="1" t="s">
        <v>51</v>
      </c>
      <c r="G76" s="1">
        <v>150.0</v>
      </c>
      <c r="H76" s="1" t="s">
        <v>52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53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54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56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57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f t="shared" si="1"/>
        <v>121</v>
      </c>
      <c r="AM76" s="1">
        <v>150.0</v>
      </c>
      <c r="AN76" s="1">
        <v>162.0</v>
      </c>
      <c r="AO76" s="1">
        <v>113.0</v>
      </c>
      <c r="AP76" s="2">
        <v>11.0</v>
      </c>
      <c r="AQ76" s="1">
        <v>37.0</v>
      </c>
      <c r="AR76" s="1">
        <v>37.0</v>
      </c>
      <c r="AS76" s="1" t="s">
        <v>481</v>
      </c>
      <c r="AT76" s="3" t="str">
        <f>HYPERLINK("https://icf.clappia.com/app/GMB253374/submission/MQU98634920/ICF247370-GMB253374-1h0hmld5blol60000000/SIG-20250707_150714p7o0.jpeg", "SIG-20250707_150714p7o0.jpeg")</f>
        <v>SIG-20250707_150714p7o0.jpeg</v>
      </c>
      <c r="AU76" s="1" t="s">
        <v>482</v>
      </c>
      <c r="AV76" s="3" t="str">
        <f>HYPERLINK("https://icf.clappia.com/app/GMB253374/submission/MQU98634920/ICF247370-GMB253374-45dkmbc64g8200000000/SIG-20250707_1508ghk77.jpeg", "SIG-20250707_1508ghk77.jpeg")</f>
        <v>SIG-20250707_1508ghk77.jpeg</v>
      </c>
      <c r="AW76" s="1" t="s">
        <v>483</v>
      </c>
      <c r="AX76" s="3" t="str">
        <f>HYPERLINK("https://icf.clappia.com/app/GMB253374/submission/MQU98634920/ICF247370-GMB253374-422nckp6831800000000/SIG-20250707_1508ci2al.jpeg", "SIG-20250707_1508ci2al.jpeg")</f>
        <v>SIG-20250707_1508ci2al.jpeg</v>
      </c>
      <c r="AY76" s="3" t="str">
        <f>HYPERLINK("https://www.google.com/maps/place/8.8911335%2C-12.062575", "8.8911335,-12.062575")</f>
        <v>8.8911335,-12.062575</v>
      </c>
    </row>
    <row r="77" ht="15.75" customHeight="1">
      <c r="A77" s="1" t="s">
        <v>484</v>
      </c>
      <c r="B77" s="2" t="s">
        <v>47</v>
      </c>
      <c r="C77" s="1" t="s">
        <v>485</v>
      </c>
      <c r="D77" s="1" t="s">
        <v>486</v>
      </c>
      <c r="E77" s="1" t="s">
        <v>487</v>
      </c>
      <c r="F77" s="1" t="s">
        <v>72</v>
      </c>
      <c r="G77" s="1">
        <v>100.0</v>
      </c>
      <c r="H77" s="1" t="s">
        <v>52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53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54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56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57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f t="shared" si="1"/>
        <v>54</v>
      </c>
      <c r="AM77" s="1">
        <v>100.0</v>
      </c>
      <c r="AN77" s="1">
        <v>112.0</v>
      </c>
      <c r="AO77" s="1">
        <v>44.0</v>
      </c>
      <c r="AP77" s="2">
        <v>11.0</v>
      </c>
      <c r="AQ77" s="1">
        <v>56.0</v>
      </c>
      <c r="AR77" s="1">
        <v>56.0</v>
      </c>
      <c r="AS77" s="1" t="s">
        <v>488</v>
      </c>
      <c r="AT77" s="3" t="str">
        <f>HYPERLINK("https://icf.clappia.com/app/GMB253374/submission/OIZ39428272/ICF247370-GMB253374-359p92h8h3h400000000/SIG-20250704_1328105ob8.jpeg", "SIG-20250704_1328105ob8.jpeg")</f>
        <v>SIG-20250704_1328105ob8.jpeg</v>
      </c>
      <c r="AU77" s="1" t="s">
        <v>489</v>
      </c>
      <c r="AV77" s="3" t="str">
        <f>HYPERLINK("https://icf.clappia.com/app/GMB253374/submission/OIZ39428272/ICF247370-GMB253374-19j4j74dl9hne0000000/SIG-20250704_1329kejp0.jpeg", "SIG-20250704_1329kejp0.jpeg")</f>
        <v>SIG-20250704_1329kejp0.jpeg</v>
      </c>
      <c r="AW77" s="1" t="s">
        <v>490</v>
      </c>
      <c r="AX77" s="3" t="str">
        <f>HYPERLINK("https://icf.clappia.com/app/GMB253374/submission/OIZ39428272/ICF247370-GMB253374-5l0e7alp9p9m00000000/SIG-20250704_132912j7pi.jpeg", "SIG-20250704_132912j7pi.jpeg")</f>
        <v>SIG-20250704_132912j7pi.jpeg</v>
      </c>
      <c r="AY77" s="3" t="str">
        <f>HYPERLINK("https://www.google.com/maps/place/8.8871833%2C-12.072355", "8.8871833,-12.072355")</f>
        <v>8.8871833,-12.072355</v>
      </c>
    </row>
    <row r="78" ht="15.75" customHeight="1">
      <c r="A78" s="1" t="s">
        <v>491</v>
      </c>
      <c r="B78" s="2" t="s">
        <v>47</v>
      </c>
      <c r="C78" s="1" t="s">
        <v>492</v>
      </c>
      <c r="D78" s="1" t="s">
        <v>486</v>
      </c>
      <c r="E78" s="2" t="s">
        <v>493</v>
      </c>
      <c r="F78" s="1" t="s">
        <v>72</v>
      </c>
      <c r="G78" s="1">
        <v>100.0</v>
      </c>
      <c r="H78" s="1" t="s">
        <v>52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53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54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56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57</v>
      </c>
      <c r="AG78" s="1">
        <v>1.0</v>
      </c>
      <c r="AH78" s="1">
        <v>1.0</v>
      </c>
      <c r="AI78" s="1">
        <v>1.0</v>
      </c>
      <c r="AJ78" s="1" t="s">
        <v>55</v>
      </c>
      <c r="AK78" s="1" t="s">
        <v>55</v>
      </c>
      <c r="AL78" s="1">
        <f t="shared" si="1"/>
        <v>42</v>
      </c>
      <c r="AM78" s="1">
        <v>100.0</v>
      </c>
      <c r="AN78" s="1">
        <v>112.0</v>
      </c>
      <c r="AO78" s="1">
        <v>39.0</v>
      </c>
      <c r="AP78" s="2">
        <v>11.0</v>
      </c>
      <c r="AQ78" s="1">
        <v>61.0</v>
      </c>
      <c r="AR78" s="1">
        <v>61.0</v>
      </c>
      <c r="AS78" s="1" t="s">
        <v>488</v>
      </c>
      <c r="AT78" s="3" t="str">
        <f>HYPERLINK("https://icf.clappia.com/app/GMB253374/submission/FNW54077750/ICF247370-GMB253374-3o0c9e2p8bkg00000000/SIG-20250702_1119lfkd7.jpeg", "SIG-20250702_1119lfkd7.jpeg")</f>
        <v>SIG-20250702_1119lfkd7.jpeg</v>
      </c>
      <c r="AU78" s="1" t="s">
        <v>489</v>
      </c>
      <c r="AV78" s="3" t="str">
        <f>HYPERLINK("https://icf.clappia.com/app/GMB253374/submission/FNW54077750/ICF247370-GMB253374-4940pp5enhl400000000/SIG-20250702_111916mjni.jpeg", "SIG-20250702_111916mjni.jpeg")</f>
        <v>SIG-20250702_111916mjni.jpeg</v>
      </c>
      <c r="AW78" s="1" t="s">
        <v>494</v>
      </c>
      <c r="AX78" s="3" t="str">
        <f>HYPERLINK("https://icf.clappia.com/app/GMB253374/submission/FNW54077750/ICF247370-GMB253374-3a02o6a55ige00000000/SIG-20250702_11201ioce.jpeg", "SIG-20250702_11201ioce.jpeg")</f>
        <v>SIG-20250702_11201ioce.jpeg</v>
      </c>
      <c r="AY78" s="3" t="str">
        <f>HYPERLINK("https://www.google.com/maps/place/8.88803%2C-12.0661217", "8.88803,-12.0661217")</f>
        <v>8.88803,-12.0661217</v>
      </c>
    </row>
    <row r="79" ht="15.75" customHeight="1">
      <c r="A79" s="1" t="s">
        <v>495</v>
      </c>
      <c r="B79" s="2" t="s">
        <v>47</v>
      </c>
      <c r="C79" s="1" t="s">
        <v>496</v>
      </c>
      <c r="D79" s="1" t="s">
        <v>497</v>
      </c>
      <c r="E79" s="1" t="s">
        <v>498</v>
      </c>
      <c r="F79" s="1" t="s">
        <v>51</v>
      </c>
      <c r="G79" s="1">
        <v>178.0</v>
      </c>
      <c r="H79" s="1" t="s">
        <v>52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53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54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56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57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f t="shared" si="1"/>
        <v>198</v>
      </c>
      <c r="AM79" s="1">
        <v>178.0</v>
      </c>
      <c r="AN79" s="1">
        <v>190.0</v>
      </c>
      <c r="AO79" s="1">
        <v>178.0</v>
      </c>
      <c r="AP79" s="2">
        <v>11.0</v>
      </c>
      <c r="AQ79" s="1">
        <v>0.0</v>
      </c>
      <c r="AR79" s="1">
        <v>0.0</v>
      </c>
      <c r="AS79" s="1" t="s">
        <v>499</v>
      </c>
      <c r="AT79" s="3" t="str">
        <f>HYPERLINK("https://icf.clappia.com/app/GMB253374/submission/TIS15583272/ICF247370-GMB253374-1bh8117fpkkh60000000/SIG-20250701_143016237o.jpeg", "SIG-20250701_143016237o.jpeg")</f>
        <v>SIG-20250701_143016237o.jpeg</v>
      </c>
      <c r="AU79" s="1" t="s">
        <v>500</v>
      </c>
      <c r="AV79" s="3" t="str">
        <f>HYPERLINK("https://icf.clappia.com/app/GMB253374/submission/TIS15583272/ICF247370-GMB253374-17d8h799n5cg80000000/SIG-20250701_1430nb1h4.jpeg", "SIG-20250701_1430nb1h4.jpeg")</f>
        <v>SIG-20250701_1430nb1h4.jpeg</v>
      </c>
      <c r="AW79" s="1" t="s">
        <v>494</v>
      </c>
      <c r="AX79" s="3" t="str">
        <f>HYPERLINK("https://icf.clappia.com/app/GMB253374/submission/TIS15583272/ICF247370-GMB253374-9pm1f9n42p920000000/SIG-20250701_1431g9240.jpeg", "SIG-20250701_1431g9240.jpeg")</f>
        <v>SIG-20250701_1431g9240.jpeg</v>
      </c>
      <c r="AY79" s="3" t="str">
        <f>HYPERLINK("https://www.google.com/maps/place/8.8907985%2C-12.0623945", "8.8907985,-12.0623945")</f>
        <v>8.8907985,-12.0623945</v>
      </c>
    </row>
    <row r="80" ht="15.75" customHeight="1">
      <c r="A80" s="1" t="s">
        <v>501</v>
      </c>
      <c r="B80" s="2" t="s">
        <v>47</v>
      </c>
      <c r="C80" s="1" t="s">
        <v>502</v>
      </c>
      <c r="D80" s="1" t="s">
        <v>503</v>
      </c>
      <c r="E80" s="2" t="s">
        <v>504</v>
      </c>
      <c r="F80" s="1" t="s">
        <v>51</v>
      </c>
      <c r="G80" s="1">
        <v>500.0</v>
      </c>
      <c r="H80" s="1" t="s">
        <v>52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53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54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56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57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f t="shared" si="1"/>
        <v>440</v>
      </c>
      <c r="AM80" s="1">
        <v>500.0</v>
      </c>
      <c r="AN80" s="1">
        <v>512.0</v>
      </c>
      <c r="AO80" s="1">
        <v>410.0</v>
      </c>
      <c r="AP80" s="2">
        <v>11.0</v>
      </c>
      <c r="AQ80" s="1">
        <v>90.0</v>
      </c>
      <c r="AR80" s="1">
        <v>90.0</v>
      </c>
      <c r="AS80" s="1" t="s">
        <v>505</v>
      </c>
      <c r="AT80" s="3" t="str">
        <f>HYPERLINK("https://icf.clappia.com/app/GMB253374/submission/FDH01980817/ICF247370-GMB253374-58lpk83f7h6c00000000/SIG-20250704_153512m42f.jpeg", "SIG-20250704_153512m42f.jpeg")</f>
        <v>SIG-20250704_153512m42f.jpeg</v>
      </c>
      <c r="AU80" s="1" t="s">
        <v>506</v>
      </c>
      <c r="AV80" s="3" t="str">
        <f>HYPERLINK("https://icf.clappia.com/app/GMB253374/submission/FDH01980817/ICF247370-GMB253374-lm2c137dljh20000000/SIG-20250704_1533a27e4.jpeg", "SIG-20250704_1533a27e4.jpeg")</f>
        <v>SIG-20250704_1533a27e4.jpeg</v>
      </c>
      <c r="AW80" s="1" t="s">
        <v>507</v>
      </c>
      <c r="AX80" s="3" t="str">
        <f>HYPERLINK("https://icf.clappia.com/app/GMB253374/submission/FDH01980817/ICF247370-GMB253374-585o3aihj8gm00000000/SIG-20250704_153611117b.jpeg", "SIG-20250704_153611117b.jpeg")</f>
        <v>SIG-20250704_153611117b.jpeg</v>
      </c>
      <c r="AY80" s="3" t="str">
        <f>HYPERLINK("https://www.google.com/maps/place/8.8802317%2C-12.0424083", "8.8802317,-12.0424083")</f>
        <v>8.8802317,-12.0424083</v>
      </c>
    </row>
    <row r="81" ht="15.75" customHeight="1">
      <c r="A81" s="1" t="s">
        <v>508</v>
      </c>
      <c r="B81" s="2" t="s">
        <v>47</v>
      </c>
      <c r="C81" s="1" t="s">
        <v>509</v>
      </c>
      <c r="D81" s="1" t="s">
        <v>510</v>
      </c>
      <c r="E81" s="1" t="s">
        <v>511</v>
      </c>
      <c r="F81" s="1" t="s">
        <v>51</v>
      </c>
      <c r="G81" s="1">
        <v>116.0</v>
      </c>
      <c r="H81" s="1" t="s">
        <v>52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53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54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56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57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f t="shared" si="1"/>
        <v>116</v>
      </c>
      <c r="AM81" s="1">
        <v>116.0</v>
      </c>
      <c r="AN81" s="1">
        <v>128.0</v>
      </c>
      <c r="AO81" s="1">
        <v>116.0</v>
      </c>
      <c r="AP81" s="2">
        <v>11.0</v>
      </c>
      <c r="AQ81" s="1">
        <v>0.0</v>
      </c>
      <c r="AR81" s="1">
        <v>0.0</v>
      </c>
      <c r="AS81" s="1" t="s">
        <v>512</v>
      </c>
      <c r="AT81" s="3" t="str">
        <f>HYPERLINK("https://icf.clappia.com/app/GMB253374/submission/QBD32100614/ICF247370-GMB253374-cdb1dgd9o8p40000000/SIG-20250702_1026i26f1.jpeg", "SIG-20250702_1026i26f1.jpeg")</f>
        <v>SIG-20250702_1026i26f1.jpeg</v>
      </c>
      <c r="AU81" s="1" t="s">
        <v>513</v>
      </c>
      <c r="AV81" s="3" t="str">
        <f>HYPERLINK("https://icf.clappia.com/app/GMB253374/submission/QBD32100614/ICF247370-GMB253374-352mh6c1pbn800000000/SIG-20250702_102714mk37.jpeg", "SIG-20250702_102714mk37.jpeg")</f>
        <v>SIG-20250702_102714mk37.jpeg</v>
      </c>
      <c r="AW81" s="1" t="s">
        <v>514</v>
      </c>
      <c r="AX81" s="3" t="str">
        <f>HYPERLINK("https://icf.clappia.com/app/GMB253374/submission/QBD32100614/ICF247370-GMB253374-600ba60p922o00000000/SIG-20250702_10291482fi.jpeg", "SIG-20250702_10291482fi.jpeg")</f>
        <v>SIG-20250702_10291482fi.jpeg</v>
      </c>
      <c r="AY81" s="3" t="str">
        <f>HYPERLINK("https://www.google.com/maps/place/7.9543553%2C-12.0887541", "7.9543553,-12.0887541")</f>
        <v>7.9543553,-12.0887541</v>
      </c>
    </row>
    <row r="82" ht="15.75" customHeight="1">
      <c r="A82" s="1" t="s">
        <v>515</v>
      </c>
      <c r="B82" s="2" t="s">
        <v>47</v>
      </c>
      <c r="C82" s="1" t="s">
        <v>516</v>
      </c>
      <c r="D82" s="1" t="s">
        <v>516</v>
      </c>
      <c r="E82" s="1" t="s">
        <v>517</v>
      </c>
      <c r="F82" s="1" t="s">
        <v>51</v>
      </c>
      <c r="G82" s="1">
        <v>50.0</v>
      </c>
      <c r="H82" s="1" t="s">
        <v>52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53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54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56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57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f t="shared" si="1"/>
        <v>50</v>
      </c>
      <c r="AM82" s="1">
        <v>50.0</v>
      </c>
      <c r="AN82" s="1">
        <v>62.0</v>
      </c>
      <c r="AO82" s="1">
        <v>50.0</v>
      </c>
      <c r="AP82" s="2">
        <v>11.0</v>
      </c>
      <c r="AQ82" s="1">
        <v>0.0</v>
      </c>
      <c r="AR82" s="1">
        <v>0.0</v>
      </c>
      <c r="AS82" s="1" t="s">
        <v>518</v>
      </c>
      <c r="AT82" s="3" t="str">
        <f>HYPERLINK("https://icf.clappia.com/app/GMB253374/submission/IQF55622624/ICF247370-GMB253374-2a7pkp7h3o8e40000000/SIG-20250707_142814hc7m.jpeg", "SIG-20250707_142814hc7m.jpeg")</f>
        <v>SIG-20250707_142814hc7m.jpeg</v>
      </c>
      <c r="AU82" s="1" t="s">
        <v>519</v>
      </c>
      <c r="AV82" s="3" t="str">
        <f>HYPERLINK("https://icf.clappia.com/app/GMB253374/submission/IQF55622624/ICF247370-GMB253374-5oc82p23apa600000000/SIG-20250707_14287175j.jpeg", "SIG-20250707_14287175j.jpeg")</f>
        <v>SIG-20250707_14287175j.jpeg</v>
      </c>
      <c r="AW82" s="1" t="s">
        <v>520</v>
      </c>
      <c r="AX82" s="3" t="str">
        <f>HYPERLINK("https://icf.clappia.com/app/GMB253374/submission/IQF55622624/ICF247370-GMB253374-1jh1n2gomk23a0000000/SIG-20250707_1428174lg5.jpeg", "SIG-20250707_1428174lg5.jpeg")</f>
        <v>SIG-20250707_1428174lg5.jpeg</v>
      </c>
      <c r="AY82" s="3" t="str">
        <f>HYPERLINK("https://www.google.com/maps/place/8.8910582%2C-12.06252", "8.8910582,-12.06252")</f>
        <v>8.8910582,-12.06252</v>
      </c>
    </row>
    <row r="83" ht="15.75" customHeight="1">
      <c r="A83" s="1" t="s">
        <v>521</v>
      </c>
      <c r="B83" s="2" t="s">
        <v>47</v>
      </c>
      <c r="C83" s="1" t="s">
        <v>522</v>
      </c>
      <c r="D83" s="1" t="s">
        <v>523</v>
      </c>
      <c r="E83" s="1" t="s">
        <v>524</v>
      </c>
      <c r="F83" s="1" t="s">
        <v>51</v>
      </c>
      <c r="G83" s="1">
        <v>274.0</v>
      </c>
      <c r="H83" s="1" t="s">
        <v>52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53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54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56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57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f t="shared" si="1"/>
        <v>273</v>
      </c>
      <c r="AM83" s="1">
        <v>274.0</v>
      </c>
      <c r="AN83" s="1">
        <v>286.0</v>
      </c>
      <c r="AO83" s="1">
        <v>268.0</v>
      </c>
      <c r="AP83" s="2">
        <v>11.0</v>
      </c>
      <c r="AQ83" s="1">
        <v>6.0</v>
      </c>
      <c r="AR83" s="1">
        <v>6.0</v>
      </c>
      <c r="AS83" s="1" t="s">
        <v>525</v>
      </c>
      <c r="AT83" s="3" t="str">
        <f>HYPERLINK("https://icf.clappia.com/app/GMB253374/submission/TFI61029703/ICF247370-GMB253374-4je33aj9kb0400000000/SIG-20250704_194118h39c.jpeg", "SIG-20250704_194118h39c.jpeg")</f>
        <v>SIG-20250704_194118h39c.jpeg</v>
      </c>
      <c r="AU83" s="1" t="s">
        <v>526</v>
      </c>
      <c r="AV83" s="3" t="str">
        <f>HYPERLINK("https://icf.clappia.com/app/GMB253374/submission/TFI61029703/ICF247370-GMB253374-36kcaapbgpio00000000/SIG-20250704_194217li90.jpeg", "SIG-20250704_194217li90.jpeg")</f>
        <v>SIG-20250704_194217li90.jpeg</v>
      </c>
      <c r="AW83" s="1" t="s">
        <v>527</v>
      </c>
      <c r="AX83" s="3" t="str">
        <f>HYPERLINK("https://icf.clappia.com/app/GMB253374/submission/TFI61029703/ICF247370-GMB253374-15pdbpff46fbm0000000/SIG-20250704_194214i71o.jpeg", "SIG-20250704_194214i71o.jpeg")</f>
        <v>SIG-20250704_194214i71o.jpeg</v>
      </c>
      <c r="AY83" s="3" t="str">
        <f>HYPERLINK("https://www.google.com/maps/place/9.22065%2C-12.14381", "9.22065,-12.14381")</f>
        <v>9.22065,-12.14381</v>
      </c>
    </row>
    <row r="84" ht="15.75" customHeight="1">
      <c r="A84" s="1" t="s">
        <v>528</v>
      </c>
      <c r="B84" s="2" t="s">
        <v>47</v>
      </c>
      <c r="C84" s="1" t="s">
        <v>529</v>
      </c>
      <c r="D84" s="1" t="s">
        <v>523</v>
      </c>
      <c r="E84" s="1" t="s">
        <v>530</v>
      </c>
      <c r="F84" s="1" t="s">
        <v>51</v>
      </c>
      <c r="G84" s="1">
        <v>219.0</v>
      </c>
      <c r="H84" s="1" t="s">
        <v>52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53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54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56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57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f t="shared" si="1"/>
        <v>219</v>
      </c>
      <c r="AM84" s="1">
        <v>219.0</v>
      </c>
      <c r="AN84" s="1">
        <v>231.0</v>
      </c>
      <c r="AO84" s="1">
        <v>216.0</v>
      </c>
      <c r="AP84" s="2">
        <v>11.0</v>
      </c>
      <c r="AQ84" s="1">
        <v>3.0</v>
      </c>
      <c r="AR84" s="1">
        <v>3.0</v>
      </c>
      <c r="AS84" s="1" t="s">
        <v>525</v>
      </c>
      <c r="AT84" s="3" t="str">
        <f>HYPERLINK("https://icf.clappia.com/app/GMB253374/submission/ABO06468883/ICF247370-GMB253374-3n8a4gk7ajog00000000/SIG-20250704_1936j0jcj.jpeg", "SIG-20250704_1936j0jcj.jpeg")</f>
        <v>SIG-20250704_1936j0jcj.jpeg</v>
      </c>
      <c r="AU84" s="1" t="s">
        <v>526</v>
      </c>
      <c r="AV84" s="3" t="str">
        <f>HYPERLINK("https://icf.clappia.com/app/GMB253374/submission/ABO06468883/ICF247370-GMB253374-4a7jnhcaaf1m00000000/SIG-20250704_1936k6gb1.jpeg", "SIG-20250704_1936k6gb1.jpeg")</f>
        <v>SIG-20250704_1936k6gb1.jpeg</v>
      </c>
      <c r="AW84" s="1" t="s">
        <v>527</v>
      </c>
      <c r="AX84" s="3" t="str">
        <f>HYPERLINK("https://icf.clappia.com/app/GMB253374/submission/ABO06468883/ICF247370-GMB253374-62fho60eb1e000000000/SIG-20250704_1936on61i.jpeg", "SIG-20250704_1936on61i.jpeg")</f>
        <v>SIG-20250704_1936on61i.jpeg</v>
      </c>
      <c r="AY84" s="3" t="str">
        <f>HYPERLINK("https://www.google.com/maps/place/9.2205917%2C-12.14039", "9.2205917,-12.14039")</f>
        <v>9.2205917,-12.14039</v>
      </c>
    </row>
    <row r="85" ht="15.75" customHeight="1">
      <c r="A85" s="1" t="s">
        <v>531</v>
      </c>
      <c r="B85" s="2" t="s">
        <v>47</v>
      </c>
      <c r="C85" s="1" t="s">
        <v>532</v>
      </c>
      <c r="D85" s="1" t="s">
        <v>523</v>
      </c>
      <c r="E85" s="1" t="s">
        <v>533</v>
      </c>
      <c r="F85" s="1" t="s">
        <v>51</v>
      </c>
      <c r="G85" s="1">
        <v>247.0</v>
      </c>
      <c r="H85" s="1" t="s">
        <v>52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53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54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56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57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f t="shared" si="1"/>
        <v>246</v>
      </c>
      <c r="AM85" s="1">
        <v>247.0</v>
      </c>
      <c r="AN85" s="1">
        <v>259.0</v>
      </c>
      <c r="AO85" s="1">
        <v>230.0</v>
      </c>
      <c r="AP85" s="2">
        <v>11.0</v>
      </c>
      <c r="AQ85" s="1">
        <v>17.0</v>
      </c>
      <c r="AR85" s="1">
        <v>17.0</v>
      </c>
      <c r="AS85" s="1" t="s">
        <v>525</v>
      </c>
      <c r="AT85" s="3" t="str">
        <f>HYPERLINK("https://icf.clappia.com/app/GMB253374/submission/PCJ35649867/ICF247370-GMB253374-k1eh1kp9hm9m0000000/SIG-20250704_19227cok6.jpeg", "SIG-20250704_19227cok6.jpeg")</f>
        <v>SIG-20250704_19227cok6.jpeg</v>
      </c>
      <c r="AU85" s="1" t="s">
        <v>526</v>
      </c>
      <c r="AV85" s="3" t="str">
        <f>HYPERLINK("https://icf.clappia.com/app/GMB253374/submission/PCJ35649867/ICF247370-GMB253374-15j47gfg2c0gg000000/SIG-20250704_1923on591.jpeg", "SIG-20250704_1923on591.jpeg")</f>
        <v>SIG-20250704_1923on591.jpeg</v>
      </c>
      <c r="AW85" s="1" t="s">
        <v>527</v>
      </c>
      <c r="AX85" s="3" t="str">
        <f>HYPERLINK("https://icf.clappia.com/app/GMB253374/submission/PCJ35649867/ICF247370-GMB253374-52ip37p194o800000000/SIG-20250704_1923n37jp.jpeg", "SIG-20250704_1923n37jp.jpeg")</f>
        <v>SIG-20250704_1923n37jp.jpeg</v>
      </c>
      <c r="AY85" s="3" t="str">
        <f>HYPERLINK("https://www.google.com/maps/place/9.2243167%2C-12.1385152", "9.2243167,-12.1385152")</f>
        <v>9.2243167,-12.1385152</v>
      </c>
    </row>
    <row r="86" ht="15.75" customHeight="1">
      <c r="A86" s="1" t="s">
        <v>534</v>
      </c>
      <c r="B86" s="2" t="s">
        <v>47</v>
      </c>
      <c r="C86" s="1" t="s">
        <v>535</v>
      </c>
      <c r="D86" s="1" t="s">
        <v>536</v>
      </c>
      <c r="E86" s="1" t="s">
        <v>537</v>
      </c>
      <c r="F86" s="1" t="s">
        <v>51</v>
      </c>
      <c r="G86" s="1">
        <v>320.0</v>
      </c>
      <c r="H86" s="1" t="s">
        <v>52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53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54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56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57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f t="shared" si="1"/>
        <v>273</v>
      </c>
      <c r="AM86" s="1">
        <v>320.0</v>
      </c>
      <c r="AN86" s="1">
        <v>332.0</v>
      </c>
      <c r="AO86" s="1">
        <v>273.0</v>
      </c>
      <c r="AP86" s="2">
        <v>11.0</v>
      </c>
      <c r="AQ86" s="1">
        <v>47.0</v>
      </c>
      <c r="AR86" s="1">
        <v>47.0</v>
      </c>
      <c r="AS86" s="1" t="s">
        <v>525</v>
      </c>
      <c r="AT86" s="3" t="str">
        <f>HYPERLINK("https://icf.clappia.com/app/GMB253374/submission/FBY14149890/ICF247370-GMB253374-4j23ji5op4h600000000/SIG-20250704_1913945la.jpeg", "SIG-20250704_1913945la.jpeg")</f>
        <v>SIG-20250704_1913945la.jpeg</v>
      </c>
      <c r="AU86" s="1" t="s">
        <v>526</v>
      </c>
      <c r="AV86" s="3" t="str">
        <f>HYPERLINK("https://icf.clappia.com/app/GMB253374/submission/FBY14149890/ICF247370-GMB253374-5af7030df03e0000000/SIG-20250704_1913ab6jl.jpeg", "SIG-20250704_1913ab6jl.jpeg")</f>
        <v>SIG-20250704_1913ab6jl.jpeg</v>
      </c>
      <c r="AW86" s="1" t="s">
        <v>527</v>
      </c>
      <c r="AX86" s="3" t="str">
        <f>HYPERLINK("https://icf.clappia.com/app/GMB253374/submission/FBY14149890/ICF247370-GMB253374-2mm8k10hao5400000000/SIG-20250704_19141149d8.jpeg", "SIG-20250704_19141149d8.jpeg")</f>
        <v>SIG-20250704_19141149d8.jpeg</v>
      </c>
      <c r="AY86" s="3" t="str">
        <f t="shared" ref="AY86:AY87" si="3">HYPERLINK("https://www.google.com/maps/place/9.2225383%2C-12.1399783", "9.2225383,-12.1399783")</f>
        <v>9.2225383,-12.1399783</v>
      </c>
    </row>
    <row r="87" ht="15.75" customHeight="1">
      <c r="A87" s="1" t="s">
        <v>538</v>
      </c>
      <c r="B87" s="2" t="s">
        <v>47</v>
      </c>
      <c r="C87" s="1" t="s">
        <v>539</v>
      </c>
      <c r="D87" s="1" t="s">
        <v>536</v>
      </c>
      <c r="E87" s="1" t="s">
        <v>540</v>
      </c>
      <c r="F87" s="1" t="s">
        <v>72</v>
      </c>
      <c r="G87" s="1">
        <v>150.0</v>
      </c>
      <c r="H87" s="1" t="s">
        <v>52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53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54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56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57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f t="shared" si="1"/>
        <v>130</v>
      </c>
      <c r="AM87" s="1">
        <v>150.0</v>
      </c>
      <c r="AN87" s="1">
        <v>162.0</v>
      </c>
      <c r="AO87" s="1">
        <v>130.0</v>
      </c>
      <c r="AP87" s="2">
        <v>11.0</v>
      </c>
      <c r="AQ87" s="1">
        <v>20.0</v>
      </c>
      <c r="AR87" s="1">
        <v>20.0</v>
      </c>
      <c r="AS87" s="1" t="s">
        <v>525</v>
      </c>
      <c r="AT87" s="3" t="str">
        <f>HYPERLINK("https://icf.clappia.com/app/GMB253374/submission/UPM27511450/ICF247370-GMB253374-693n9i5lp22k00000000/SIG-20250704_190711fkjg.jpeg", "SIG-20250704_190711fkjg.jpeg")</f>
        <v>SIG-20250704_190711fkjg.jpeg</v>
      </c>
      <c r="AU87" s="1" t="s">
        <v>541</v>
      </c>
      <c r="AV87" s="3" t="str">
        <f>HYPERLINK("https://icf.clappia.com/app/GMB253374/submission/UPM27511450/ICF247370-GMB253374-3832lb2pbdlc00000000/SIG-20250704_190816k8lo.jpeg", "SIG-20250704_190816k8lo.jpeg")</f>
        <v>SIG-20250704_190816k8lo.jpeg</v>
      </c>
      <c r="AW87" s="1" t="s">
        <v>527</v>
      </c>
      <c r="AX87" s="3" t="str">
        <f>HYPERLINK("https://icf.clappia.com/app/GMB253374/submission/UPM27511450/ICF247370-GMB253374-58kmjhl597cc0000000/SIG-20250704_190911d922.jpeg", "SIG-20250704_190911d922.jpeg")</f>
        <v>SIG-20250704_190911d922.jpeg</v>
      </c>
      <c r="AY87" s="3" t="str">
        <f t="shared" si="3"/>
        <v>9.2225383,-12.1399783</v>
      </c>
    </row>
    <row r="88" ht="15.75" customHeight="1">
      <c r="A88" s="1" t="s">
        <v>542</v>
      </c>
      <c r="B88" s="2" t="s">
        <v>47</v>
      </c>
      <c r="C88" s="1" t="s">
        <v>543</v>
      </c>
      <c r="D88" s="1" t="s">
        <v>544</v>
      </c>
      <c r="E88" s="1" t="s">
        <v>545</v>
      </c>
      <c r="F88" s="1" t="s">
        <v>51</v>
      </c>
      <c r="G88" s="1">
        <v>300.0</v>
      </c>
      <c r="H88" s="1" t="s">
        <v>52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53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54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56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57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f t="shared" si="1"/>
        <v>175</v>
      </c>
      <c r="AM88" s="1">
        <v>300.0</v>
      </c>
      <c r="AN88" s="1">
        <v>312.0</v>
      </c>
      <c r="AO88" s="1">
        <v>175.0</v>
      </c>
      <c r="AP88" s="2">
        <v>11.0</v>
      </c>
      <c r="AQ88" s="1">
        <v>125.0</v>
      </c>
      <c r="AR88" s="1">
        <v>125.0</v>
      </c>
      <c r="AS88" s="1" t="s">
        <v>546</v>
      </c>
      <c r="AT88" s="3" t="str">
        <f>HYPERLINK("https://icf.clappia.com/app/GMB253374/submission/SFW54549853/ICF247370-GMB253374-3n99kpopp8gm00000000/SIG-20250626_1625f35gf.jpeg", "SIG-20250626_1625f35gf.jpeg")</f>
        <v>SIG-20250626_1625f35gf.jpeg</v>
      </c>
      <c r="AU88" s="1" t="s">
        <v>547</v>
      </c>
      <c r="AV88" s="3" t="str">
        <f>HYPERLINK("https://icf.clappia.com/app/GMB253374/submission/SFW54549853/ICF247370-GMB253374-2j0ip9ndifcg00000000/SIG-20250626_1625mbl48.jpeg", "SIG-20250626_1625mbl48.jpeg")</f>
        <v>SIG-20250626_1625mbl48.jpeg</v>
      </c>
      <c r="AW88" s="1" t="s">
        <v>548</v>
      </c>
      <c r="AX88" s="3" t="str">
        <f>HYPERLINK("https://icf.clappia.com/app/GMB253374/submission/SFW54549853/ICF247370-GMB253374-3eena406672200000000/SIG-20250626_16266jcm0.jpeg", "SIG-20250626_16266jcm0.jpeg")</f>
        <v>SIG-20250626_16266jcm0.jpeg</v>
      </c>
      <c r="AY88" s="3" t="str">
        <f>HYPERLINK("https://www.google.com/maps/place/8.8657016%2C-12.049865", "8.8657016,-12.049865")</f>
        <v>8.8657016,-12.049865</v>
      </c>
    </row>
    <row r="89" ht="15.75" customHeight="1">
      <c r="A89" s="1" t="s">
        <v>549</v>
      </c>
      <c r="B89" s="2" t="s">
        <v>47</v>
      </c>
      <c r="C89" s="1" t="s">
        <v>550</v>
      </c>
      <c r="D89" s="1" t="s">
        <v>551</v>
      </c>
      <c r="E89" s="1" t="s">
        <v>552</v>
      </c>
      <c r="F89" s="1" t="s">
        <v>51</v>
      </c>
      <c r="G89" s="1">
        <v>205.0</v>
      </c>
      <c r="H89" s="1" t="s">
        <v>52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53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54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56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55</v>
      </c>
      <c r="AF89" s="1" t="s">
        <v>57</v>
      </c>
      <c r="AG89" s="1" t="s">
        <v>55</v>
      </c>
      <c r="AH89" s="1" t="s">
        <v>55</v>
      </c>
      <c r="AI89" s="1" t="s">
        <v>55</v>
      </c>
      <c r="AJ89" s="1" t="s">
        <v>55</v>
      </c>
      <c r="AK89" s="1" t="s">
        <v>55</v>
      </c>
      <c r="AL89" s="1">
        <f t="shared" si="1"/>
        <v>205</v>
      </c>
      <c r="AM89" s="1">
        <v>205.0</v>
      </c>
      <c r="AN89" s="1">
        <v>217.0</v>
      </c>
      <c r="AO89" s="1">
        <v>200.0</v>
      </c>
      <c r="AP89" s="2">
        <v>11.0</v>
      </c>
      <c r="AQ89" s="1">
        <v>5.0</v>
      </c>
      <c r="AR89" s="1">
        <v>5.0</v>
      </c>
      <c r="AS89" s="1" t="s">
        <v>553</v>
      </c>
      <c r="AT89" s="3" t="str">
        <f>HYPERLINK("https://icf.clappia.com/app/GMB253374/submission/DOQ76717647/ICF247370-GMB253374-3g18d71369d600000000/SIG-20250703_1116476pi.jpeg", "SIG-20250703_1116476pi.jpeg")</f>
        <v>SIG-20250703_1116476pi.jpeg</v>
      </c>
      <c r="AU89" s="1" t="s">
        <v>554</v>
      </c>
      <c r="AV89" s="3" t="str">
        <f>HYPERLINK("https://icf.clappia.com/app/GMB253374/submission/DOQ76717647/ICF247370-GMB253374-4mn8lkl0mapk00000000/SIG-20250703_1114bf046.jpeg", "SIG-20250703_1114bf046.jpeg")</f>
        <v>SIG-20250703_1114bf046.jpeg</v>
      </c>
      <c r="AW89" s="1" t="s">
        <v>555</v>
      </c>
      <c r="AX89" s="3" t="str">
        <f>HYPERLINK("https://icf.clappia.com/app/GMB253374/submission/DOQ76717647/ICF247370-GMB253374-563hicnka3og00000000/SIG-20250703_111546epg.jpeg", "SIG-20250703_111546epg.jpeg")</f>
        <v>SIG-20250703_111546epg.jpeg</v>
      </c>
      <c r="AY89" s="3" t="str">
        <f>HYPERLINK("https://www.google.com/maps/place/7.6908217%2C-11.6001117", "7.6908217,-11.6001117")</f>
        <v>7.6908217,-11.6001117</v>
      </c>
    </row>
    <row r="90" ht="15.75" customHeight="1">
      <c r="A90" s="1" t="s">
        <v>556</v>
      </c>
      <c r="B90" s="2" t="s">
        <v>47</v>
      </c>
      <c r="C90" s="1" t="s">
        <v>557</v>
      </c>
      <c r="D90" s="1" t="s">
        <v>558</v>
      </c>
      <c r="E90" s="1" t="s">
        <v>559</v>
      </c>
      <c r="F90" s="1" t="s">
        <v>51</v>
      </c>
      <c r="G90" s="1">
        <v>300.0</v>
      </c>
      <c r="H90" s="1" t="s">
        <v>52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53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54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56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57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f t="shared" si="1"/>
        <v>294</v>
      </c>
      <c r="AM90" s="1">
        <v>300.0</v>
      </c>
      <c r="AN90" s="1">
        <v>312.0</v>
      </c>
      <c r="AO90" s="1">
        <v>286.0</v>
      </c>
      <c r="AP90" s="2">
        <v>11.0</v>
      </c>
      <c r="AQ90" s="1">
        <v>14.0</v>
      </c>
      <c r="AR90" s="1">
        <v>14.0</v>
      </c>
      <c r="AS90" s="1" t="s">
        <v>560</v>
      </c>
      <c r="AT90" s="3" t="str">
        <f>HYPERLINK("https://icf.clappia.com/app/GMB253374/submission/URE78506496/ICF247370-GMB253374-39af1o119kkg00000000/SIG-20250702_1048iomi.jpeg", "SIG-20250702_1048iomi.jpeg")</f>
        <v>SIG-20250702_1048iomi.jpeg</v>
      </c>
      <c r="AU90" s="1" t="s">
        <v>561</v>
      </c>
      <c r="AV90" s="3" t="str">
        <f>HYPERLINK("https://icf.clappia.com/app/GMB253374/submission/URE78506496/ICF247370-GMB253374-26ajpko3lkimi0000000/SIG-20250702_113882n89.jpeg", "SIG-20250702_113882n89.jpeg")</f>
        <v>SIG-20250702_113882n89.jpeg</v>
      </c>
      <c r="AW90" s="1" t="s">
        <v>562</v>
      </c>
      <c r="AX90" s="3" t="str">
        <f>HYPERLINK("https://icf.clappia.com/app/GMB253374/submission/URE78506496/ICF247370-GMB253374-5amom5oi7h0000000000/SIG-20250702_10493ap1d.jpeg", "SIG-20250702_10493ap1d.jpeg")</f>
        <v>SIG-20250702_10493ap1d.jpeg</v>
      </c>
      <c r="AY90" s="3" t="str">
        <f>HYPERLINK("https://www.google.com/maps/place/7.7365133%2C-11.643305", "7.7365133,-11.643305")</f>
        <v>7.7365133,-11.643305</v>
      </c>
    </row>
    <row r="91" ht="15.75" customHeight="1">
      <c r="A91" s="1" t="s">
        <v>563</v>
      </c>
      <c r="B91" s="2" t="s">
        <v>47</v>
      </c>
      <c r="C91" s="1" t="s">
        <v>564</v>
      </c>
      <c r="D91" s="1" t="s">
        <v>565</v>
      </c>
      <c r="E91" s="1" t="s">
        <v>566</v>
      </c>
      <c r="F91" s="1" t="s">
        <v>51</v>
      </c>
      <c r="G91" s="1">
        <v>197.0</v>
      </c>
      <c r="H91" s="1" t="s">
        <v>52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53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54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56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57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f t="shared" si="1"/>
        <v>203</v>
      </c>
      <c r="AM91" s="1">
        <v>197.0</v>
      </c>
      <c r="AN91" s="1">
        <v>209.0</v>
      </c>
      <c r="AO91" s="1">
        <v>189.0</v>
      </c>
      <c r="AP91" s="2">
        <v>11.0</v>
      </c>
      <c r="AQ91" s="1">
        <v>8.0</v>
      </c>
      <c r="AR91" s="1">
        <v>8.0</v>
      </c>
      <c r="AS91" s="1" t="s">
        <v>567</v>
      </c>
      <c r="AT91" s="3" t="str">
        <f>HYPERLINK("https://icf.clappia.com/app/GMB253374/submission/PKQ84727540/ICF247370-GMB253374-f095mdfd59g40000000/SIG-20250702_182523kod.jpeg", "SIG-20250702_182523kod.jpeg")</f>
        <v>SIG-20250702_182523kod.jpeg</v>
      </c>
      <c r="AU91" s="1" t="s">
        <v>568</v>
      </c>
      <c r="AV91" s="3" t="str">
        <f>HYPERLINK("https://icf.clappia.com/app/GMB253374/submission/PKQ84727540/ICF247370-GMB253374-2d89g205d6ka00000000/SIG-20250702_1825kp9ii.jpeg", "SIG-20250702_1825kp9ii.jpeg")</f>
        <v>SIG-20250702_1825kp9ii.jpeg</v>
      </c>
      <c r="AW91" s="1" t="s">
        <v>569</v>
      </c>
      <c r="AX91" s="3" t="str">
        <f>HYPERLINK("https://icf.clappia.com/app/GMB253374/submission/PKQ84727540/ICF247370-GMB253374-557aamk8a9ok00000000/SIG-20250702_18254f59.jpeg", "SIG-20250702_18254f59.jpeg")</f>
        <v>SIG-20250702_18254f59.jpeg</v>
      </c>
      <c r="AY91" s="3" t="str">
        <f>HYPERLINK("https://www.google.com/maps/place/9.0557017%2C-12.0824067", "9.0557017,-12.0824067")</f>
        <v>9.0557017,-12.0824067</v>
      </c>
    </row>
    <row r="92" ht="15.75" customHeight="1">
      <c r="A92" s="1" t="s">
        <v>570</v>
      </c>
      <c r="B92" s="2" t="s">
        <v>47</v>
      </c>
      <c r="C92" s="1" t="s">
        <v>571</v>
      </c>
      <c r="D92" s="1" t="s">
        <v>572</v>
      </c>
      <c r="E92" s="1" t="s">
        <v>573</v>
      </c>
      <c r="F92" s="1" t="s">
        <v>51</v>
      </c>
      <c r="G92" s="1">
        <v>287.0</v>
      </c>
      <c r="H92" s="1" t="s">
        <v>52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53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54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56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57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f t="shared" si="1"/>
        <v>287</v>
      </c>
      <c r="AM92" s="1">
        <v>287.0</v>
      </c>
      <c r="AN92" s="1">
        <v>299.0</v>
      </c>
      <c r="AO92" s="1">
        <v>273.0</v>
      </c>
      <c r="AP92" s="2">
        <v>11.0</v>
      </c>
      <c r="AQ92" s="1">
        <v>14.0</v>
      </c>
      <c r="AR92" s="1">
        <v>14.0</v>
      </c>
      <c r="AS92" s="1" t="s">
        <v>574</v>
      </c>
      <c r="AT92" s="3" t="str">
        <f>HYPERLINK("https://icf.clappia.com/app/GMB253374/submission/NYC83598690/ICF247370-GMB253374-39l7e6ni5h4e00000000/SIG-20250702_12241a1ohf.jpeg", "SIG-20250702_12241a1ohf.jpeg")</f>
        <v>SIG-20250702_12241a1ohf.jpeg</v>
      </c>
      <c r="AU92" s="1" t="s">
        <v>575</v>
      </c>
      <c r="AV92" s="3" t="str">
        <f>HYPERLINK("https://icf.clappia.com/app/GMB253374/submission/NYC83598690/ICF247370-GMB253374-620njjb403k800000000/SIG-20250702_122616k0km.jpeg", "SIG-20250702_122616k0km.jpeg")</f>
        <v>SIG-20250702_122616k0km.jpeg</v>
      </c>
      <c r="AW92" s="1" t="s">
        <v>576</v>
      </c>
      <c r="AX92" s="3" t="str">
        <f>HYPERLINK("https://icf.clappia.com/app/GMB253374/submission/NYC83598690/ICF247370-GMB253374-8hnbp1dojonm0000000/SIG-20250702_1225h66pd.jpeg", "SIG-20250702_1225h66pd.jpeg")</f>
        <v>SIG-20250702_1225h66pd.jpeg</v>
      </c>
      <c r="AY92" s="3" t="str">
        <f>HYPERLINK("https://www.google.com/maps/place/7.6561897%2C-11.8722786", "7.6561897,-11.8722786")</f>
        <v>7.6561897,-11.8722786</v>
      </c>
    </row>
    <row r="93" ht="15.75" customHeight="1">
      <c r="A93" s="1" t="s">
        <v>577</v>
      </c>
      <c r="B93" s="2" t="s">
        <v>47</v>
      </c>
      <c r="C93" s="1" t="s">
        <v>578</v>
      </c>
      <c r="D93" s="1" t="s">
        <v>579</v>
      </c>
      <c r="E93" s="1" t="s">
        <v>580</v>
      </c>
      <c r="F93" s="1" t="s">
        <v>51</v>
      </c>
      <c r="G93" s="1">
        <v>167.0</v>
      </c>
      <c r="H93" s="1" t="s">
        <v>52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53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54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56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57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f t="shared" si="1"/>
        <v>167</v>
      </c>
      <c r="AM93" s="1">
        <v>167.0</v>
      </c>
      <c r="AN93" s="1">
        <v>179.0</v>
      </c>
      <c r="AO93" s="1">
        <v>158.0</v>
      </c>
      <c r="AP93" s="2">
        <v>11.0</v>
      </c>
      <c r="AQ93" s="1">
        <v>9.0</v>
      </c>
      <c r="AR93" s="1">
        <v>9.0</v>
      </c>
      <c r="AS93" s="1" t="s">
        <v>574</v>
      </c>
      <c r="AT93" s="3" t="str">
        <f>HYPERLINK("https://icf.clappia.com/app/GMB253374/submission/RWG52963747/ICF247370-GMB253374-586cg9pic0fi00000000/SIG-20250701_1335155n3l.jpeg", "SIG-20250701_1335155n3l.jpeg")</f>
        <v>SIG-20250701_1335155n3l.jpeg</v>
      </c>
      <c r="AU93" s="1" t="s">
        <v>575</v>
      </c>
      <c r="AV93" s="3" t="str">
        <f>HYPERLINK("https://icf.clappia.com/app/GMB253374/submission/RWG52963747/ICF247370-GMB253374-20l6odnoano2e0000000/SIG-20250701_1335kcifb.jpeg", "SIG-20250701_1335kcifb.jpeg")</f>
        <v>SIG-20250701_1335kcifb.jpeg</v>
      </c>
      <c r="AW93" s="1" t="s">
        <v>576</v>
      </c>
      <c r="AX93" s="3" t="str">
        <f>HYPERLINK("https://icf.clappia.com/app/GMB253374/submission/RWG52963747/ICF247370-GMB253374-16bjlg7ob8k1m0000000/SIG-20250701_13358c5mf.jpeg", "SIG-20250701_13358c5mf.jpeg")</f>
        <v>SIG-20250701_13358c5mf.jpeg</v>
      </c>
      <c r="AY93" s="3" t="str">
        <f>HYPERLINK("https://www.google.com/maps/place/7.6646033%2C-11.8631581", "7.6646033,-11.8631581")</f>
        <v>7.6646033,-11.8631581</v>
      </c>
    </row>
    <row r="94" ht="15.75" customHeight="1">
      <c r="A94" s="1" t="s">
        <v>581</v>
      </c>
      <c r="B94" s="2" t="s">
        <v>47</v>
      </c>
      <c r="C94" s="1" t="s">
        <v>582</v>
      </c>
      <c r="D94" s="1" t="s">
        <v>582</v>
      </c>
      <c r="E94" s="1" t="s">
        <v>583</v>
      </c>
      <c r="F94" s="1" t="s">
        <v>51</v>
      </c>
      <c r="G94" s="1">
        <v>16.0</v>
      </c>
      <c r="H94" s="1" t="s">
        <v>52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53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54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56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57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f t="shared" si="1"/>
        <v>16</v>
      </c>
      <c r="AM94" s="1">
        <v>16.0</v>
      </c>
      <c r="AN94" s="1">
        <v>28.0</v>
      </c>
      <c r="AO94" s="1">
        <v>16.0</v>
      </c>
      <c r="AP94" s="2">
        <v>11.0</v>
      </c>
      <c r="AQ94" s="1">
        <v>0.0</v>
      </c>
      <c r="AR94" s="1">
        <v>0.0</v>
      </c>
      <c r="AS94" s="1" t="s">
        <v>584</v>
      </c>
      <c r="AT94" s="3" t="str">
        <f>HYPERLINK("https://icf.clappia.com/app/GMB253374/submission/JWI59389113/ICF247370-GMB253374-2jj02icf5ilm0000000/SIG-20250707_1118mimh2.jpeg", "SIG-20250707_1118mimh2.jpeg")</f>
        <v>SIG-20250707_1118mimh2.jpeg</v>
      </c>
      <c r="AU94" s="1" t="s">
        <v>585</v>
      </c>
      <c r="AV94" s="3" t="str">
        <f>HYPERLINK("https://icf.clappia.com/app/GMB253374/submission/JWI59389113/ICF247370-GMB253374-4k6mi871ihh600000000/SIG-20250707_1120h200n.jpeg", "SIG-20250707_1120h200n.jpeg")</f>
        <v>SIG-20250707_1120h200n.jpeg</v>
      </c>
      <c r="AW94" s="1" t="s">
        <v>586</v>
      </c>
      <c r="AX94" s="3" t="str">
        <f>HYPERLINK("https://icf.clappia.com/app/GMB253374/submission/JWI59389113/ICF247370-GMB253374-2elmi5m4414600000000/SIG-20250707_1120jepdl.jpeg", "SIG-20250707_1120jepdl.jpeg")</f>
        <v>SIG-20250707_1120jepdl.jpeg</v>
      </c>
      <c r="AY94" s="3" t="str">
        <f>HYPERLINK("https://www.google.com/maps/place/8.8909308%2C-12.0625014", "8.8909308,-12.0625014")</f>
        <v>8.8909308,-12.0625014</v>
      </c>
    </row>
    <row r="95" ht="15.75" customHeight="1">
      <c r="A95" s="1" t="s">
        <v>587</v>
      </c>
      <c r="B95" s="2" t="s">
        <v>47</v>
      </c>
      <c r="C95" s="1" t="s">
        <v>588</v>
      </c>
      <c r="D95" s="1" t="s">
        <v>589</v>
      </c>
      <c r="E95" s="1" t="s">
        <v>590</v>
      </c>
      <c r="F95" s="1" t="s">
        <v>51</v>
      </c>
      <c r="G95" s="1">
        <v>50.0</v>
      </c>
      <c r="H95" s="1" t="s">
        <v>52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53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54</v>
      </c>
      <c r="U95" s="1" t="s">
        <v>55</v>
      </c>
      <c r="V95" s="1" t="s">
        <v>55</v>
      </c>
      <c r="W95" s="1" t="s">
        <v>55</v>
      </c>
      <c r="X95" s="1" t="s">
        <v>55</v>
      </c>
      <c r="Y95" s="1" t="s">
        <v>55</v>
      </c>
      <c r="Z95" s="1" t="s">
        <v>56</v>
      </c>
      <c r="AA95" s="1" t="s">
        <v>55</v>
      </c>
      <c r="AB95" s="1" t="s">
        <v>55</v>
      </c>
      <c r="AC95" s="1" t="s">
        <v>55</v>
      </c>
      <c r="AD95" s="1" t="s">
        <v>55</v>
      </c>
      <c r="AE95" s="1" t="s">
        <v>55</v>
      </c>
      <c r="AF95" s="1" t="s">
        <v>57</v>
      </c>
      <c r="AG95" s="1" t="s">
        <v>55</v>
      </c>
      <c r="AH95" s="1" t="s">
        <v>55</v>
      </c>
      <c r="AI95" s="1" t="s">
        <v>55</v>
      </c>
      <c r="AJ95" s="1" t="s">
        <v>55</v>
      </c>
      <c r="AK95" s="1" t="s">
        <v>55</v>
      </c>
      <c r="AL95" s="1">
        <f t="shared" si="1"/>
        <v>35</v>
      </c>
      <c r="AM95" s="1">
        <v>50.0</v>
      </c>
      <c r="AN95" s="1">
        <v>62.0</v>
      </c>
      <c r="AO95" s="1">
        <v>35.0</v>
      </c>
      <c r="AP95" s="2">
        <v>11.0</v>
      </c>
      <c r="AQ95" s="1">
        <v>15.0</v>
      </c>
      <c r="AR95" s="1">
        <v>15.0</v>
      </c>
      <c r="AS95" s="1" t="s">
        <v>591</v>
      </c>
      <c r="AT95" s="3" t="str">
        <f>HYPERLINK("https://icf.clappia.com/app/GMB253374/submission/HDN20413030/ICF247370-GMB253374-2m38n238c32800000000/SIG-20250704_1729n5669.jpeg", "SIG-20250704_1729n5669.jpeg")</f>
        <v>SIG-20250704_1729n5669.jpeg</v>
      </c>
      <c r="AU95" s="1" t="s">
        <v>592</v>
      </c>
      <c r="AV95" s="3" t="str">
        <f>HYPERLINK("https://icf.clappia.com/app/GMB253374/submission/HDN20413030/ICF247370-GMB253374-17b26h08g8iak0000000/SIG-20250704_1729m77bj.jpeg", "SIG-20250704_1729m77bj.jpeg")</f>
        <v>SIG-20250704_1729m77bj.jpeg</v>
      </c>
      <c r="AW95" s="1" t="s">
        <v>593</v>
      </c>
      <c r="AX95" s="3" t="str">
        <f>HYPERLINK("https://icf.clappia.com/app/GMB253374/submission/HDN20413030/ICF247370-GMB253374-55b639lhlhmo00000000/SIG-20250704_173010aice.jpeg", "SIG-20250704_173010aice.jpeg")</f>
        <v>SIG-20250704_173010aice.jpeg</v>
      </c>
      <c r="AY95" s="3" t="str">
        <f>HYPERLINK("https://www.google.com/maps/place/9.0299967%2C-12.15755", "9.0299967,-12.15755")</f>
        <v>9.0299967,-12.15755</v>
      </c>
    </row>
    <row r="96" ht="15.75" customHeight="1">
      <c r="A96" s="1" t="s">
        <v>594</v>
      </c>
      <c r="B96" s="2" t="s">
        <v>47</v>
      </c>
      <c r="C96" s="1" t="s">
        <v>595</v>
      </c>
      <c r="D96" s="1" t="s">
        <v>596</v>
      </c>
      <c r="E96" s="1" t="s">
        <v>597</v>
      </c>
      <c r="F96" s="1" t="s">
        <v>51</v>
      </c>
      <c r="G96" s="1">
        <v>478.0</v>
      </c>
      <c r="H96" s="1" t="s">
        <v>52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53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54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56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57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f t="shared" si="1"/>
        <v>478</v>
      </c>
      <c r="AM96" s="1">
        <v>478.0</v>
      </c>
      <c r="AN96" s="1">
        <v>490.0</v>
      </c>
      <c r="AO96" s="1">
        <v>478.0</v>
      </c>
      <c r="AP96" s="2">
        <v>11.0</v>
      </c>
      <c r="AQ96" s="1">
        <v>0.0</v>
      </c>
      <c r="AR96" s="1">
        <v>0.0</v>
      </c>
      <c r="AS96" s="1" t="s">
        <v>598</v>
      </c>
      <c r="AT96" s="3" t="str">
        <f>HYPERLINK("https://icf.clappia.com/app/GMB253374/submission/LQZ29584550/ICF247370-GMB253374-1adm921ln6n7e0000000/SIG-20250704_124615li.jpeg", "SIG-20250704_124615li.jpeg")</f>
        <v>SIG-20250704_124615li.jpeg</v>
      </c>
      <c r="AU96" s="1" t="s">
        <v>599</v>
      </c>
      <c r="AV96" s="3" t="str">
        <f>HYPERLINK("https://icf.clappia.com/app/GMB253374/submission/LQZ29584550/ICF247370-GMB253374-1fbinddk6o4ac0000000/SIG-20250704_1246gjae8.jpeg", "SIG-20250704_1246gjae8.jpeg")</f>
        <v>SIG-20250704_1246gjae8.jpeg</v>
      </c>
      <c r="AW96" s="1" t="s">
        <v>600</v>
      </c>
      <c r="AX96" s="3" t="str">
        <f>HYPERLINK("https://icf.clappia.com/app/GMB253374/submission/LQZ29584550/ICF247370-GMB253374-1p0konp15a9120000000/SIG-20250704_1246oo3o6.jpeg", "SIG-20250704_1246oo3o6.jpeg")</f>
        <v>SIG-20250704_1246oo3o6.jpeg</v>
      </c>
      <c r="AY96" s="3" t="str">
        <f>HYPERLINK("https://www.google.com/maps/place/9.0241432%2C-12.1520158", "9.0241432,-12.1520158")</f>
        <v>9.0241432,-12.1520158</v>
      </c>
    </row>
    <row r="97" ht="15.75" customHeight="1">
      <c r="A97" s="1" t="s">
        <v>601</v>
      </c>
      <c r="B97" s="2" t="s">
        <v>47</v>
      </c>
      <c r="C97" s="1" t="s">
        <v>602</v>
      </c>
      <c r="D97" s="1" t="s">
        <v>602</v>
      </c>
      <c r="E97" s="1" t="s">
        <v>603</v>
      </c>
      <c r="F97" s="1" t="s">
        <v>51</v>
      </c>
      <c r="G97" s="1">
        <v>150.0</v>
      </c>
      <c r="H97" s="1" t="s">
        <v>52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53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54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56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57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f t="shared" si="1"/>
        <v>150</v>
      </c>
      <c r="AM97" s="1">
        <v>150.0</v>
      </c>
      <c r="AN97" s="1">
        <v>162.0</v>
      </c>
      <c r="AO97" s="1">
        <v>117.0</v>
      </c>
      <c r="AP97" s="2">
        <v>11.0</v>
      </c>
      <c r="AQ97" s="1">
        <v>33.0</v>
      </c>
      <c r="AR97" s="1">
        <v>33.0</v>
      </c>
      <c r="AS97" s="1" t="s">
        <v>604</v>
      </c>
      <c r="AT97" s="3" t="str">
        <f>HYPERLINK("https://icf.clappia.com/app/GMB253374/submission/WVN68335528/ICF247370-GMB253374-3m5m1k5131pk00000000/SIG-20250707_0010iip0c.jpeg", "SIG-20250707_0010iip0c.jpeg")</f>
        <v>SIG-20250707_0010iip0c.jpeg</v>
      </c>
      <c r="AU97" s="1" t="s">
        <v>605</v>
      </c>
      <c r="AV97" s="3" t="str">
        <f>HYPERLINK("https://icf.clappia.com/app/GMB253374/submission/WVN68335528/ICF247370-GMB253374-1nh05nak0c8h60000000/SIG-20250707_00111a2l25.jpeg", "SIG-20250707_00111a2l25.jpeg")</f>
        <v>SIG-20250707_00111a2l25.jpeg</v>
      </c>
      <c r="AW97" s="1" t="s">
        <v>606</v>
      </c>
      <c r="AX97" s="3" t="str">
        <f>HYPERLINK("https://icf.clappia.com/app/GMB253374/submission/WVN68335528/ICF247370-GMB253374-261h84d1kh1840000000/SIG-20250707_001319ibhb.jpeg", "SIG-20250707_001319ibhb.jpeg")</f>
        <v>SIG-20250707_001319ibhb.jpeg</v>
      </c>
      <c r="AY97" s="3" t="str">
        <f t="shared" ref="AY97:AY99" si="4">HYPERLINK("https://www.google.com/maps/place/8.8711844%2C-12.0566544", "8.8711844,-12.0566544")</f>
        <v>8.8711844,-12.0566544</v>
      </c>
    </row>
    <row r="98" ht="15.75" customHeight="1">
      <c r="A98" s="1" t="s">
        <v>607</v>
      </c>
      <c r="B98" s="2" t="s">
        <v>47</v>
      </c>
      <c r="C98" s="1" t="s">
        <v>608</v>
      </c>
      <c r="D98" s="1" t="s">
        <v>608</v>
      </c>
      <c r="E98" s="1" t="s">
        <v>609</v>
      </c>
      <c r="F98" s="1" t="s">
        <v>72</v>
      </c>
      <c r="G98" s="1">
        <v>100.0</v>
      </c>
      <c r="H98" s="1" t="s">
        <v>52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53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54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56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57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f t="shared" si="1"/>
        <v>85</v>
      </c>
      <c r="AM98" s="1">
        <v>100.0</v>
      </c>
      <c r="AN98" s="1">
        <v>112.0</v>
      </c>
      <c r="AO98" s="1">
        <v>85.0</v>
      </c>
      <c r="AP98" s="2">
        <v>11.0</v>
      </c>
      <c r="AQ98" s="1">
        <v>15.0</v>
      </c>
      <c r="AR98" s="1">
        <v>15.0</v>
      </c>
      <c r="AS98" s="1" t="s">
        <v>610</v>
      </c>
      <c r="AT98" s="3" t="str">
        <f>HYPERLINK("https://icf.clappia.com/app/GMB253374/submission/CXJ76132380/ICF247370-GMB253374-2mnhlf1ie2d800000000/SIG-20250706_23516883a.jpeg", "SIG-20250706_23516883a.jpeg")</f>
        <v>SIG-20250706_23516883a.jpeg</v>
      </c>
      <c r="AU98" s="1" t="s">
        <v>611</v>
      </c>
      <c r="AV98" s="3" t="str">
        <f>HYPERLINK("https://icf.clappia.com/app/GMB253374/submission/CXJ76132380/ICF247370-GMB253374-20ekn1ak845lg0000000/SIG-20250706_2351lj83f.jpeg", "SIG-20250706_2351lj83f.jpeg")</f>
        <v>SIG-20250706_2351lj83f.jpeg</v>
      </c>
      <c r="AW98" s="1" t="s">
        <v>612</v>
      </c>
      <c r="AX98" s="3" t="str">
        <f>HYPERLINK("https://icf.clappia.com/app/GMB253374/submission/CXJ76132380/ICF247370-GMB253374-i52i5lna5p1a0000000/SIG-20250706_2351nj9lk.jpeg", "SIG-20250706_2351nj9lk.jpeg")</f>
        <v>SIG-20250706_2351nj9lk.jpeg</v>
      </c>
      <c r="AY98" s="3" t="str">
        <f t="shared" si="4"/>
        <v>8.8711844,-12.0566544</v>
      </c>
    </row>
    <row r="99" ht="15.75" customHeight="1">
      <c r="A99" s="1" t="s">
        <v>613</v>
      </c>
      <c r="B99" s="2" t="s">
        <v>47</v>
      </c>
      <c r="C99" s="1" t="s">
        <v>614</v>
      </c>
      <c r="D99" s="1" t="s">
        <v>614</v>
      </c>
      <c r="E99" s="1" t="s">
        <v>615</v>
      </c>
      <c r="F99" s="1" t="s">
        <v>51</v>
      </c>
      <c r="G99" s="1">
        <v>50.0</v>
      </c>
      <c r="H99" s="1" t="s">
        <v>52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53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54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56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57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f t="shared" si="1"/>
        <v>40</v>
      </c>
      <c r="AM99" s="1">
        <v>50.0</v>
      </c>
      <c r="AN99" s="1">
        <v>62.0</v>
      </c>
      <c r="AO99" s="1">
        <v>40.0</v>
      </c>
      <c r="AP99" s="2">
        <v>11.0</v>
      </c>
      <c r="AQ99" s="1">
        <v>10.0</v>
      </c>
      <c r="AR99" s="1">
        <v>10.0</v>
      </c>
      <c r="AS99" s="1" t="s">
        <v>610</v>
      </c>
      <c r="AT99" s="3" t="str">
        <f>HYPERLINK("https://icf.clappia.com/app/GMB253374/submission/IJC69476924/ICF247370-GMB253374-52a0b87jj88000000000/SIG-20250706_233719i77f.jpeg", "SIG-20250706_233719i77f.jpeg")</f>
        <v>SIG-20250706_233719i77f.jpeg</v>
      </c>
      <c r="AU99" s="1" t="s">
        <v>611</v>
      </c>
      <c r="AV99" s="3" t="str">
        <f>HYPERLINK("https://icf.clappia.com/app/GMB253374/submission/IJC69476924/ICF247370-GMB253374-55443onk5co400000000/SIG-20250706_23386486o.jpeg", "SIG-20250706_23386486o.jpeg")</f>
        <v>SIG-20250706_23386486o.jpeg</v>
      </c>
      <c r="AW99" s="1" t="s">
        <v>612</v>
      </c>
      <c r="AX99" s="3" t="str">
        <f>HYPERLINK("https://icf.clappia.com/app/GMB253374/submission/IJC69476924/ICF247370-GMB253374-1jcc7nhonm5a80000000/SIG-20250706_234014n58n.jpeg", "SIG-20250706_234014n58n.jpeg")</f>
        <v>SIG-20250706_234014n58n.jpeg</v>
      </c>
      <c r="AY99" s="3" t="str">
        <f t="shared" si="4"/>
        <v>8.8711844,-12.0566544</v>
      </c>
    </row>
    <row r="100" ht="15.75" customHeight="1">
      <c r="A100" s="1" t="s">
        <v>616</v>
      </c>
      <c r="B100" s="2" t="s">
        <v>47</v>
      </c>
      <c r="C100" s="1" t="s">
        <v>617</v>
      </c>
      <c r="D100" s="1" t="s">
        <v>618</v>
      </c>
      <c r="E100" s="1" t="s">
        <v>619</v>
      </c>
      <c r="F100" s="1" t="s">
        <v>51</v>
      </c>
      <c r="G100" s="1">
        <v>200.0</v>
      </c>
      <c r="H100" s="1" t="s">
        <v>52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53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54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56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57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f t="shared" si="1"/>
        <v>95</v>
      </c>
      <c r="AM100" s="1">
        <v>200.0</v>
      </c>
      <c r="AN100" s="1">
        <v>212.0</v>
      </c>
      <c r="AO100" s="1">
        <v>50.0</v>
      </c>
      <c r="AP100" s="2">
        <v>11.0</v>
      </c>
      <c r="AQ100" s="1">
        <v>150.0</v>
      </c>
      <c r="AR100" s="1">
        <v>150.0</v>
      </c>
      <c r="AS100" s="1" t="s">
        <v>620</v>
      </c>
      <c r="AT100" s="3" t="str">
        <f>HYPERLINK("https://icf.clappia.com/app/GMB253374/submission/TGR09034821/ICF247370-GMB253374-3n1j12pf7aco00000000/SIG-20250703_1457c1bbc.jpeg", "SIG-20250703_1457c1bbc.jpeg")</f>
        <v>SIG-20250703_1457c1bbc.jpeg</v>
      </c>
      <c r="AU100" s="1" t="s">
        <v>621</v>
      </c>
      <c r="AV100" s="3" t="str">
        <f>HYPERLINK("https://icf.clappia.com/app/GMB253374/submission/TGR09034821/ICF247370-GMB253374-5eenj36mp1go00000000/SIG-20250703_1457k9154.jpeg", "SIG-20250703_1457k9154.jpeg")</f>
        <v>SIG-20250703_1457k9154.jpeg</v>
      </c>
      <c r="AW100" s="1" t="s">
        <v>622</v>
      </c>
      <c r="AX100" s="3" t="str">
        <f>HYPERLINK("https://icf.clappia.com/app/GMB253374/submission/TGR09034821/ICF247370-GMB253374-4nj2hipoge3200000000/SIG-20250703_145717je8.jpeg", "SIG-20250703_145717je8.jpeg")</f>
        <v>SIG-20250703_145717je8.jpeg</v>
      </c>
      <c r="AY100" s="3" t="str">
        <f>HYPERLINK("https://www.google.com/maps/place/7.90657%2C-11.983105", "7.90657,-11.983105")</f>
        <v>7.90657,-11.983105</v>
      </c>
    </row>
    <row r="101" ht="15.75" customHeight="1">
      <c r="A101" s="1" t="s">
        <v>623</v>
      </c>
      <c r="B101" s="2" t="s">
        <v>47</v>
      </c>
      <c r="C101" s="1" t="s">
        <v>624</v>
      </c>
      <c r="D101" s="1" t="s">
        <v>624</v>
      </c>
      <c r="E101" s="1" t="s">
        <v>625</v>
      </c>
      <c r="F101" s="1" t="s">
        <v>51</v>
      </c>
      <c r="G101" s="1">
        <v>131.0</v>
      </c>
      <c r="H101" s="1" t="s">
        <v>52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53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54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56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57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f t="shared" si="1"/>
        <v>131</v>
      </c>
      <c r="AM101" s="1">
        <v>131.0</v>
      </c>
      <c r="AN101" s="1">
        <v>143.0</v>
      </c>
      <c r="AO101" s="1">
        <v>131.0</v>
      </c>
      <c r="AP101" s="2">
        <v>11.0</v>
      </c>
      <c r="AQ101" s="1">
        <v>0.0</v>
      </c>
      <c r="AR101" s="1">
        <v>0.0</v>
      </c>
      <c r="AS101" s="1" t="s">
        <v>626</v>
      </c>
      <c r="AT101" s="3" t="str">
        <f>HYPERLINK("https://icf.clappia.com/app/GMB253374/submission/GVV08103298/ICF247370-GMB253374-33o2n21cmlbm00000000/SIG-20250706_1743154nio.jpeg", "SIG-20250706_1743154nio.jpeg")</f>
        <v>SIG-20250706_1743154nio.jpeg</v>
      </c>
      <c r="AU101" s="1" t="s">
        <v>627</v>
      </c>
      <c r="AV101" s="3" t="str">
        <f>HYPERLINK("https://icf.clappia.com/app/GMB253374/submission/GVV08103298/ICF247370-GMB253374-4n10gdc8g99k00000000/SIG-20250706_174419cde1.jpeg", "SIG-20250706_174419cde1.jpeg")</f>
        <v>SIG-20250706_174419cde1.jpeg</v>
      </c>
      <c r="AW101" s="1" t="s">
        <v>628</v>
      </c>
      <c r="AX101" s="3" t="str">
        <f>HYPERLINK("https://icf.clappia.com/app/GMB253374/submission/GVV08103298/ICF247370-GMB253374-copcehnn64ec0000000/SIG-20250706_1744odji2.jpeg", "SIG-20250706_1744odji2.jpeg")</f>
        <v>SIG-20250706_1744odji2.jpeg</v>
      </c>
      <c r="AY101" s="3" t="str">
        <f>HYPERLINK("https://www.google.com/maps/place/8.8907876%2C-12.062628", "8.8907876,-12.062628")</f>
        <v>8.8907876,-12.062628</v>
      </c>
    </row>
    <row r="102" ht="15.75" customHeight="1">
      <c r="A102" s="1" t="s">
        <v>629</v>
      </c>
      <c r="B102" s="2" t="s">
        <v>47</v>
      </c>
      <c r="C102" s="1" t="s">
        <v>630</v>
      </c>
      <c r="D102" s="1" t="s">
        <v>630</v>
      </c>
      <c r="E102" s="1" t="s">
        <v>631</v>
      </c>
      <c r="F102" s="1" t="s">
        <v>51</v>
      </c>
      <c r="G102" s="1">
        <v>86.0</v>
      </c>
      <c r="H102" s="1" t="s">
        <v>52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53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54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56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57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f t="shared" si="1"/>
        <v>86</v>
      </c>
      <c r="AM102" s="1">
        <v>86.0</v>
      </c>
      <c r="AN102" s="1">
        <v>98.0</v>
      </c>
      <c r="AO102" s="1">
        <v>86.0</v>
      </c>
      <c r="AP102" s="2">
        <v>11.0</v>
      </c>
      <c r="AQ102" s="1">
        <v>0.0</v>
      </c>
      <c r="AR102" s="1">
        <v>0.0</v>
      </c>
      <c r="AS102" s="1" t="s">
        <v>626</v>
      </c>
      <c r="AT102" s="3" t="str">
        <f>HYPERLINK("https://icf.clappia.com/app/GMB253374/submission/BPD38562905/ICF247370-GMB253374-45igm4jkpc8600000000/SIG-20250706_173991a2g.jpeg", "SIG-20250706_173991a2g.jpeg")</f>
        <v>SIG-20250706_173991a2g.jpeg</v>
      </c>
      <c r="AU102" s="1" t="s">
        <v>632</v>
      </c>
      <c r="AV102" s="3" t="str">
        <f>HYPERLINK("https://icf.clappia.com/app/GMB253374/submission/BPD38562905/ICF247370-GMB253374-1g2397bo9gcpm0000000/SIG-20250706_1739cph08.jpeg", "SIG-20250706_1739cph08.jpeg")</f>
        <v>SIG-20250706_1739cph08.jpeg</v>
      </c>
      <c r="AW102" s="1" t="s">
        <v>628</v>
      </c>
      <c r="AX102" s="3" t="str">
        <f>HYPERLINK("https://icf.clappia.com/app/GMB253374/submission/BPD38562905/ICF247370-GMB253374-5p4fk4j7l22400000000/SIG-20250706_1740dd9ek.jpeg", "SIG-20250706_1740dd9ek.jpeg")</f>
        <v>SIG-20250706_1740dd9ek.jpeg</v>
      </c>
      <c r="AY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633</v>
      </c>
      <c r="B103" s="2" t="s">
        <v>47</v>
      </c>
      <c r="C103" s="1" t="s">
        <v>634</v>
      </c>
      <c r="D103" s="1" t="s">
        <v>635</v>
      </c>
      <c r="E103" s="1" t="s">
        <v>636</v>
      </c>
      <c r="F103" s="1" t="s">
        <v>51</v>
      </c>
      <c r="G103" s="1">
        <v>350.0</v>
      </c>
      <c r="H103" s="1" t="s">
        <v>52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53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54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56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57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f t="shared" si="1"/>
        <v>315</v>
      </c>
      <c r="AM103" s="1">
        <v>350.0</v>
      </c>
      <c r="AN103" s="1">
        <v>362.0</v>
      </c>
      <c r="AO103" s="1">
        <v>315.0</v>
      </c>
      <c r="AP103" s="2">
        <v>11.0</v>
      </c>
      <c r="AQ103" s="1">
        <v>35.0</v>
      </c>
      <c r="AR103" s="1">
        <v>35.0</v>
      </c>
      <c r="AS103" s="1" t="s">
        <v>637</v>
      </c>
      <c r="AT103" s="3" t="str">
        <f>HYPERLINK("https://icf.clappia.com/app/GMB253374/submission/XGC07289315/ICF247370-GMB253374-33il25631ci200000000/SIG-20250702_1219399b3.jpeg", "SIG-20250702_1219399b3.jpeg")</f>
        <v>SIG-20250702_1219399b3.jpeg</v>
      </c>
      <c r="AU103" s="1" t="s">
        <v>638</v>
      </c>
      <c r="AV103" s="3" t="str">
        <f>HYPERLINK("https://icf.clappia.com/app/GMB253374/submission/XGC07289315/ICF247370-GMB253374-21h469bhec9h20000000/SIG-20250702_122013681f.jpeg", "SIG-20250702_122013681f.jpeg")</f>
        <v>SIG-20250702_122013681f.jpeg</v>
      </c>
      <c r="AW103" s="1" t="s">
        <v>639</v>
      </c>
      <c r="AX103" s="3" t="str">
        <f>HYPERLINK("https://icf.clappia.com/app/GMB253374/submission/XGC07289315/ICF247370-GMB253374-35n1bd8i24lk00000000/SIG-20250702_1220l9ebc.jpeg", "SIG-20250702_1220l9ebc.jpeg")</f>
        <v>SIG-20250702_1220l9ebc.jpeg</v>
      </c>
      <c r="AY103" s="3" t="str">
        <f>HYPERLINK("https://www.google.com/maps/place/7.930054%2C-11.5825419", "7.930054,-11.5825419")</f>
        <v>7.930054,-11.5825419</v>
      </c>
    </row>
    <row r="104" ht="15.75" customHeight="1">
      <c r="A104" s="1" t="s">
        <v>640</v>
      </c>
      <c r="B104" s="2" t="s">
        <v>47</v>
      </c>
      <c r="C104" s="1" t="s">
        <v>641</v>
      </c>
      <c r="D104" s="1" t="s">
        <v>641</v>
      </c>
      <c r="E104" s="1" t="s">
        <v>642</v>
      </c>
      <c r="F104" s="1" t="s">
        <v>51</v>
      </c>
      <c r="G104" s="1">
        <v>150.0</v>
      </c>
      <c r="H104" s="1" t="s">
        <v>52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53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54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56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57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f t="shared" si="1"/>
        <v>150</v>
      </c>
      <c r="AM104" s="1">
        <v>150.0</v>
      </c>
      <c r="AN104" s="1">
        <v>162.0</v>
      </c>
      <c r="AO104" s="1">
        <v>150.0</v>
      </c>
      <c r="AP104" s="2">
        <v>11.0</v>
      </c>
      <c r="AQ104" s="1">
        <v>0.0</v>
      </c>
      <c r="AR104" s="1">
        <v>0.0</v>
      </c>
      <c r="AS104" s="1" t="s">
        <v>201</v>
      </c>
      <c r="AT104" s="3" t="str">
        <f>HYPERLINK("https://icf.clappia.com/app/GMB253374/submission/TRV94008915/ICF247370-GMB253374-5gph6ed19nig00000000/SIG-20250705_1500ocheh.jpeg", "SIG-20250705_1500ocheh.jpeg")</f>
        <v>SIG-20250705_1500ocheh.jpeg</v>
      </c>
      <c r="AU104" s="1" t="s">
        <v>202</v>
      </c>
      <c r="AV104" s="3" t="str">
        <f>HYPERLINK("https://icf.clappia.com/app/GMB253374/submission/TRV94008915/ICF247370-GMB253374-bjlhpc5571b40000000/SIG-20250705_1500b0l0j.jpeg", "SIG-20250705_1500b0l0j.jpeg")</f>
        <v>SIG-20250705_1500b0l0j.jpeg</v>
      </c>
      <c r="AW104" s="1" t="s">
        <v>203</v>
      </c>
      <c r="AX104" s="3" t="str">
        <f>HYPERLINK("https://icf.clappia.com/app/GMB253374/submission/TRV94008915/ICF247370-GMB253374-4bno1po22ic600000000/SIG-20250705_1500b9bg0.jpeg", "SIG-20250705_1500b9bg0.jpeg")</f>
        <v>SIG-20250705_1500b9bg0.jpeg</v>
      </c>
      <c r="AY104" s="3" t="str">
        <f>HYPERLINK("https://www.google.com/maps/place/8.8754383%2C-12.011095", "8.8754383,-12.011095")</f>
        <v>8.8754383,-12.011095</v>
      </c>
    </row>
    <row r="105" ht="15.75" customHeight="1">
      <c r="A105" s="1" t="s">
        <v>643</v>
      </c>
      <c r="B105" s="2" t="s">
        <v>47</v>
      </c>
      <c r="C105" s="1" t="s">
        <v>644</v>
      </c>
      <c r="D105" s="1" t="s">
        <v>644</v>
      </c>
      <c r="E105" s="1" t="s">
        <v>645</v>
      </c>
      <c r="F105" s="1" t="s">
        <v>51</v>
      </c>
      <c r="G105" s="1">
        <v>200.0</v>
      </c>
      <c r="H105" s="1" t="s">
        <v>52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53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54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56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57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f t="shared" si="1"/>
        <v>200</v>
      </c>
      <c r="AM105" s="1">
        <v>200.0</v>
      </c>
      <c r="AN105" s="1">
        <v>212.0</v>
      </c>
      <c r="AO105" s="1">
        <v>200.0</v>
      </c>
      <c r="AP105" s="2">
        <v>11.0</v>
      </c>
      <c r="AQ105" s="1">
        <v>0.0</v>
      </c>
      <c r="AR105" s="1">
        <v>0.0</v>
      </c>
      <c r="AS105" s="1" t="s">
        <v>201</v>
      </c>
      <c r="AT105" s="3" t="str">
        <f>HYPERLINK("https://icf.clappia.com/app/GMB253374/submission/QXH38671761/ICF247370-GMB253374-1el3f37bh970c0000000/SIG-20250705_143284bik.jpeg", "SIG-20250705_143284bik.jpeg")</f>
        <v>SIG-20250705_143284bik.jpeg</v>
      </c>
      <c r="AU105" s="1" t="s">
        <v>202</v>
      </c>
      <c r="AV105" s="3" t="str">
        <f>HYPERLINK("https://icf.clappia.com/app/GMB253374/submission/QXH38671761/ICF247370-GMB253374-61m336bfa5i800000000/SIG-20250705_1432af7ae.jpeg", "SIG-20250705_1432af7ae.jpeg")</f>
        <v>SIG-20250705_1432af7ae.jpeg</v>
      </c>
      <c r="AW105" s="1" t="s">
        <v>203</v>
      </c>
      <c r="AX105" s="3" t="str">
        <f>HYPERLINK("https://icf.clappia.com/app/GMB253374/submission/QXH38671761/ICF247370-GMB253374-2dbka7d0a9oo00000000/SIG-20250705_143317abee.jpeg", "SIG-20250705_143317abee.jpeg")</f>
        <v>SIG-20250705_143317abee.jpeg</v>
      </c>
      <c r="AY105" s="3" t="str">
        <f t="shared" ref="AY105:AY106" si="5">HYPERLINK("https://www.google.com/maps/place/8.8807217%2C-11.9505117", "8.8807217,-11.9505117")</f>
        <v>8.8807217,-11.9505117</v>
      </c>
    </row>
    <row r="106" ht="15.75" customHeight="1">
      <c r="A106" s="1" t="s">
        <v>646</v>
      </c>
      <c r="B106" s="2" t="s">
        <v>47</v>
      </c>
      <c r="C106" s="1" t="s">
        <v>647</v>
      </c>
      <c r="D106" s="1" t="s">
        <v>647</v>
      </c>
      <c r="E106" s="1" t="s">
        <v>648</v>
      </c>
      <c r="F106" s="1" t="s">
        <v>51</v>
      </c>
      <c r="G106" s="1">
        <v>200.0</v>
      </c>
      <c r="H106" s="1" t="s">
        <v>52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53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54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56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57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f t="shared" si="1"/>
        <v>200</v>
      </c>
      <c r="AM106" s="1">
        <v>200.0</v>
      </c>
      <c r="AN106" s="1">
        <v>212.0</v>
      </c>
      <c r="AO106" s="1">
        <v>200.0</v>
      </c>
      <c r="AP106" s="2">
        <v>11.0</v>
      </c>
      <c r="AQ106" s="1">
        <v>0.0</v>
      </c>
      <c r="AR106" s="1">
        <v>0.0</v>
      </c>
      <c r="AS106" s="1" t="s">
        <v>201</v>
      </c>
      <c r="AT106" s="3" t="str">
        <f>HYPERLINK("https://icf.clappia.com/app/GMB253374/submission/KXL53807889/ICF247370-GMB253374-5dhd445go79200000000/SIG-20250705_1356hh17l.jpeg", "SIG-20250705_1356hh17l.jpeg")</f>
        <v>SIG-20250705_1356hh17l.jpeg</v>
      </c>
      <c r="AU106" s="1" t="s">
        <v>202</v>
      </c>
      <c r="AV106" s="3" t="str">
        <f>HYPERLINK("https://icf.clappia.com/app/GMB253374/submission/KXL53807889/ICF247370-GMB253374-6bhdhgf36ice00000000/SIG-20250705_135616eaj1.jpeg", "SIG-20250705_135616eaj1.jpeg")</f>
        <v>SIG-20250705_135616eaj1.jpeg</v>
      </c>
      <c r="AW106" s="1" t="s">
        <v>203</v>
      </c>
      <c r="AX106" s="3" t="str">
        <f>HYPERLINK("https://icf.clappia.com/app/GMB253374/submission/KXL53807889/ICF247370-GMB253374-1jgi67d7jmi5g0000000/SIG-20250705_13574fi88.jpeg", "SIG-20250705_13574fi88.jpeg")</f>
        <v>SIG-20250705_13574fi88.jpeg</v>
      </c>
      <c r="AY106" s="3" t="str">
        <f t="shared" si="5"/>
        <v>8.8807217,-11.9505117</v>
      </c>
    </row>
    <row r="107" ht="15.75" customHeight="1">
      <c r="A107" s="1" t="s">
        <v>649</v>
      </c>
      <c r="B107" s="2" t="s">
        <v>47</v>
      </c>
      <c r="C107" s="1" t="s">
        <v>650</v>
      </c>
      <c r="D107" s="1" t="s">
        <v>650</v>
      </c>
      <c r="E107" s="1" t="s">
        <v>651</v>
      </c>
      <c r="F107" s="1" t="s">
        <v>51</v>
      </c>
      <c r="G107" s="1">
        <v>185.0</v>
      </c>
      <c r="H107" s="1" t="s">
        <v>52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53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54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56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57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f t="shared" si="1"/>
        <v>185</v>
      </c>
      <c r="AM107" s="1">
        <v>185.0</v>
      </c>
      <c r="AN107" s="1">
        <v>197.0</v>
      </c>
      <c r="AO107" s="1">
        <v>185.0</v>
      </c>
      <c r="AP107" s="2">
        <v>11.0</v>
      </c>
      <c r="AQ107" s="1">
        <v>0.0</v>
      </c>
      <c r="AR107" s="1">
        <v>0.0</v>
      </c>
      <c r="AS107" s="1" t="s">
        <v>652</v>
      </c>
      <c r="AT107" s="3" t="str">
        <f>HYPERLINK("https://icf.clappia.com/app/GMB253374/submission/CHE19134450/ICF247370-GMB253374-1fgb18fl18ioo0000000/SIG-20250705_1318169394.jpeg", "SIG-20250705_1318169394.jpeg")</f>
        <v>SIG-20250705_1318169394.jpeg</v>
      </c>
      <c r="AU107" s="1" t="s">
        <v>653</v>
      </c>
      <c r="AV107" s="3" t="str">
        <f>HYPERLINK("https://icf.clappia.com/app/GMB253374/submission/CHE19134450/ICF247370-GMB253374-471a42n9ibdo00000000/SIG-20250705_1319191hbo.jpeg", "SIG-20250705_1319191hbo.jpeg")</f>
        <v>SIG-20250705_1319191hbo.jpeg</v>
      </c>
      <c r="AW107" s="1" t="s">
        <v>654</v>
      </c>
      <c r="AX107" s="3" t="str">
        <f>HYPERLINK("https://icf.clappia.com/app/GMB253374/submission/CHE19134450/ICF247370-GMB253374-23ggkdgg5cfe80000000/SIG-20250705_132047j2h.jpeg", "SIG-20250705_132047j2h.jpeg")</f>
        <v>SIG-20250705_132047j2h.jpeg</v>
      </c>
      <c r="AY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655</v>
      </c>
      <c r="B108" s="2" t="s">
        <v>47</v>
      </c>
      <c r="C108" s="1" t="s">
        <v>656</v>
      </c>
      <c r="D108" s="1" t="s">
        <v>656</v>
      </c>
      <c r="E108" s="1" t="s">
        <v>657</v>
      </c>
      <c r="F108" s="1" t="s">
        <v>51</v>
      </c>
      <c r="G108" s="1">
        <v>250.0</v>
      </c>
      <c r="H108" s="1" t="s">
        <v>52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53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54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56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57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f t="shared" si="1"/>
        <v>222</v>
      </c>
      <c r="AM108" s="1">
        <v>250.0</v>
      </c>
      <c r="AN108" s="1">
        <v>262.0</v>
      </c>
      <c r="AO108" s="1">
        <v>222.0</v>
      </c>
      <c r="AP108" s="2">
        <v>11.0</v>
      </c>
      <c r="AQ108" s="1">
        <v>28.0</v>
      </c>
      <c r="AR108" s="1">
        <v>28.0</v>
      </c>
      <c r="AS108" s="1" t="s">
        <v>201</v>
      </c>
      <c r="AT108" s="3" t="str">
        <f>HYPERLINK("https://icf.clappia.com/app/GMB253374/submission/VOB17532542/ICF247370-GMB253374-4a7p6mcmono800000000/SIG-20250705_1312kdjk7.jpeg", "SIG-20250705_1312kdjk7.jpeg")</f>
        <v>SIG-20250705_1312kdjk7.jpeg</v>
      </c>
      <c r="AU108" s="1" t="s">
        <v>202</v>
      </c>
      <c r="AV108" s="3" t="str">
        <f>HYPERLINK("https://icf.clappia.com/app/GMB253374/submission/VOB17532542/ICF247370-GMB253374-4gdfal85i36k00000000/SIG-20250705_131318c0al.jpeg", "SIG-20250705_131318c0al.jpeg")</f>
        <v>SIG-20250705_131318c0al.jpeg</v>
      </c>
      <c r="AW108" s="1" t="s">
        <v>203</v>
      </c>
      <c r="AX108" s="3" t="str">
        <f>HYPERLINK("https://icf.clappia.com/app/GMB253374/submission/VOB17532542/ICF247370-GMB253374-4cpcenl404ck00000000/SIG-20250705_131311hk61.jpeg", "SIG-20250705_131311hk61.jpeg")</f>
        <v>SIG-20250705_131311hk61.jpeg</v>
      </c>
      <c r="AY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658</v>
      </c>
      <c r="B109" s="2" t="s">
        <v>47</v>
      </c>
      <c r="C109" s="1" t="s">
        <v>659</v>
      </c>
      <c r="D109" s="1" t="s">
        <v>659</v>
      </c>
      <c r="E109" s="1" t="s">
        <v>660</v>
      </c>
      <c r="F109" s="1" t="s">
        <v>51</v>
      </c>
      <c r="G109" s="1">
        <v>350.0</v>
      </c>
      <c r="H109" s="1" t="s">
        <v>52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53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54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56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57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f t="shared" si="1"/>
        <v>332</v>
      </c>
      <c r="AM109" s="1">
        <v>350.0</v>
      </c>
      <c r="AN109" s="1">
        <v>362.0</v>
      </c>
      <c r="AO109" s="1">
        <v>332.0</v>
      </c>
      <c r="AP109" s="2">
        <v>11.0</v>
      </c>
      <c r="AQ109" s="1">
        <v>18.0</v>
      </c>
      <c r="AR109" s="1">
        <v>18.0</v>
      </c>
      <c r="AS109" s="1" t="s">
        <v>661</v>
      </c>
      <c r="AT109" s="3" t="str">
        <f>HYPERLINK("https://icf.clappia.com/app/GMB253374/submission/IDS63753024/ICF247370-GMB253374-o25c2dg8n8g80000000/SIG-20250704_0930jp5ac.jpeg", "SIG-20250704_0930jp5ac.jpeg")</f>
        <v>SIG-20250704_0930jp5ac.jpeg</v>
      </c>
      <c r="AU109" s="1" t="s">
        <v>662</v>
      </c>
      <c r="AV109" s="3" t="str">
        <f>HYPERLINK("https://icf.clappia.com/app/GMB253374/submission/IDS63753024/ICF247370-GMB253374-4o09pchda3ko00000000/SIG-20250704_0930aie5m.jpeg", "SIG-20250704_0930aie5m.jpeg")</f>
        <v>SIG-20250704_0930aie5m.jpeg</v>
      </c>
      <c r="AW109" s="1" t="s">
        <v>663</v>
      </c>
      <c r="AX109" s="3" t="str">
        <f>HYPERLINK("https://icf.clappia.com/app/GMB253374/submission/IDS63753024/ICF247370-GMB253374-2bnfhi0mlfcg00000000/SIG-20250704_093027lec.jpeg", "SIG-20250704_093027lec.jpeg")</f>
        <v>SIG-20250704_093027lec.jpeg</v>
      </c>
      <c r="AY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664</v>
      </c>
      <c r="B110" s="2" t="s">
        <v>47</v>
      </c>
      <c r="C110" s="1" t="s">
        <v>665</v>
      </c>
      <c r="D110" s="1" t="s">
        <v>665</v>
      </c>
      <c r="E110" s="1" t="s">
        <v>666</v>
      </c>
      <c r="F110" s="1" t="s">
        <v>51</v>
      </c>
      <c r="G110" s="1">
        <v>90.0</v>
      </c>
      <c r="H110" s="1" t="s">
        <v>52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53</v>
      </c>
      <c r="O110" s="1" t="s">
        <v>55</v>
      </c>
      <c r="P110" s="1" t="s">
        <v>55</v>
      </c>
      <c r="Q110" s="1" t="s">
        <v>55</v>
      </c>
      <c r="R110" s="1" t="s">
        <v>55</v>
      </c>
      <c r="S110" s="1" t="s">
        <v>55</v>
      </c>
      <c r="T110" s="1" t="s">
        <v>54</v>
      </c>
      <c r="U110" s="1" t="s">
        <v>55</v>
      </c>
      <c r="V110" s="1" t="s">
        <v>55</v>
      </c>
      <c r="W110" s="1" t="s">
        <v>55</v>
      </c>
      <c r="X110" s="1" t="s">
        <v>55</v>
      </c>
      <c r="Y110" s="1" t="s">
        <v>55</v>
      </c>
      <c r="Z110" s="1" t="s">
        <v>56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57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f t="shared" si="1"/>
        <v>90</v>
      </c>
      <c r="AM110" s="1">
        <v>90.0</v>
      </c>
      <c r="AN110" s="1">
        <v>102.0</v>
      </c>
      <c r="AO110" s="1">
        <v>90.0</v>
      </c>
      <c r="AP110" s="2">
        <v>11.0</v>
      </c>
      <c r="AQ110" s="1">
        <v>0.0</v>
      </c>
      <c r="AR110" s="1">
        <v>0.0</v>
      </c>
      <c r="AS110" s="1" t="s">
        <v>667</v>
      </c>
      <c r="AT110" s="3" t="str">
        <f>HYPERLINK("https://icf.clappia.com/app/GMB253374/submission/VFZ79287393/ICF247370-GMB253374-69jbegj6i3mo00000000/SIG-20250705_09332p4p4.jpeg", "SIG-20250705_09332p4p4.jpeg")</f>
        <v>SIG-20250705_09332p4p4.jpeg</v>
      </c>
      <c r="AU110" s="1" t="s">
        <v>668</v>
      </c>
      <c r="AV110" s="3" t="str">
        <f>HYPERLINK("https://icf.clappia.com/app/GMB253374/submission/VFZ79287393/ICF247370-GMB253374-g9j3hk9fge160000000/SIG-20250705_09489gn11.jpeg", "SIG-20250705_09489gn11.jpeg")</f>
        <v>SIG-20250705_09489gn11.jpeg</v>
      </c>
      <c r="AW110" s="1" t="s">
        <v>669</v>
      </c>
      <c r="AX110" s="3" t="str">
        <f>HYPERLINK("https://icf.clappia.com/app/GMB253374/submission/VFZ79287393/ICF247370-GMB253374-2fp9o3l9ddag00000000/SIG-20250705_094819ahh5.jpeg", "SIG-20250705_094819ahh5.jpeg")</f>
        <v>SIG-20250705_094819ahh5.jpeg</v>
      </c>
      <c r="AY110" s="3" t="str">
        <f>HYPERLINK("https://www.google.com/maps/place/7.963825%2C-11.7251562", "7.963825,-11.7251562")</f>
        <v>7.963825,-11.7251562</v>
      </c>
    </row>
    <row r="111" ht="15.75" customHeight="1">
      <c r="A111" s="1" t="s">
        <v>670</v>
      </c>
      <c r="B111" s="2" t="s">
        <v>47</v>
      </c>
      <c r="C111" s="1" t="s">
        <v>671</v>
      </c>
      <c r="D111" s="1" t="s">
        <v>671</v>
      </c>
      <c r="E111" s="1" t="s">
        <v>672</v>
      </c>
      <c r="F111" s="1" t="s">
        <v>51</v>
      </c>
      <c r="G111" s="1">
        <v>100.0</v>
      </c>
      <c r="H111" s="1" t="s">
        <v>52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53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54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56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57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f t="shared" si="1"/>
        <v>111</v>
      </c>
      <c r="AM111" s="1">
        <v>100.0</v>
      </c>
      <c r="AN111" s="1">
        <v>112.0</v>
      </c>
      <c r="AO111" s="1">
        <v>100.0</v>
      </c>
      <c r="AP111" s="2">
        <v>11.0</v>
      </c>
      <c r="AQ111" s="1">
        <v>0.0</v>
      </c>
      <c r="AR111" s="1">
        <v>0.0</v>
      </c>
      <c r="AS111" s="1" t="s">
        <v>673</v>
      </c>
      <c r="AT111" s="3" t="str">
        <f>HYPERLINK("https://icf.clappia.com/app/GMB253374/submission/JZI54580052/ICF247370-GMB253374-1e36hm77pfhge0000000/SIG-20250705_09194gfm6.jpeg", "SIG-20250705_09194gfm6.jpeg")</f>
        <v>SIG-20250705_09194gfm6.jpeg</v>
      </c>
      <c r="AU111" s="1" t="s">
        <v>674</v>
      </c>
      <c r="AV111" s="3" t="str">
        <f>HYPERLINK("https://icf.clappia.com/app/GMB253374/submission/JZI54580052/ICF247370-GMB253374-o0190238b1m80000000/SIG-20250705_0919100hgf.jpeg", "SIG-20250705_0919100hgf.jpeg")</f>
        <v>SIG-20250705_0919100hgf.jpeg</v>
      </c>
      <c r="AW111" s="1" t="s">
        <v>675</v>
      </c>
      <c r="AX111" s="3" t="str">
        <f>HYPERLINK("https://icf.clappia.com/app/GMB253374/submission/JZI54580052/ICF247370-GMB253374-49838acoi34k00000000/SIG-20250705_091988jkf.jpeg", "SIG-20250705_091988jkf.jpeg")</f>
        <v>SIG-20250705_091988jkf.jpeg</v>
      </c>
      <c r="AY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676</v>
      </c>
      <c r="B112" s="2" t="s">
        <v>47</v>
      </c>
      <c r="C112" s="1" t="s">
        <v>677</v>
      </c>
      <c r="D112" s="1" t="s">
        <v>677</v>
      </c>
      <c r="E112" s="1" t="s">
        <v>678</v>
      </c>
      <c r="F112" s="1" t="s">
        <v>51</v>
      </c>
      <c r="G112" s="1">
        <v>234.0</v>
      </c>
      <c r="H112" s="1" t="s">
        <v>52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53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54</v>
      </c>
      <c r="U112" s="1" t="s">
        <v>55</v>
      </c>
      <c r="V112" s="1" t="s">
        <v>55</v>
      </c>
      <c r="W112" s="1" t="s">
        <v>55</v>
      </c>
      <c r="X112" s="1" t="s">
        <v>55</v>
      </c>
      <c r="Y112" s="1" t="s">
        <v>55</v>
      </c>
      <c r="Z112" s="1" t="s">
        <v>56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55</v>
      </c>
      <c r="AF112" s="1" t="s">
        <v>57</v>
      </c>
      <c r="AG112" s="1" t="s">
        <v>55</v>
      </c>
      <c r="AH112" s="1" t="s">
        <v>55</v>
      </c>
      <c r="AI112" s="1" t="s">
        <v>55</v>
      </c>
      <c r="AJ112" s="1" t="s">
        <v>55</v>
      </c>
      <c r="AK112" s="1" t="s">
        <v>55</v>
      </c>
      <c r="AL112" s="1">
        <f t="shared" si="1"/>
        <v>173</v>
      </c>
      <c r="AM112" s="1">
        <v>234.0</v>
      </c>
      <c r="AN112" s="1">
        <v>246.0</v>
      </c>
      <c r="AO112" s="1">
        <v>160.0</v>
      </c>
      <c r="AP112" s="2">
        <v>11.0</v>
      </c>
      <c r="AQ112" s="1">
        <v>74.0</v>
      </c>
      <c r="AR112" s="1">
        <v>74.0</v>
      </c>
      <c r="AS112" s="1" t="s">
        <v>679</v>
      </c>
      <c r="AT112" s="3" t="str">
        <f>HYPERLINK("https://icf.clappia.com/app/GMB253374/submission/OXP32051001/ICF247370-GMB253374-63pe4pa4pn1600000000/SIG-20250704_21562mfj7.jpeg", "SIG-20250704_21562mfj7.jpeg")</f>
        <v>SIG-20250704_21562mfj7.jpeg</v>
      </c>
      <c r="AU112" s="1" t="s">
        <v>680</v>
      </c>
      <c r="AV112" s="3" t="str">
        <f>HYPERLINK("https://icf.clappia.com/app/GMB253374/submission/OXP32051001/ICF247370-GMB253374-13g774n67m6n20000000/SIG-20250704_215815ng6i.jpeg", "SIG-20250704_215815ng6i.jpeg")</f>
        <v>SIG-20250704_215815ng6i.jpeg</v>
      </c>
      <c r="AW112" s="1" t="s">
        <v>681</v>
      </c>
      <c r="AX112" s="3" t="str">
        <f>HYPERLINK("https://icf.clappia.com/app/GMB253374/submission/OXP32051001/ICF247370-GMB253374-o084064i395i0000000/SIG-20250704_2159k95e9.jpeg", "SIG-20250704_2159k95e9.jpeg")</f>
        <v>SIG-20250704_2159k95e9.jpeg</v>
      </c>
      <c r="AY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682</v>
      </c>
      <c r="B113" s="2" t="s">
        <v>47</v>
      </c>
      <c r="C113" s="1" t="s">
        <v>683</v>
      </c>
      <c r="D113" s="1" t="s">
        <v>683</v>
      </c>
      <c r="E113" s="1" t="s">
        <v>684</v>
      </c>
      <c r="F113" s="1" t="s">
        <v>51</v>
      </c>
      <c r="G113" s="1">
        <v>120.0</v>
      </c>
      <c r="H113" s="1" t="s">
        <v>52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53</v>
      </c>
      <c r="O113" s="1" t="s">
        <v>55</v>
      </c>
      <c r="P113" s="1" t="s">
        <v>55</v>
      </c>
      <c r="Q113" s="1" t="s">
        <v>55</v>
      </c>
      <c r="R113" s="1" t="s">
        <v>55</v>
      </c>
      <c r="S113" s="1" t="s">
        <v>55</v>
      </c>
      <c r="T113" s="1" t="s">
        <v>54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56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57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f t="shared" si="1"/>
        <v>107</v>
      </c>
      <c r="AM113" s="1">
        <v>120.0</v>
      </c>
      <c r="AN113" s="1">
        <v>132.0</v>
      </c>
      <c r="AO113" s="1">
        <v>107.0</v>
      </c>
      <c r="AP113" s="2">
        <v>11.0</v>
      </c>
      <c r="AQ113" s="1">
        <v>13.0</v>
      </c>
      <c r="AR113" s="1">
        <v>13.0</v>
      </c>
      <c r="AS113" s="1" t="s">
        <v>685</v>
      </c>
      <c r="AT113" s="3" t="str">
        <f>HYPERLINK("https://icf.clappia.com/app/GMB253374/submission/UDL59584679/ICF247370-GMB253374-2a445ap923bm00000000/SIG-20250704_2141151e4m.jpeg", "SIG-20250704_2141151e4m.jpeg")</f>
        <v>SIG-20250704_2141151e4m.jpeg</v>
      </c>
      <c r="AU113" s="1" t="s">
        <v>686</v>
      </c>
      <c r="AV113" s="3" t="str">
        <f>HYPERLINK("https://icf.clappia.com/app/GMB253374/submission/UDL59584679/ICF247370-GMB253374-kpehjfa3c5je0000000/SIG-20250704_2140157np0.jpeg", "SIG-20250704_2140157np0.jpeg")</f>
        <v>SIG-20250704_2140157np0.jpeg</v>
      </c>
      <c r="AW113" s="1" t="s">
        <v>687</v>
      </c>
      <c r="AX113" s="3" t="str">
        <f>HYPERLINK("https://icf.clappia.com/app/GMB253374/submission/UDL59584679/ICF247370-GMB253374-39gmdmo8eef40000000/SIG-20250704_214116l9pc.jpeg", "SIG-20250704_214116l9pc.jpeg")</f>
        <v>SIG-20250704_214116l9pc.jpeg</v>
      </c>
      <c r="AY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688</v>
      </c>
      <c r="B114" s="2" t="s">
        <v>47</v>
      </c>
      <c r="C114" s="1" t="s">
        <v>689</v>
      </c>
      <c r="D114" s="1" t="s">
        <v>690</v>
      </c>
      <c r="E114" s="1" t="s">
        <v>691</v>
      </c>
      <c r="F114" s="1" t="s">
        <v>51</v>
      </c>
      <c r="G114" s="1">
        <v>248.0</v>
      </c>
      <c r="H114" s="1" t="s">
        <v>52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53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54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56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57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f t="shared" si="1"/>
        <v>248</v>
      </c>
      <c r="AM114" s="1">
        <v>248.0</v>
      </c>
      <c r="AN114" s="1">
        <v>260.0</v>
      </c>
      <c r="AO114" s="1">
        <v>248.0</v>
      </c>
      <c r="AP114" s="2">
        <v>11.0</v>
      </c>
      <c r="AQ114" s="1">
        <v>0.0</v>
      </c>
      <c r="AR114" s="1">
        <v>0.0</v>
      </c>
      <c r="AS114" s="1" t="s">
        <v>692</v>
      </c>
      <c r="AT114" s="3" t="str">
        <f>HYPERLINK("https://icf.clappia.com/app/GMB253374/submission/AUL95413226/ICF247370-GMB253374-5g7od1762oeo00000000/SIG-20250704_12324ficc.jpeg", "SIG-20250704_12324ficc.jpeg")</f>
        <v>SIG-20250704_12324ficc.jpeg</v>
      </c>
      <c r="AU114" s="1" t="s">
        <v>693</v>
      </c>
      <c r="AV114" s="3" t="str">
        <f>HYPERLINK("https://icf.clappia.com/app/GMB253374/submission/AUL95413226/ICF247370-GMB253374-3412go55pg6a00000000/SIG-20250704_1233lip5b.jpeg", "SIG-20250704_1233lip5b.jpeg")</f>
        <v>SIG-20250704_1233lip5b.jpeg</v>
      </c>
      <c r="AW114" s="1" t="s">
        <v>694</v>
      </c>
      <c r="AX114" s="3" t="str">
        <f>HYPERLINK("https://icf.clappia.com/app/GMB253374/submission/AUL95413226/ICF247370-GMB253374-3jhj248g3i9e00000000/SIG-20250704_12347o3f8.jpeg", "SIG-20250704_12347o3f8.jpeg")</f>
        <v>SIG-20250704_12347o3f8.jpeg</v>
      </c>
      <c r="AY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695</v>
      </c>
      <c r="B115" s="2" t="s">
        <v>47</v>
      </c>
      <c r="C115" s="1" t="s">
        <v>696</v>
      </c>
      <c r="D115" s="1" t="s">
        <v>697</v>
      </c>
      <c r="E115" s="1" t="s">
        <v>698</v>
      </c>
      <c r="F115" s="1" t="s">
        <v>51</v>
      </c>
      <c r="G115" s="1">
        <v>63.0</v>
      </c>
      <c r="H115" s="1" t="s">
        <v>52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53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54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56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57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f t="shared" si="1"/>
        <v>63</v>
      </c>
      <c r="AM115" s="1">
        <v>63.0</v>
      </c>
      <c r="AN115" s="1">
        <v>75.0</v>
      </c>
      <c r="AO115" s="1">
        <v>63.0</v>
      </c>
      <c r="AP115" s="2">
        <v>11.0</v>
      </c>
      <c r="AQ115" s="1">
        <v>0.0</v>
      </c>
      <c r="AR115" s="1">
        <v>0.0</v>
      </c>
      <c r="AS115" s="1" t="s">
        <v>699</v>
      </c>
      <c r="AT115" s="3" t="str">
        <f>HYPERLINK("https://icf.clappia.com/app/GMB253374/submission/JOB61859805/ICF247370-GMB253374-317eh2dgbjgi00000000/SIG-20250704_1846p28pd.jpeg", "SIG-20250704_1846p28pd.jpeg")</f>
        <v>SIG-20250704_1846p28pd.jpeg</v>
      </c>
      <c r="AU115" s="1" t="s">
        <v>700</v>
      </c>
      <c r="AV115" s="3" t="str">
        <f>HYPERLINK("https://icf.clappia.com/app/GMB253374/submission/JOB61859805/ICF247370-GMB253374-51065hi9k0m400000000/SIG-20250704_184615npmh.jpeg", "SIG-20250704_184615npmh.jpeg")</f>
        <v>SIG-20250704_184615npmh.jpeg</v>
      </c>
      <c r="AW115" s="1" t="s">
        <v>701</v>
      </c>
      <c r="AX115" s="3" t="str">
        <f>HYPERLINK("https://icf.clappia.com/app/GMB253374/submission/JOB61859805/ICF247370-GMB253374-11ikken8plehm0000000/SIG-20250704_1847l1f62.jpeg", "SIG-20250704_1847l1f62.jpeg")</f>
        <v>SIG-20250704_1847l1f62.jpeg</v>
      </c>
      <c r="AY115" s="3" t="str">
        <f>HYPERLINK("https://www.google.com/maps/place/8.87722%2C-11.9285", "8.87722,-11.9285")</f>
        <v>8.87722,-11.9285</v>
      </c>
    </row>
    <row r="116" ht="15.75" customHeight="1">
      <c r="A116" s="1" t="s">
        <v>702</v>
      </c>
      <c r="B116" s="2" t="s">
        <v>47</v>
      </c>
      <c r="C116" s="1" t="s">
        <v>703</v>
      </c>
      <c r="D116" s="1" t="s">
        <v>704</v>
      </c>
      <c r="E116" s="1" t="s">
        <v>705</v>
      </c>
      <c r="F116" s="1" t="s">
        <v>51</v>
      </c>
      <c r="G116" s="1">
        <v>65.0</v>
      </c>
      <c r="H116" s="1" t="s">
        <v>52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53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54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56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57</v>
      </c>
      <c r="AG116" s="1" t="s">
        <v>55</v>
      </c>
      <c r="AH116" s="1" t="s">
        <v>55</v>
      </c>
      <c r="AI116" s="1" t="s">
        <v>55</v>
      </c>
      <c r="AJ116" s="1" t="s">
        <v>55</v>
      </c>
      <c r="AK116" s="1" t="s">
        <v>55</v>
      </c>
      <c r="AL116" s="1">
        <f t="shared" si="1"/>
        <v>65</v>
      </c>
      <c r="AM116" s="1">
        <v>65.0</v>
      </c>
      <c r="AN116" s="1">
        <v>77.0</v>
      </c>
      <c r="AO116" s="1">
        <v>65.0</v>
      </c>
      <c r="AP116" s="2">
        <v>11.0</v>
      </c>
      <c r="AQ116" s="1">
        <v>0.0</v>
      </c>
      <c r="AR116" s="1">
        <v>0.0</v>
      </c>
      <c r="AS116" s="1" t="s">
        <v>699</v>
      </c>
      <c r="AT116" s="3" t="str">
        <f>HYPERLINK("https://icf.clappia.com/app/GMB253374/submission/ICR37804337/ICF247370-GMB253374-22ifb1gp5jh9g0000000/SIG-20250704_18411058d.jpeg", "SIG-20250704_18411058d.jpeg")</f>
        <v>SIG-20250704_18411058d.jpeg</v>
      </c>
      <c r="AU116" s="1" t="s">
        <v>700</v>
      </c>
      <c r="AV116" s="3" t="str">
        <f>HYPERLINK("https://icf.clappia.com/app/GMB253374/submission/ICR37804337/ICF247370-GMB253374-4n2a7f092n8k0000000/SIG-20250704_1841b4oa6.jpeg", "SIG-20250704_1841b4oa6.jpeg")</f>
        <v>SIG-20250704_1841b4oa6.jpeg</v>
      </c>
      <c r="AW116" s="1" t="s">
        <v>701</v>
      </c>
      <c r="AX116" s="3" t="str">
        <f>HYPERLINK("https://icf.clappia.com/app/GMB253374/submission/ICR37804337/ICF247370-GMB253374-67p5g1k2f84o00000000/SIG-20250704_18413ji7l.jpeg", "SIG-20250704_18413ji7l.jpeg")</f>
        <v>SIG-20250704_18413ji7l.jpeg</v>
      </c>
      <c r="AY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706</v>
      </c>
      <c r="B117" s="2" t="s">
        <v>47</v>
      </c>
      <c r="C117" s="1" t="s">
        <v>707</v>
      </c>
      <c r="D117" s="1" t="s">
        <v>704</v>
      </c>
      <c r="E117" s="1" t="s">
        <v>708</v>
      </c>
      <c r="F117" s="1" t="s">
        <v>51</v>
      </c>
      <c r="G117" s="1">
        <v>63.0</v>
      </c>
      <c r="H117" s="1" t="s">
        <v>52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53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54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56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57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f t="shared" si="1"/>
        <v>322</v>
      </c>
      <c r="AM117" s="1">
        <v>63.0</v>
      </c>
      <c r="AN117" s="1">
        <v>75.0</v>
      </c>
      <c r="AO117" s="1">
        <v>63.0</v>
      </c>
      <c r="AP117" s="2">
        <v>11.0</v>
      </c>
      <c r="AQ117" s="1">
        <v>0.0</v>
      </c>
      <c r="AR117" s="1">
        <v>0.0</v>
      </c>
      <c r="AS117" s="1" t="s">
        <v>699</v>
      </c>
      <c r="AT117" s="3" t="str">
        <f>HYPERLINK("https://icf.clappia.com/app/GMB253374/submission/CTH94809542/ICF247370-GMB253374-594mn52ae7pi00000000/SIG-20250704_183518kc3n.jpeg", "SIG-20250704_183518kc3n.jpeg")</f>
        <v>SIG-20250704_183518kc3n.jpeg</v>
      </c>
      <c r="AU117" s="1" t="s">
        <v>700</v>
      </c>
      <c r="AV117" s="3" t="str">
        <f>HYPERLINK("https://icf.clappia.com/app/GMB253374/submission/CTH94809542/ICF247370-GMB253374-46mo09b1fgag00000000/SIG-20250704_1835enfd1.jpeg", "SIG-20250704_1835enfd1.jpeg")</f>
        <v>SIG-20250704_1835enfd1.jpeg</v>
      </c>
      <c r="AW117" s="1" t="s">
        <v>701</v>
      </c>
      <c r="AX117" s="3" t="str">
        <f>HYPERLINK("https://icf.clappia.com/app/GMB253374/submission/CTH94809542/ICF247370-GMB253374-3nc7cmhehac600000000/SIG-20250704_183619inde.jpeg", "SIG-20250704_183619inde.jpeg")</f>
        <v>SIG-20250704_183619inde.jpeg</v>
      </c>
      <c r="AY117" s="3" t="str">
        <f>HYPERLINK("https://www.google.com/maps/place/8.8771933%2C-11.92872", "8.8771933,-11.92872")</f>
        <v>8.8771933,-11.92872</v>
      </c>
    </row>
    <row r="118" ht="15.75" customHeight="1">
      <c r="A118" s="1" t="s">
        <v>709</v>
      </c>
      <c r="B118" s="2" t="s">
        <v>47</v>
      </c>
      <c r="C118" s="1" t="s">
        <v>710</v>
      </c>
      <c r="D118" s="1" t="s">
        <v>710</v>
      </c>
      <c r="E118" s="1" t="s">
        <v>711</v>
      </c>
      <c r="F118" s="1" t="s">
        <v>51</v>
      </c>
      <c r="G118" s="1">
        <v>234.0</v>
      </c>
      <c r="H118" s="1" t="s">
        <v>52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53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54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56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57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f t="shared" si="1"/>
        <v>234</v>
      </c>
      <c r="AM118" s="1">
        <v>234.0</v>
      </c>
      <c r="AN118" s="1">
        <v>246.0</v>
      </c>
      <c r="AO118" s="1">
        <v>234.0</v>
      </c>
      <c r="AP118" s="2">
        <v>11.0</v>
      </c>
      <c r="AQ118" s="1">
        <v>0.0</v>
      </c>
      <c r="AR118" s="1">
        <v>0.0</v>
      </c>
      <c r="AS118" s="1" t="s">
        <v>712</v>
      </c>
      <c r="AT118" s="3" t="str">
        <f>HYPERLINK("https://icf.clappia.com/app/GMB253374/submission/FQB36665558/ICF247370-GMB253374-566nm5na5bi400000000/SIG-20250704_20024ongc.jpeg", "SIG-20250704_20024ongc.jpeg")</f>
        <v>SIG-20250704_20024ongc.jpeg</v>
      </c>
      <c r="AU118" s="1" t="s">
        <v>713</v>
      </c>
      <c r="AV118" s="3" t="str">
        <f>HYPERLINK("https://icf.clappia.com/app/GMB253374/submission/FQB36665558/ICF247370-GMB253374-1cme0gfbji95a0000000/SIG-20250704_2003fe9k1.jpeg", "SIG-20250704_2003fe9k1.jpeg")</f>
        <v>SIG-20250704_2003fe9k1.jpeg</v>
      </c>
      <c r="AW118" s="1" t="s">
        <v>714</v>
      </c>
      <c r="AX118" s="3" t="str">
        <f>HYPERLINK("https://icf.clappia.com/app/GMB253374/submission/FQB36665558/ICF247370-GMB253374-egl5cfni29mg0000000/SIG-20250704_2006e64ea.jpeg", "SIG-20250704_2006e64ea.jpeg")</f>
        <v>SIG-20250704_2006e64ea.jpeg</v>
      </c>
      <c r="AY118" s="3" t="str">
        <f>HYPERLINK("https://www.google.com/maps/place/9.0219717%2C-12.334695", "9.0219717,-12.334695")</f>
        <v>9.0219717,-12.334695</v>
      </c>
    </row>
    <row r="119" ht="15.75" customHeight="1">
      <c r="A119" s="1" t="s">
        <v>715</v>
      </c>
      <c r="B119" s="2" t="s">
        <v>47</v>
      </c>
      <c r="C119" s="1" t="s">
        <v>716</v>
      </c>
      <c r="D119" s="1" t="s">
        <v>717</v>
      </c>
      <c r="E119" s="1" t="s">
        <v>718</v>
      </c>
      <c r="F119" s="1" t="s">
        <v>51</v>
      </c>
      <c r="G119" s="1">
        <v>166.0</v>
      </c>
      <c r="H119" s="1" t="s">
        <v>52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53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54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56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57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f t="shared" si="1"/>
        <v>166</v>
      </c>
      <c r="AM119" s="1">
        <v>166.0</v>
      </c>
      <c r="AN119" s="1">
        <v>178.0</v>
      </c>
      <c r="AO119" s="1">
        <v>166.0</v>
      </c>
      <c r="AP119" s="2">
        <v>11.0</v>
      </c>
      <c r="AQ119" s="1">
        <v>0.0</v>
      </c>
      <c r="AR119" s="1">
        <v>0.0</v>
      </c>
      <c r="AS119" s="1" t="s">
        <v>719</v>
      </c>
      <c r="AT119" s="3" t="str">
        <f>HYPERLINK("https://icf.clappia.com/app/GMB253374/submission/IUF54615581/ICF247370-GMB253374-f5700i7cajhi0000000/SIG-20250630_13124mj42.jpeg", "SIG-20250630_13124mj42.jpeg")</f>
        <v>SIG-20250630_13124mj42.jpeg</v>
      </c>
      <c r="AU119" s="1" t="s">
        <v>720</v>
      </c>
      <c r="AV119" s="3" t="str">
        <f>HYPERLINK("https://icf.clappia.com/app/GMB253374/submission/IUF54615581/ICF247370-GMB253374-626d8a164n1i00000000/SIG-20250630_1312gch5d.jpeg", "SIG-20250630_1312gch5d.jpeg")</f>
        <v>SIG-20250630_1312gch5d.jpeg</v>
      </c>
      <c r="AW119" s="1" t="s">
        <v>721</v>
      </c>
      <c r="AX119" s="3" t="str">
        <f>HYPERLINK("https://icf.clappia.com/app/GMB253374/submission/IUF54615581/ICF247370-GMB253374-21h0b2fg40pfg0000000/SIG-20250630_1320l4j2l.jpeg", "SIG-20250630_1320l4j2l.jpeg")</f>
        <v>SIG-20250630_1320l4j2l.jpeg</v>
      </c>
      <c r="AY119" s="3" t="str">
        <f>HYPERLINK("https://www.google.com/maps/place/7.7408%2C-11.97635", "7.7408,-11.97635")</f>
        <v>7.7408,-11.97635</v>
      </c>
    </row>
    <row r="120" ht="15.75" customHeight="1">
      <c r="A120" s="1" t="s">
        <v>722</v>
      </c>
      <c r="B120" s="2" t="s">
        <v>47</v>
      </c>
      <c r="C120" s="1" t="s">
        <v>723</v>
      </c>
      <c r="D120" s="1" t="s">
        <v>723</v>
      </c>
      <c r="E120" s="1" t="s">
        <v>724</v>
      </c>
      <c r="F120" s="1" t="s">
        <v>51</v>
      </c>
      <c r="G120" s="1">
        <v>195.0</v>
      </c>
      <c r="H120" s="1" t="s">
        <v>52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53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54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56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57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f t="shared" si="1"/>
        <v>267</v>
      </c>
      <c r="AM120" s="1">
        <v>195.0</v>
      </c>
      <c r="AN120" s="1">
        <v>207.0</v>
      </c>
      <c r="AO120" s="1">
        <v>195.0</v>
      </c>
      <c r="AP120" s="2">
        <v>11.0</v>
      </c>
      <c r="AQ120" s="1">
        <v>0.0</v>
      </c>
      <c r="AR120" s="1">
        <v>0.0</v>
      </c>
      <c r="AS120" s="1" t="s">
        <v>725</v>
      </c>
      <c r="AT120" s="3" t="str">
        <f>HYPERLINK("https://icf.clappia.com/app/GMB253374/submission/UEM30425157/ICF247370-GMB253374-poidfac5ah0c0000000/SIG-20250704_1821gpgfm.jpeg", "SIG-20250704_1821gpgfm.jpeg")</f>
        <v>SIG-20250704_1821gpgfm.jpeg</v>
      </c>
      <c r="AU120" s="1" t="s">
        <v>726</v>
      </c>
      <c r="AV120" s="3" t="str">
        <f>HYPERLINK("https://icf.clappia.com/app/GMB253374/submission/UEM30425157/ICF247370-GMB253374-5d8ooa5kajoo00000000/SIG-20250704_18225a1km.jpeg", "SIG-20250704_18225a1km.jpeg")</f>
        <v>SIG-20250704_18225a1km.jpeg</v>
      </c>
      <c r="AW120" s="1" t="s">
        <v>727</v>
      </c>
      <c r="AX120" s="3" t="str">
        <f>HYPERLINK("https://icf.clappia.com/app/GMB253374/submission/UEM30425157/ICF247370-GMB253374-15e60c41m1p5i0000000/SIG-20250704_1821gj0a9.jpeg", "SIG-20250704_1821gj0a9.jpeg")</f>
        <v>SIG-20250704_1821gj0a9.jpeg</v>
      </c>
      <c r="AY120" s="3" t="str">
        <f>HYPERLINK("https://www.google.com/maps/place/9.1513239%2C-11.95995", "9.1513239,-11.95995")</f>
        <v>9.1513239,-11.95995</v>
      </c>
    </row>
    <row r="121" ht="15.75" customHeight="1">
      <c r="A121" s="1" t="s">
        <v>728</v>
      </c>
      <c r="B121" s="2" t="s">
        <v>47</v>
      </c>
      <c r="C121" s="1" t="s">
        <v>729</v>
      </c>
      <c r="D121" s="1" t="s">
        <v>729</v>
      </c>
      <c r="E121" s="1" t="s">
        <v>730</v>
      </c>
      <c r="F121" s="1" t="s">
        <v>51</v>
      </c>
      <c r="G121" s="1">
        <v>300.0</v>
      </c>
      <c r="H121" s="1" t="s">
        <v>52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53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54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56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57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f t="shared" si="1"/>
        <v>290</v>
      </c>
      <c r="AM121" s="1">
        <v>300.0</v>
      </c>
      <c r="AN121" s="1">
        <v>312.0</v>
      </c>
      <c r="AO121" s="1">
        <v>290.0</v>
      </c>
      <c r="AP121" s="2">
        <v>11.0</v>
      </c>
      <c r="AQ121" s="1">
        <v>10.0</v>
      </c>
      <c r="AR121" s="1">
        <v>10.0</v>
      </c>
      <c r="AS121" s="1" t="s">
        <v>731</v>
      </c>
      <c r="AT121" s="3" t="str">
        <f>HYPERLINK("https://icf.clappia.com/app/GMB253374/submission/AAW03450240/ICF247370-GMB253374-30cjhlonn6j000000000/SIG-20250704_181819kjf5.jpeg", "SIG-20250704_181819kjf5.jpeg")</f>
        <v>SIG-20250704_181819kjf5.jpeg</v>
      </c>
      <c r="AU121" s="1" t="s">
        <v>732</v>
      </c>
      <c r="AV121" s="3" t="str">
        <f>HYPERLINK("https://icf.clappia.com/app/GMB253374/submission/AAW03450240/ICF247370-GMB253374-6pb50fde7b0c0000000/SIG-20250704_18195leje.jpeg", "SIG-20250704_18195leje.jpeg")</f>
        <v>SIG-20250704_18195leje.jpeg</v>
      </c>
      <c r="AW121" s="1" t="s">
        <v>733</v>
      </c>
      <c r="AX121" s="3" t="str">
        <f>HYPERLINK("https://icf.clappia.com/app/GMB253374/submission/AAW03450240/ICF247370-GMB253374-25npb7mfm0jki0000000/SIG-20250704_1820d2ofk.jpeg", "SIG-20250704_1820d2ofk.jpeg")</f>
        <v>SIG-20250704_1820d2ofk.jpeg</v>
      </c>
      <c r="AY121" s="3" t="str">
        <f>HYPERLINK("https://www.google.com/maps/place/8.6622667%2C-12.245555", "8.6622667,-12.245555")</f>
        <v>8.6622667,-12.245555</v>
      </c>
    </row>
    <row r="122" ht="15.75" customHeight="1">
      <c r="A122" s="1" t="s">
        <v>734</v>
      </c>
      <c r="B122" s="2" t="s">
        <v>47</v>
      </c>
      <c r="C122" s="1" t="s">
        <v>735</v>
      </c>
      <c r="D122" s="1" t="s">
        <v>735</v>
      </c>
      <c r="E122" s="1" t="s">
        <v>736</v>
      </c>
      <c r="F122" s="1" t="s">
        <v>51</v>
      </c>
      <c r="G122" s="1">
        <v>77.0</v>
      </c>
      <c r="H122" s="1" t="s">
        <v>52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53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54</v>
      </c>
      <c r="U122" s="1">
        <v>30.0</v>
      </c>
      <c r="V122" s="1">
        <v>14.0</v>
      </c>
      <c r="W122" s="1" t="s">
        <v>55</v>
      </c>
      <c r="X122" s="1">
        <v>16.0</v>
      </c>
      <c r="Y122" s="1" t="s">
        <v>55</v>
      </c>
      <c r="Z122" s="1" t="s">
        <v>56</v>
      </c>
      <c r="AA122" s="1">
        <v>42.0</v>
      </c>
      <c r="AB122" s="1">
        <v>26.0</v>
      </c>
      <c r="AC122" s="1" t="s">
        <v>55</v>
      </c>
      <c r="AD122" s="1">
        <v>16.0</v>
      </c>
      <c r="AE122" s="1" t="s">
        <v>55</v>
      </c>
      <c r="AF122" s="1" t="s">
        <v>57</v>
      </c>
      <c r="AG122" s="1">
        <v>44.0</v>
      </c>
      <c r="AH122" s="1">
        <v>18.0</v>
      </c>
      <c r="AI122" s="1" t="s">
        <v>55</v>
      </c>
      <c r="AJ122" s="1">
        <v>26.0</v>
      </c>
      <c r="AK122" s="1" t="s">
        <v>55</v>
      </c>
      <c r="AL122" s="1">
        <f t="shared" si="1"/>
        <v>206</v>
      </c>
      <c r="AM122" s="1">
        <v>77.0</v>
      </c>
      <c r="AN122" s="1">
        <v>89.0</v>
      </c>
      <c r="AO122" s="1">
        <v>77.0</v>
      </c>
      <c r="AP122" s="2">
        <v>11.0</v>
      </c>
      <c r="AQ122" s="1">
        <v>0.0</v>
      </c>
      <c r="AR122" s="1">
        <v>0.0</v>
      </c>
      <c r="AS122" s="1" t="s">
        <v>737</v>
      </c>
      <c r="AT122" s="3" t="str">
        <f>HYPERLINK("https://icf.clappia.com/app/GMB253374/submission/CUK47853054/ICF247370-GMB253374-4p80n7g6e9ai00000000/SIG-20250704_1811jk72n.jpeg", "SIG-20250704_1811jk72n.jpeg")</f>
        <v>SIG-20250704_1811jk72n.jpeg</v>
      </c>
      <c r="AU122" s="1" t="s">
        <v>726</v>
      </c>
      <c r="AV122" s="3" t="str">
        <f>HYPERLINK("https://icf.clappia.com/app/GMB253374/submission/CUK47853054/ICF247370-GMB253374-3d1bf3l98pla00000000/SIG-20250704_181210ppa2.jpeg", "SIG-20250704_181210ppa2.jpeg")</f>
        <v>SIG-20250704_181210ppa2.jpeg</v>
      </c>
      <c r="AW122" s="1" t="s">
        <v>738</v>
      </c>
      <c r="AX122" s="3" t="str">
        <f>HYPERLINK("https://icf.clappia.com/app/GMB253374/submission/CUK47853054/ICF247370-GMB253374-3jhm8amc882c00000000/SIG-20250704_18123lld.jpeg", "SIG-20250704_18123lld.jpeg")</f>
        <v>SIG-20250704_18123lld.jpeg</v>
      </c>
      <c r="AY122" s="3" t="str">
        <f>HYPERLINK("https://www.google.com/maps/place/9.1513239%2C-11.95995", "9.1513239,-11.95995")</f>
        <v>9.1513239,-11.95995</v>
      </c>
    </row>
    <row r="123" ht="15.75" customHeight="1">
      <c r="A123" s="1" t="s">
        <v>739</v>
      </c>
      <c r="B123" s="2" t="s">
        <v>47</v>
      </c>
      <c r="C123" s="1" t="s">
        <v>740</v>
      </c>
      <c r="D123" s="1" t="s">
        <v>740</v>
      </c>
      <c r="E123" s="1" t="s">
        <v>741</v>
      </c>
      <c r="F123" s="1" t="s">
        <v>51</v>
      </c>
      <c r="G123" s="1">
        <v>600.0</v>
      </c>
      <c r="H123" s="1" t="s">
        <v>52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53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54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56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57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f t="shared" si="1"/>
        <v>468</v>
      </c>
      <c r="AM123" s="1">
        <v>600.0</v>
      </c>
      <c r="AN123" s="1">
        <v>612.0</v>
      </c>
      <c r="AO123" s="1">
        <v>437.0</v>
      </c>
      <c r="AP123" s="2">
        <v>11.0</v>
      </c>
      <c r="AQ123" s="1">
        <v>163.0</v>
      </c>
      <c r="AR123" s="1">
        <v>163.0</v>
      </c>
      <c r="AS123" s="1" t="s">
        <v>742</v>
      </c>
      <c r="AT123" s="3" t="str">
        <f>HYPERLINK("https://icf.clappia.com/app/GMB253374/submission/DTW48131975/ICF247370-GMB253374-5m7he04m7ni800000000/SIG-20250704_1757fc2ck.jpeg", "SIG-20250704_1757fc2ck.jpeg")</f>
        <v>SIG-20250704_1757fc2ck.jpeg</v>
      </c>
      <c r="AU123" s="1" t="s">
        <v>743</v>
      </c>
      <c r="AV123" s="3" t="str">
        <f>HYPERLINK("https://icf.clappia.com/app/GMB253374/submission/DTW48131975/ICF247370-GMB253374-3he78e10283000000000/SIG-20250704_17572d5kd.jpeg", "SIG-20250704_17572d5kd.jpeg")</f>
        <v>SIG-20250704_17572d5kd.jpeg</v>
      </c>
      <c r="AW123" s="1" t="s">
        <v>744</v>
      </c>
      <c r="AX123" s="3" t="str">
        <f>HYPERLINK("https://icf.clappia.com/app/GMB253374/submission/DTW48131975/ICF247370-GMB253374-54nnc01ka0ac00000000/SIG-20250704_1759ppo34.jpeg", "SIG-20250704_1759ppo34.jpeg")</f>
        <v>SIG-20250704_1759ppo34.jpeg</v>
      </c>
      <c r="AY123" s="3" t="str">
        <f>HYPERLINK("https://www.google.com/maps/place/7.94977%2C-11.7179033", "7.94977,-11.7179033")</f>
        <v>7.94977,-11.7179033</v>
      </c>
    </row>
    <row r="124" ht="15.75" customHeight="1">
      <c r="A124" s="1" t="s">
        <v>745</v>
      </c>
      <c r="B124" s="2" t="s">
        <v>47</v>
      </c>
      <c r="C124" s="1" t="s">
        <v>746</v>
      </c>
      <c r="D124" s="1" t="s">
        <v>746</v>
      </c>
      <c r="E124" s="1" t="s">
        <v>747</v>
      </c>
      <c r="F124" s="1" t="s">
        <v>51</v>
      </c>
      <c r="G124" s="1">
        <v>180.0</v>
      </c>
      <c r="H124" s="1" t="s">
        <v>52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53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54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56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57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f t="shared" si="1"/>
        <v>245</v>
      </c>
      <c r="AM124" s="1">
        <v>180.0</v>
      </c>
      <c r="AN124" s="1">
        <v>192.0</v>
      </c>
      <c r="AO124" s="1">
        <v>150.0</v>
      </c>
      <c r="AP124" s="2">
        <v>11.0</v>
      </c>
      <c r="AQ124" s="1">
        <v>30.0</v>
      </c>
      <c r="AR124" s="1">
        <v>30.0</v>
      </c>
      <c r="AS124" s="1" t="s">
        <v>748</v>
      </c>
      <c r="AT124" s="3" t="str">
        <f>HYPERLINK("https://icf.clappia.com/app/GMB253374/submission/ZYZ64556229/ICF247370-GMB253374-1j921mm7jofmo0000000/SIG-20250704_1516g6p61.jpeg", "SIG-20250704_1516g6p61.jpeg")</f>
        <v>SIG-20250704_1516g6p61.jpeg</v>
      </c>
      <c r="AU124" s="1" t="s">
        <v>749</v>
      </c>
      <c r="AV124" s="3" t="str">
        <f>HYPERLINK("https://icf.clappia.com/app/GMB253374/submission/ZYZ64556229/ICF247370-GMB253374-5p5fl6j8m6f600000000/SIG-20250704_151678585.jpeg", "SIG-20250704_151678585.jpeg")</f>
        <v>SIG-20250704_151678585.jpeg</v>
      </c>
      <c r="AW124" s="1" t="s">
        <v>750</v>
      </c>
      <c r="AX124" s="3" t="str">
        <f>HYPERLINK("https://icf.clappia.com/app/GMB253374/submission/ZYZ64556229/ICF247370-GMB253374-69k4dd7gj8bi00000000/SIG-20250704_1528km3h2.jpeg", "SIG-20250704_1528km3h2.jpeg")</f>
        <v>SIG-20250704_1528km3h2.jpeg</v>
      </c>
      <c r="AY124" s="3" t="str">
        <f>HYPERLINK("https://www.google.com/maps/place/8.04135%2C-11.6905483", "8.04135,-11.6905483")</f>
        <v>8.04135,-11.6905483</v>
      </c>
    </row>
    <row r="125" ht="15.75" customHeight="1">
      <c r="A125" s="1" t="s">
        <v>751</v>
      </c>
      <c r="B125" s="2" t="s">
        <v>47</v>
      </c>
      <c r="C125" s="1" t="s">
        <v>752</v>
      </c>
      <c r="D125" s="1" t="s">
        <v>752</v>
      </c>
      <c r="E125" s="1" t="s">
        <v>753</v>
      </c>
      <c r="F125" s="1" t="s">
        <v>51</v>
      </c>
      <c r="G125" s="1">
        <v>250.0</v>
      </c>
      <c r="H125" s="1" t="s">
        <v>52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53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54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56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57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f t="shared" si="1"/>
        <v>220</v>
      </c>
      <c r="AM125" s="1">
        <v>250.0</v>
      </c>
      <c r="AN125" s="1">
        <v>262.0</v>
      </c>
      <c r="AO125" s="1">
        <v>200.0</v>
      </c>
      <c r="AP125" s="2">
        <v>11.0</v>
      </c>
      <c r="AQ125" s="1">
        <v>50.0</v>
      </c>
      <c r="AR125" s="1">
        <v>50.0</v>
      </c>
      <c r="AS125" s="1" t="s">
        <v>754</v>
      </c>
      <c r="AT125" s="3" t="str">
        <f>HYPERLINK("https://icf.clappia.com/app/GMB253374/submission/VDI67617318/ICF247370-GMB253374-1g9d1g87fl4880000000/SIG-20250702_14331poa8.jpeg", "SIG-20250702_14331poa8.jpeg")</f>
        <v>SIG-20250702_14331poa8.jpeg</v>
      </c>
      <c r="AU125" s="1" t="s">
        <v>755</v>
      </c>
      <c r="AV125" s="3" t="str">
        <f>HYPERLINK("https://icf.clappia.com/app/GMB253374/submission/VDI67617318/ICF247370-GMB253374-16akb1cf6p78c0000000/SIG-20250702_143317oc3k.jpeg", "SIG-20250702_143317oc3k.jpeg")</f>
        <v>SIG-20250702_143317oc3k.jpeg</v>
      </c>
      <c r="AW125" s="1" t="s">
        <v>756</v>
      </c>
      <c r="AX125" s="3" t="str">
        <f>HYPERLINK("https://icf.clappia.com/app/GMB253374/submission/VDI67617318/ICF247370-GMB253374-5dhb3c4gl4o600000000/SIG-20250702_1434137kml.jpeg", "SIG-20250702_1434137kml.jpeg")</f>
        <v>SIG-20250702_1434137kml.jpeg</v>
      </c>
      <c r="AY125" s="3" t="str">
        <f>HYPERLINK("https://www.google.com/maps/place/7.8658%2C-11.70701", "7.8658,-11.70701")</f>
        <v>7.8658,-11.70701</v>
      </c>
    </row>
    <row r="126" ht="15.75" customHeight="1">
      <c r="A126" s="1" t="s">
        <v>757</v>
      </c>
      <c r="B126" s="2" t="s">
        <v>47</v>
      </c>
      <c r="C126" s="1" t="s">
        <v>758</v>
      </c>
      <c r="D126" s="1" t="s">
        <v>759</v>
      </c>
      <c r="E126" s="1" t="s">
        <v>760</v>
      </c>
      <c r="F126" s="1" t="s">
        <v>51</v>
      </c>
      <c r="G126" s="1">
        <v>157.0</v>
      </c>
      <c r="H126" s="1" t="s">
        <v>52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53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54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56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57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f t="shared" si="1"/>
        <v>157</v>
      </c>
      <c r="AM126" s="1">
        <v>157.0</v>
      </c>
      <c r="AN126" s="1">
        <v>169.0</v>
      </c>
      <c r="AO126" s="1">
        <v>144.0</v>
      </c>
      <c r="AP126" s="2">
        <v>11.0</v>
      </c>
      <c r="AQ126" s="1">
        <v>13.0</v>
      </c>
      <c r="AR126" s="1">
        <v>13.0</v>
      </c>
      <c r="AS126" s="1" t="s">
        <v>761</v>
      </c>
      <c r="AT126" s="3" t="str">
        <f>HYPERLINK("https://icf.clappia.com/app/GMB253374/submission/MCB98787919/ICF247370-GMB253374-2coc5983j5he00000000/SIG-20250701_1035c5o37.jpeg", "SIG-20250701_1035c5o37.jpeg")</f>
        <v>SIG-20250701_1035c5o37.jpeg</v>
      </c>
      <c r="AU126" s="1" t="s">
        <v>373</v>
      </c>
      <c r="AV126" s="3" t="str">
        <f>HYPERLINK("https://icf.clappia.com/app/GMB253374/submission/MCB98787919/ICF247370-GMB253374-4blem6ih0gok00000000/SIG-20250701_1035k9kdh.jpeg", "SIG-20250701_1035k9kdh.jpeg")</f>
        <v>SIG-20250701_1035k9kdh.jpeg</v>
      </c>
      <c r="AW126" s="1" t="s">
        <v>762</v>
      </c>
      <c r="AX126" s="3" t="str">
        <f>HYPERLINK("https://icf.clappia.com/app/GMB253374/submission/MCB98787919/ICF247370-GMB253374-4fbm6k0pjaj600000000/SIG-20250701_103631ahm.jpeg", "SIG-20250701_103631ahm.jpeg")</f>
        <v>SIG-20250701_103631ahm.jpeg</v>
      </c>
      <c r="AY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763</v>
      </c>
      <c r="B127" s="2" t="s">
        <v>47</v>
      </c>
      <c r="C127" s="1" t="s">
        <v>764</v>
      </c>
      <c r="D127" s="1" t="s">
        <v>765</v>
      </c>
      <c r="E127" s="1" t="s">
        <v>766</v>
      </c>
      <c r="F127" s="1" t="s">
        <v>72</v>
      </c>
      <c r="G127" s="1">
        <v>152.0</v>
      </c>
      <c r="H127" s="1" t="s">
        <v>52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53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54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56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57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f t="shared" si="1"/>
        <v>152</v>
      </c>
      <c r="AM127" s="1">
        <v>152.0</v>
      </c>
      <c r="AN127" s="1">
        <v>164.0</v>
      </c>
      <c r="AO127" s="1">
        <v>152.0</v>
      </c>
      <c r="AP127" s="2">
        <v>11.0</v>
      </c>
      <c r="AQ127" s="1">
        <v>0.0</v>
      </c>
      <c r="AR127" s="1">
        <v>0.0</v>
      </c>
      <c r="AS127" s="1" t="s">
        <v>767</v>
      </c>
      <c r="AT127" s="3" t="str">
        <f>HYPERLINK("https://icf.clappia.com/app/GMB253374/submission/TLG70944322/ICF247370-GMB253374-3mji975d0pn200000000/SIG-20250630_1210243k.jpeg", "SIG-20250630_1210243k.jpeg")</f>
        <v>SIG-20250630_1210243k.jpeg</v>
      </c>
      <c r="AU127" s="1" t="s">
        <v>768</v>
      </c>
      <c r="AV127" s="3" t="str">
        <f>HYPERLINK("https://icf.clappia.com/app/GMB253374/submission/TLG70944322/ICF247370-GMB253374-67go7eck0f4k00000000/SIG-20250630_12102io43.jpeg", "SIG-20250630_12102io43.jpeg")</f>
        <v>SIG-20250630_12102io43.jpeg</v>
      </c>
      <c r="AW127" s="1" t="s">
        <v>769</v>
      </c>
      <c r="AX127" s="3" t="str">
        <f>HYPERLINK("https://icf.clappia.com/app/GMB253374/submission/TLG70944322/ICF247370-GMB253374-2j5adj436b4e00000000/SIG-20250630_1211nakom.jpeg", "SIG-20250630_1211nakom.jpeg")</f>
        <v>SIG-20250630_1211nakom.jpeg</v>
      </c>
      <c r="AY127" s="3" t="str">
        <f>HYPERLINK("https://www.google.com/maps/place/7.67976%2C-11.99066", "7.67976,-11.99066")</f>
        <v>7.67976,-11.99066</v>
      </c>
    </row>
    <row r="128" ht="15.75" customHeight="1">
      <c r="A128" s="1" t="s">
        <v>770</v>
      </c>
      <c r="B128" s="2" t="s">
        <v>47</v>
      </c>
      <c r="C128" s="1" t="s">
        <v>771</v>
      </c>
      <c r="D128" s="1" t="s">
        <v>771</v>
      </c>
      <c r="E128" s="1" t="s">
        <v>772</v>
      </c>
      <c r="F128" s="1" t="s">
        <v>51</v>
      </c>
      <c r="G128" s="1">
        <v>150.0</v>
      </c>
      <c r="H128" s="1" t="s">
        <v>52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53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54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56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57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f t="shared" si="1"/>
        <v>150</v>
      </c>
      <c r="AM128" s="1">
        <v>150.0</v>
      </c>
      <c r="AN128" s="1">
        <v>162.0</v>
      </c>
      <c r="AO128" s="1">
        <v>150.0</v>
      </c>
      <c r="AP128" s="2">
        <v>11.0</v>
      </c>
      <c r="AQ128" s="1">
        <v>0.0</v>
      </c>
      <c r="AR128" s="1">
        <v>0.0</v>
      </c>
      <c r="AS128" s="1" t="s">
        <v>773</v>
      </c>
      <c r="AT128" s="3" t="str">
        <f>HYPERLINK("https://icf.clappia.com/app/GMB253374/submission/WSI00229239/ICF247370-GMB253374-4gd3c01logl000000000/SIG-20250704_172411opci.jpeg", "SIG-20250704_172411opci.jpeg")</f>
        <v>SIG-20250704_172411opci.jpeg</v>
      </c>
      <c r="AU128" s="1" t="s">
        <v>774</v>
      </c>
      <c r="AV128" s="3" t="str">
        <f>HYPERLINK("https://icf.clappia.com/app/GMB253374/submission/WSI00229239/ICF247370-GMB253374-5g7obglj672k00000000/SIG-20250704_172580mgm.jpeg", "SIG-20250704_172580mgm.jpeg")</f>
        <v>SIG-20250704_172580mgm.jpeg</v>
      </c>
      <c r="AW128" s="1" t="s">
        <v>775</v>
      </c>
      <c r="AX128" s="3" t="str">
        <f>HYPERLINK("https://icf.clappia.com/app/GMB253374/submission/WSI00229239/ICF247370-GMB253374-l6k9docmm65m0000000/SIG-20250704_172515fj7c.jpeg", "SIG-20250704_172515fj7c.jpeg")</f>
        <v>SIG-20250704_172515fj7c.jpeg</v>
      </c>
      <c r="AY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776</v>
      </c>
      <c r="B129" s="2" t="s">
        <v>47</v>
      </c>
      <c r="C129" s="1" t="s">
        <v>777</v>
      </c>
      <c r="D129" s="1" t="s">
        <v>777</v>
      </c>
      <c r="E129" s="1" t="s">
        <v>778</v>
      </c>
      <c r="F129" s="1" t="s">
        <v>51</v>
      </c>
      <c r="G129" s="1">
        <v>150.0</v>
      </c>
      <c r="H129" s="1" t="s">
        <v>52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53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54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56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57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f t="shared" si="1"/>
        <v>150</v>
      </c>
      <c r="AM129" s="1">
        <v>150.0</v>
      </c>
      <c r="AN129" s="1">
        <v>162.0</v>
      </c>
      <c r="AO129" s="1">
        <v>135.0</v>
      </c>
      <c r="AP129" s="2">
        <v>11.0</v>
      </c>
      <c r="AQ129" s="1">
        <v>15.0</v>
      </c>
      <c r="AR129" s="1">
        <v>15.0</v>
      </c>
      <c r="AS129" s="1" t="s">
        <v>779</v>
      </c>
      <c r="AT129" s="3" t="str">
        <f>HYPERLINK("https://icf.clappia.com/app/GMB253374/submission/IHA78455238/ICF247370-GMB253374-hbmeg9a39f9a0000000/SIG-20250704_165766np5.jpeg", "SIG-20250704_165766np5.jpeg")</f>
        <v>SIG-20250704_165766np5.jpeg</v>
      </c>
      <c r="AU129" s="1" t="s">
        <v>780</v>
      </c>
      <c r="AV129" s="3" t="str">
        <f>HYPERLINK("https://icf.clappia.com/app/GMB253374/submission/IHA78455238/ICF247370-GMB253374-403mdjp1g5m800000000/SIG-20250704_165713gp78.jpeg", "SIG-20250704_165713gp78.jpeg")</f>
        <v>SIG-20250704_165713gp78.jpeg</v>
      </c>
      <c r="AW129" s="1" t="s">
        <v>781</v>
      </c>
      <c r="AX129" s="3" t="str">
        <f>HYPERLINK("https://icf.clappia.com/app/GMB253374/submission/IHA78455238/ICF247370-GMB253374-57ikfgeg62co00000000/SIG-20250704_16581269gf.jpeg", "SIG-20250704_16581269gf.jpeg")</f>
        <v>SIG-20250704_16581269gf.jpeg</v>
      </c>
      <c r="AY129" s="3" t="str">
        <f>HYPERLINK("https://www.google.com/maps/place/9.2129933%2C-11.922495", "9.2129933,-11.922495")</f>
        <v>9.2129933,-11.922495</v>
      </c>
    </row>
    <row r="130" ht="15.75" customHeight="1">
      <c r="A130" s="1" t="s">
        <v>782</v>
      </c>
      <c r="B130" s="2" t="s">
        <v>47</v>
      </c>
      <c r="C130" s="1" t="s">
        <v>783</v>
      </c>
      <c r="D130" s="1" t="s">
        <v>784</v>
      </c>
      <c r="E130" s="1" t="s">
        <v>785</v>
      </c>
      <c r="F130" s="1" t="s">
        <v>51</v>
      </c>
      <c r="G130" s="1">
        <v>107.0</v>
      </c>
      <c r="H130" s="1" t="s">
        <v>52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53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54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56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57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f t="shared" si="1"/>
        <v>101</v>
      </c>
      <c r="AM130" s="1">
        <v>107.0</v>
      </c>
      <c r="AN130" s="1">
        <v>119.0</v>
      </c>
      <c r="AO130" s="1">
        <v>94.0</v>
      </c>
      <c r="AP130" s="2">
        <v>11.0</v>
      </c>
      <c r="AQ130" s="1">
        <v>13.0</v>
      </c>
      <c r="AR130" s="1">
        <v>13.0</v>
      </c>
      <c r="AS130" s="1" t="s">
        <v>786</v>
      </c>
      <c r="AT130" s="3" t="str">
        <f>HYPERLINK("https://icf.clappia.com/app/GMB253374/submission/YWM71211591/ICF247370-GMB253374-60k76koa68o200000000/SIG-20250702_1517i41a0.jpeg", "SIG-20250702_1517i41a0.jpeg")</f>
        <v>SIG-20250702_1517i41a0.jpeg</v>
      </c>
      <c r="AU130" s="1" t="s">
        <v>279</v>
      </c>
      <c r="AV130" s="3" t="str">
        <f>HYPERLINK("https://icf.clappia.com/app/GMB253374/submission/YWM71211591/ICF247370-GMB253374-5c749n7197le00000000/SIG-20250702_151716p799.jpeg", "SIG-20250702_151716p799.jpeg")</f>
        <v>SIG-20250702_151716p799.jpeg</v>
      </c>
      <c r="AW130" s="1" t="s">
        <v>787</v>
      </c>
      <c r="AX130" s="3" t="str">
        <f>HYPERLINK("https://icf.clappia.com/app/GMB253374/submission/YWM71211591/ICF247370-GMB253374-28hnnk1nk1cie0000000/SIG-20250702_15011a1am9.jpeg", "SIG-20250702_15011a1am9.jpeg")</f>
        <v>SIG-20250702_15011a1am9.jpeg</v>
      </c>
      <c r="AY130" s="3" t="str">
        <f>HYPERLINK("https://www.google.com/maps/place/7.6333783%2C-11.763355", "7.6333783,-11.763355")</f>
        <v>7.6333783,-11.763355</v>
      </c>
    </row>
    <row r="131" ht="15.75" customHeight="1">
      <c r="A131" s="1" t="s">
        <v>788</v>
      </c>
      <c r="B131" s="2" t="s">
        <v>47</v>
      </c>
      <c r="C131" s="1" t="s">
        <v>789</v>
      </c>
      <c r="D131" s="1" t="s">
        <v>789</v>
      </c>
      <c r="E131" s="1" t="s">
        <v>790</v>
      </c>
      <c r="F131" s="1" t="s">
        <v>72</v>
      </c>
      <c r="G131" s="1">
        <v>100.0</v>
      </c>
      <c r="H131" s="1" t="s">
        <v>52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53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54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56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57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f t="shared" si="1"/>
        <v>100</v>
      </c>
      <c r="AM131" s="1">
        <v>100.0</v>
      </c>
      <c r="AN131" s="1">
        <v>112.0</v>
      </c>
      <c r="AO131" s="1">
        <v>100.0</v>
      </c>
      <c r="AP131" s="2">
        <v>11.0</v>
      </c>
      <c r="AQ131" s="1">
        <v>0.0</v>
      </c>
      <c r="AR131" s="1">
        <v>0.0</v>
      </c>
      <c r="AS131" s="1" t="s">
        <v>791</v>
      </c>
      <c r="AT131" s="3" t="str">
        <f>HYPERLINK("https://icf.clappia.com/app/GMB253374/submission/YAZ98999766/ICF247370-GMB253374-4b0825encl8c00000000/SIG-20250704_16344p776.jpeg", "SIG-20250704_16344p776.jpeg")</f>
        <v>SIG-20250704_16344p776.jpeg</v>
      </c>
      <c r="AU131" s="1" t="s">
        <v>792</v>
      </c>
      <c r="AV131" s="3" t="str">
        <f>HYPERLINK("https://icf.clappia.com/app/GMB253374/submission/YAZ98999766/ICF247370-GMB253374-5joci4612o2k00000000/SIG-20250704_1635hii41.jpeg", "SIG-20250704_1635hii41.jpeg")</f>
        <v>SIG-20250704_1635hii41.jpeg</v>
      </c>
      <c r="AW131" s="1" t="s">
        <v>793</v>
      </c>
      <c r="AX131" s="3" t="str">
        <f>HYPERLINK("https://icf.clappia.com/app/GMB253374/submission/YAZ98999766/ICF247370-GMB253374-68j8j9bfp76600000000/SIG-20250704_1635g05pg.jpeg", "SIG-20250704_1635g05pg.jpeg")</f>
        <v>SIG-20250704_1635g05pg.jpeg</v>
      </c>
      <c r="AY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794</v>
      </c>
      <c r="B132" s="2" t="s">
        <v>47</v>
      </c>
      <c r="C132" s="1" t="s">
        <v>795</v>
      </c>
      <c r="D132" s="1" t="s">
        <v>795</v>
      </c>
      <c r="E132" s="2" t="s">
        <v>796</v>
      </c>
      <c r="F132" s="1" t="s">
        <v>51</v>
      </c>
      <c r="G132" s="1">
        <v>76.0</v>
      </c>
      <c r="H132" s="1" t="s">
        <v>52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53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55</v>
      </c>
      <c r="T132" s="1" t="s">
        <v>54</v>
      </c>
      <c r="U132" s="1">
        <v>52.0</v>
      </c>
      <c r="V132" s="1">
        <v>22.0</v>
      </c>
      <c r="W132" s="1" t="s">
        <v>55</v>
      </c>
      <c r="X132" s="1">
        <v>30.0</v>
      </c>
      <c r="Y132" s="1" t="s">
        <v>55</v>
      </c>
      <c r="Z132" s="1" t="s">
        <v>56</v>
      </c>
      <c r="AA132" s="1">
        <v>30.0</v>
      </c>
      <c r="AB132" s="1">
        <v>13.0</v>
      </c>
      <c r="AC132" s="1" t="s">
        <v>55</v>
      </c>
      <c r="AD132" s="1">
        <v>17.0</v>
      </c>
      <c r="AE132" s="1" t="s">
        <v>55</v>
      </c>
      <c r="AF132" s="1" t="s">
        <v>57</v>
      </c>
      <c r="AG132" s="1">
        <v>26.0</v>
      </c>
      <c r="AH132" s="1">
        <v>13.0</v>
      </c>
      <c r="AI132" s="1" t="s">
        <v>55</v>
      </c>
      <c r="AJ132" s="1">
        <v>13.0</v>
      </c>
      <c r="AK132" s="1" t="s">
        <v>55</v>
      </c>
      <c r="AL132" s="1">
        <f t="shared" si="1"/>
        <v>219</v>
      </c>
      <c r="AM132" s="1">
        <v>76.0</v>
      </c>
      <c r="AN132" s="1">
        <v>88.0</v>
      </c>
      <c r="AO132" s="1">
        <v>76.0</v>
      </c>
      <c r="AP132" s="2">
        <v>11.0</v>
      </c>
      <c r="AQ132" s="1">
        <v>0.0</v>
      </c>
      <c r="AR132" s="1">
        <v>0.0</v>
      </c>
      <c r="AS132" s="1" t="s">
        <v>797</v>
      </c>
      <c r="AT132" s="3" t="str">
        <f>HYPERLINK("https://icf.clappia.com/app/GMB253374/submission/EBG88366763/ICF247370-GMB253374-1d939pngnj9bg0000000/SIG-20250704_1622i845c.jpeg", "SIG-20250704_1622i845c.jpeg")</f>
        <v>SIG-20250704_1622i845c.jpeg</v>
      </c>
      <c r="AU132" s="1" t="s">
        <v>798</v>
      </c>
      <c r="AV132" s="3" t="str">
        <f>HYPERLINK("https://icf.clappia.com/app/GMB253374/submission/EBG88366763/ICF247370-GMB253374-b89041788f760000000/SIG-20250704_1625e4onp.jpeg", "SIG-20250704_1625e4onp.jpeg")</f>
        <v>SIG-20250704_1625e4onp.jpeg</v>
      </c>
      <c r="AW132" s="1" t="s">
        <v>799</v>
      </c>
      <c r="AX132" s="3" t="str">
        <f>HYPERLINK("https://icf.clappia.com/app/GMB253374/submission/EBG88366763/ICF247370-GMB253374-1pfmp2c08g9280000000/SIG-20250704_162710eiam.jpeg", "SIG-20250704_162710eiam.jpeg")</f>
        <v>SIG-20250704_162710eiam.jpeg</v>
      </c>
      <c r="AY132" s="3" t="str">
        <f>HYPERLINK("https://www.google.com/maps/place/8.906632%2C-12.037808", "8.906632,-12.037808")</f>
        <v>8.906632,-12.037808</v>
      </c>
    </row>
    <row r="133" ht="15.75" customHeight="1">
      <c r="A133" s="1" t="s">
        <v>800</v>
      </c>
      <c r="B133" s="2" t="s">
        <v>47</v>
      </c>
      <c r="C133" s="1" t="s">
        <v>795</v>
      </c>
      <c r="D133" s="1" t="s">
        <v>795</v>
      </c>
      <c r="E133" s="1" t="s">
        <v>801</v>
      </c>
      <c r="F133" s="1" t="s">
        <v>51</v>
      </c>
      <c r="G133" s="1">
        <v>150.0</v>
      </c>
      <c r="H133" s="1" t="s">
        <v>52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53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54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56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57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f t="shared" si="1"/>
        <v>150</v>
      </c>
      <c r="AM133" s="1">
        <v>150.0</v>
      </c>
      <c r="AN133" s="1">
        <v>162.0</v>
      </c>
      <c r="AO133" s="1">
        <v>150.0</v>
      </c>
      <c r="AP133" s="2">
        <v>11.0</v>
      </c>
      <c r="AQ133" s="1">
        <v>0.0</v>
      </c>
      <c r="AR133" s="1">
        <v>0.0</v>
      </c>
      <c r="AS133" s="1" t="s">
        <v>802</v>
      </c>
      <c r="AT133" s="3" t="str">
        <f>HYPERLINK("https://icf.clappia.com/app/GMB253374/submission/JBG52201436/ICF247370-GMB253374-376083g97kli00000000/SIG-20250704_1630nn5.jpeg", "SIG-20250704_1630nn5.jpeg")</f>
        <v>SIG-20250704_1630nn5.jpeg</v>
      </c>
      <c r="AU133" s="1" t="s">
        <v>803</v>
      </c>
      <c r="AV133" s="3" t="str">
        <f>HYPERLINK("https://icf.clappia.com/app/GMB253374/submission/JBG52201436/ICF247370-GMB253374-51f9h28d5n2m00000000/SIG-20250704_1631cj4k9.jpeg", "SIG-20250704_1631cj4k9.jpeg")</f>
        <v>SIG-20250704_1631cj4k9.jpeg</v>
      </c>
      <c r="AW133" s="1" t="s">
        <v>804</v>
      </c>
      <c r="AX133" s="3" t="str">
        <f>HYPERLINK("https://icf.clappia.com/app/GMB253374/submission/JBG52201436/ICF247370-GMB253374-53njckcbg9m000000000/SIG-20250704_1631170alj.jpeg", "SIG-20250704_1631170alj.jpeg")</f>
        <v>SIG-20250704_1631170alj.jpeg</v>
      </c>
      <c r="AY133" s="3" t="str">
        <f>HYPERLINK("https://www.google.com/maps/place/8.67886%2C-12.1027033", "8.67886,-12.1027033")</f>
        <v>8.67886,-12.1027033</v>
      </c>
    </row>
    <row r="134" ht="15.75" customHeight="1">
      <c r="A134" s="1" t="s">
        <v>805</v>
      </c>
      <c r="B134" s="2" t="s">
        <v>47</v>
      </c>
      <c r="C134" s="1" t="s">
        <v>806</v>
      </c>
      <c r="D134" s="1" t="s">
        <v>806</v>
      </c>
      <c r="E134" s="1" t="s">
        <v>807</v>
      </c>
      <c r="F134" s="1" t="s">
        <v>72</v>
      </c>
      <c r="G134" s="1">
        <v>30.0</v>
      </c>
      <c r="H134" s="1" t="s">
        <v>52</v>
      </c>
      <c r="I134" s="1">
        <v>5.0</v>
      </c>
      <c r="J134" s="1">
        <v>5.0</v>
      </c>
      <c r="K134" s="1">
        <v>5.0</v>
      </c>
      <c r="L134" s="1" t="s">
        <v>55</v>
      </c>
      <c r="M134" s="1" t="s">
        <v>55</v>
      </c>
      <c r="N134" s="1" t="s">
        <v>53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54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56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57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f t="shared" si="1"/>
        <v>30</v>
      </c>
      <c r="AM134" s="1">
        <v>30.0</v>
      </c>
      <c r="AN134" s="1">
        <v>42.0</v>
      </c>
      <c r="AO134" s="1">
        <v>30.0</v>
      </c>
      <c r="AP134" s="2">
        <v>11.0</v>
      </c>
      <c r="AQ134" s="1">
        <v>0.0</v>
      </c>
      <c r="AR134" s="1">
        <v>0.0</v>
      </c>
      <c r="AS134" s="1" t="s">
        <v>808</v>
      </c>
      <c r="AT134" s="3" t="str">
        <f>HYPERLINK("https://icf.clappia.com/app/GMB253374/submission/MPE32576015/ICF247370-GMB253374-1hi7m4cega5fm0000000/SIG-20250704_13471befe.jpeg", "SIG-20250704_13471befe.jpeg")</f>
        <v>SIG-20250704_13471befe.jpeg</v>
      </c>
      <c r="AU134" s="1" t="s">
        <v>809</v>
      </c>
      <c r="AV134" s="3" t="str">
        <f>HYPERLINK("https://icf.clappia.com/app/GMB253374/submission/MPE32576015/ICF247370-GMB253374-3g03692m404g00000000/SIG-20250704_1346725c2.jpeg", "SIG-20250704_1346725c2.jpeg")</f>
        <v>SIG-20250704_1346725c2.jpeg</v>
      </c>
      <c r="AW134" s="1" t="s">
        <v>810</v>
      </c>
      <c r="AX134" s="3" t="str">
        <f>HYPERLINK("https://icf.clappia.com/app/GMB253374/submission/MPE32576015/ICF247370-GMB253374-2k8lpm0epeba00000000/SIG-20250704_1347895d3.jpeg", "SIG-20250704_1347895d3.jpeg")</f>
        <v>SIG-20250704_1347895d3.jpeg</v>
      </c>
      <c r="AY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811</v>
      </c>
      <c r="B135" s="2" t="s">
        <v>47</v>
      </c>
      <c r="C135" s="1" t="s">
        <v>812</v>
      </c>
      <c r="D135" s="1" t="s">
        <v>813</v>
      </c>
      <c r="E135" s="2" t="s">
        <v>814</v>
      </c>
      <c r="F135" s="1" t="s">
        <v>51</v>
      </c>
      <c r="G135" s="1">
        <v>117.0</v>
      </c>
      <c r="H135" s="1" t="s">
        <v>52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53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54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56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57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f t="shared" si="1"/>
        <v>151</v>
      </c>
      <c r="AM135" s="1">
        <v>117.0</v>
      </c>
      <c r="AN135" s="1">
        <v>129.0</v>
      </c>
      <c r="AO135" s="1">
        <v>117.0</v>
      </c>
      <c r="AP135" s="2">
        <v>11.0</v>
      </c>
      <c r="AQ135" s="1">
        <v>0.0</v>
      </c>
      <c r="AR135" s="1">
        <v>0.0</v>
      </c>
      <c r="AS135" s="1" t="s">
        <v>815</v>
      </c>
      <c r="AT135" s="3" t="str">
        <f>HYPERLINK("https://icf.clappia.com/app/GMB253374/submission/ALZ80154510/ICF247370-GMB253374-19d7l3c8ong8o0000000/SIG-20250704_143412ij6m.jpeg", "SIG-20250704_143412ij6m.jpeg")</f>
        <v>SIG-20250704_143412ij6m.jpeg</v>
      </c>
      <c r="AU135" s="1" t="s">
        <v>816</v>
      </c>
      <c r="AV135" s="3" t="str">
        <f>HYPERLINK("https://icf.clappia.com/app/GMB253374/submission/ALZ80154510/ICF247370-GMB253374-5g8o495099co00000000/SIG-20250704_1435k0bpd.jpeg", "SIG-20250704_1435k0bpd.jpeg")</f>
        <v>SIG-20250704_1435k0bpd.jpeg</v>
      </c>
      <c r="AW135" s="1" t="s">
        <v>817</v>
      </c>
      <c r="AX135" s="3" t="str">
        <f>HYPERLINK("https://icf.clappia.com/app/GMB253374/submission/ALZ80154510/ICF247370-GMB253374-1pfloae1l4a080000000/SIG-20250704_143615d647.jpeg", "SIG-20250704_143615d647.jpeg")</f>
        <v>SIG-20250704_143615d647.jpeg</v>
      </c>
      <c r="AY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818</v>
      </c>
      <c r="B136" s="2" t="s">
        <v>47</v>
      </c>
      <c r="C136" s="1" t="s">
        <v>819</v>
      </c>
      <c r="D136" s="1" t="s">
        <v>819</v>
      </c>
      <c r="E136" s="1" t="s">
        <v>820</v>
      </c>
      <c r="F136" s="1" t="s">
        <v>51</v>
      </c>
      <c r="G136" s="1">
        <v>125.0</v>
      </c>
      <c r="H136" s="1" t="s">
        <v>52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53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54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56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57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f t="shared" si="1"/>
        <v>125</v>
      </c>
      <c r="AM136" s="1">
        <v>125.0</v>
      </c>
      <c r="AN136" s="1">
        <v>137.0</v>
      </c>
      <c r="AO136" s="1">
        <v>125.0</v>
      </c>
      <c r="AP136" s="2">
        <v>11.0</v>
      </c>
      <c r="AQ136" s="1">
        <v>0.0</v>
      </c>
      <c r="AR136" s="1">
        <v>0.0</v>
      </c>
      <c r="AS136" s="1" t="s">
        <v>821</v>
      </c>
      <c r="AT136" s="3" t="str">
        <f>HYPERLINK("https://icf.clappia.com/app/GMB253374/submission/VRY65413712/ICF247370-GMB253374-297el3gkkbipg0000000/SIG-20250704_1616p1jfo.jpeg", "SIG-20250704_1616p1jfo.jpeg")</f>
        <v>SIG-20250704_1616p1jfo.jpeg</v>
      </c>
      <c r="AU136" s="1" t="s">
        <v>822</v>
      </c>
      <c r="AV136" s="3" t="str">
        <f>HYPERLINK("https://icf.clappia.com/app/GMB253374/submission/VRY65413712/ICF247370-GMB253374-3fe4ii5aelkg00000000/SIG-20250704_1616f369o.jpeg", "SIG-20250704_1616f369o.jpeg")</f>
        <v>SIG-20250704_1616f369o.jpeg</v>
      </c>
      <c r="AW136" s="1" t="s">
        <v>823</v>
      </c>
      <c r="AX136" s="3" t="str">
        <f>HYPERLINK("https://icf.clappia.com/app/GMB253374/submission/VRY65413712/ICF247370-GMB253374-1ja25n64dheo00000000/SIG-20250704_1615a47n3.jpeg", "SIG-20250704_1615a47n3.jpeg")</f>
        <v>SIG-20250704_1615a47n3.jpeg</v>
      </c>
      <c r="AY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824</v>
      </c>
      <c r="B137" s="2" t="s">
        <v>47</v>
      </c>
      <c r="C137" s="1" t="s">
        <v>825</v>
      </c>
      <c r="D137" s="1" t="s">
        <v>825</v>
      </c>
      <c r="E137" s="1" t="s">
        <v>826</v>
      </c>
      <c r="F137" s="1" t="s">
        <v>51</v>
      </c>
      <c r="G137" s="1">
        <v>200.0</v>
      </c>
      <c r="H137" s="1" t="s">
        <v>52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 t="s">
        <v>53</v>
      </c>
      <c r="O137" s="1" t="s">
        <v>55</v>
      </c>
      <c r="P137" s="1" t="s">
        <v>55</v>
      </c>
      <c r="Q137" s="1" t="s">
        <v>55</v>
      </c>
      <c r="R137" s="1" t="s">
        <v>55</v>
      </c>
      <c r="S137" s="1" t="s">
        <v>55</v>
      </c>
      <c r="T137" s="1" t="s">
        <v>54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56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57</v>
      </c>
      <c r="AG137" s="1" t="s">
        <v>55</v>
      </c>
      <c r="AH137" s="1" t="s">
        <v>55</v>
      </c>
      <c r="AI137" s="1" t="s">
        <v>55</v>
      </c>
      <c r="AJ137" s="1" t="s">
        <v>55</v>
      </c>
      <c r="AK137" s="1" t="s">
        <v>55</v>
      </c>
      <c r="AL137" s="1">
        <f t="shared" si="1"/>
        <v>155</v>
      </c>
      <c r="AM137" s="1">
        <v>200.0</v>
      </c>
      <c r="AN137" s="1">
        <v>212.0</v>
      </c>
      <c r="AO137" s="1">
        <v>155.0</v>
      </c>
      <c r="AP137" s="2">
        <v>11.0</v>
      </c>
      <c r="AQ137" s="1">
        <v>45.0</v>
      </c>
      <c r="AR137" s="1">
        <v>45.0</v>
      </c>
      <c r="AS137" s="1" t="s">
        <v>827</v>
      </c>
      <c r="AT137" s="3" t="str">
        <f>HYPERLINK("https://icf.clappia.com/app/GMB253374/submission/EDT49779839/ICF247370-GMB253374-110b8dcae3bck0000000/SIG-20250704_14165d9n6.jpeg", "SIG-20250704_14165d9n6.jpeg")</f>
        <v>SIG-20250704_14165d9n6.jpeg</v>
      </c>
      <c r="AU137" s="1" t="s">
        <v>828</v>
      </c>
      <c r="AV137" s="3" t="str">
        <f>HYPERLINK("https://icf.clappia.com/app/GMB253374/submission/EDT49779839/ICF247370-GMB253374-27g38137e4h4e0000000/SIG-20250704_1417d2ahl.jpeg", "SIG-20250704_1417d2ahl.jpeg")</f>
        <v>SIG-20250704_1417d2ahl.jpeg</v>
      </c>
      <c r="AW137" s="1" t="s">
        <v>829</v>
      </c>
      <c r="AX137" s="3" t="str">
        <f>HYPERLINK("https://icf.clappia.com/app/GMB253374/submission/EDT49779839/ICF247370-GMB253374-10i87hiafm9p80000000/SIG-20250704_1417eddf9.jpeg", "SIG-20250704_1417eddf9.jpeg")</f>
        <v>SIG-20250704_1417eddf9.jpeg</v>
      </c>
      <c r="AY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830</v>
      </c>
      <c r="B138" s="2" t="s">
        <v>47</v>
      </c>
      <c r="C138" s="1" t="s">
        <v>831</v>
      </c>
      <c r="D138" s="1" t="s">
        <v>831</v>
      </c>
      <c r="E138" s="1" t="s">
        <v>832</v>
      </c>
      <c r="F138" s="1" t="s">
        <v>51</v>
      </c>
      <c r="G138" s="1">
        <v>306.0</v>
      </c>
      <c r="H138" s="1" t="s">
        <v>52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53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54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56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57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f t="shared" si="1"/>
        <v>306</v>
      </c>
      <c r="AM138" s="1">
        <v>306.0</v>
      </c>
      <c r="AN138" s="1">
        <v>318.0</v>
      </c>
      <c r="AO138" s="1">
        <v>306.0</v>
      </c>
      <c r="AP138" s="2">
        <v>11.0</v>
      </c>
      <c r="AQ138" s="1">
        <v>0.0</v>
      </c>
      <c r="AR138" s="1">
        <v>0.0</v>
      </c>
      <c r="AS138" s="1" t="s">
        <v>833</v>
      </c>
      <c r="AT138" s="3" t="str">
        <f>HYPERLINK("https://icf.clappia.com/app/GMB253374/submission/ZXW52165716/ICF247370-GMB253374-431p3gfk7eg200000000/SIG-20250704_160619em1.jpeg", "SIG-20250704_160619em1.jpeg")</f>
        <v>SIG-20250704_160619em1.jpeg</v>
      </c>
      <c r="AU138" s="1" t="s">
        <v>834</v>
      </c>
      <c r="AV138" s="3" t="str">
        <f>HYPERLINK("https://icf.clappia.com/app/GMB253374/submission/ZXW52165716/ICF247370-GMB253374-4amehm3dem2m00000000/SIG-20250704_160616eao0.jpeg", "SIG-20250704_160616eao0.jpeg")</f>
        <v>SIG-20250704_160616eao0.jpeg</v>
      </c>
      <c r="AW138" s="1" t="s">
        <v>835</v>
      </c>
      <c r="AX138" s="3" t="str">
        <f>HYPERLINK("https://icf.clappia.com/app/GMB253374/submission/ZXW52165716/ICF247370-GMB253374-5a1h6i2d2d6a00000000/SIG-20250704_1605768g6.jpeg", "SIG-20250704_1605768g6.jpeg")</f>
        <v>SIG-20250704_1605768g6.jpeg</v>
      </c>
      <c r="AY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836</v>
      </c>
      <c r="B139" s="2" t="s">
        <v>47</v>
      </c>
      <c r="C139" s="1" t="s">
        <v>837</v>
      </c>
      <c r="D139" s="1" t="s">
        <v>837</v>
      </c>
      <c r="E139" s="1" t="s">
        <v>838</v>
      </c>
      <c r="F139" s="1" t="s">
        <v>51</v>
      </c>
      <c r="G139" s="1">
        <v>395.0</v>
      </c>
      <c r="H139" s="1" t="s">
        <v>52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53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54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56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57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f t="shared" si="1"/>
        <v>395</v>
      </c>
      <c r="AM139" s="1">
        <v>395.0</v>
      </c>
      <c r="AN139" s="1">
        <v>407.0</v>
      </c>
      <c r="AO139" s="1">
        <v>395.0</v>
      </c>
      <c r="AP139" s="2">
        <v>11.0</v>
      </c>
      <c r="AQ139" s="1">
        <v>0.0</v>
      </c>
      <c r="AR139" s="1">
        <v>0.0</v>
      </c>
      <c r="AS139" s="1" t="s">
        <v>839</v>
      </c>
      <c r="AT139" s="3" t="str">
        <f>HYPERLINK("https://icf.clappia.com/app/GMB253374/submission/OYD77651983/ICF247370-GMB253374-1ib75fph1cf4i0000000/SIG-20250704_155519od50.jpeg", "SIG-20250704_155519od50.jpeg")</f>
        <v>SIG-20250704_155519od50.jpeg</v>
      </c>
      <c r="AU139" s="1" t="s">
        <v>840</v>
      </c>
      <c r="AV139" s="3" t="str">
        <f>HYPERLINK("https://icf.clappia.com/app/GMB253374/submission/OYD77651983/ICF247370-GMB253374-252hk336g7heo0000000/SIG-20250704_1556p0omf.jpeg", "SIG-20250704_1556p0omf.jpeg")</f>
        <v>SIG-20250704_1556p0omf.jpeg</v>
      </c>
      <c r="AW139" s="1" t="s">
        <v>841</v>
      </c>
      <c r="AX139" s="3" t="str">
        <f>HYPERLINK("https://icf.clappia.com/app/GMB253374/submission/OYD77651983/ICF247370-GMB253374-42211e6p0od000000000/SIG-20250704_1607p8n75.jpeg", "SIG-20250704_1607p8n75.jpeg")</f>
        <v>SIG-20250704_1607p8n75.jpeg</v>
      </c>
      <c r="AY139" s="3" t="str">
        <f>HYPERLINK("https://www.google.com/maps/place/8.816385%2C-12.229125", "8.816385,-12.229125")</f>
        <v>8.816385,-12.229125</v>
      </c>
    </row>
    <row r="140" ht="15.75" customHeight="1">
      <c r="A140" s="1" t="s">
        <v>842</v>
      </c>
      <c r="B140" s="2" t="s">
        <v>47</v>
      </c>
      <c r="C140" s="1" t="s">
        <v>843</v>
      </c>
      <c r="D140" s="1" t="s">
        <v>843</v>
      </c>
      <c r="E140" s="1" t="s">
        <v>844</v>
      </c>
      <c r="F140" s="1" t="s">
        <v>72</v>
      </c>
      <c r="G140" s="1">
        <v>100.0</v>
      </c>
      <c r="H140" s="1" t="s">
        <v>52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53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54</v>
      </c>
      <c r="U140" s="1" t="s">
        <v>55</v>
      </c>
      <c r="V140" s="1" t="s">
        <v>55</v>
      </c>
      <c r="W140" s="1" t="s">
        <v>55</v>
      </c>
      <c r="X140" s="1" t="s">
        <v>55</v>
      </c>
      <c r="Y140" s="1" t="s">
        <v>55</v>
      </c>
      <c r="Z140" s="1" t="s">
        <v>56</v>
      </c>
      <c r="AA140" s="1" t="s">
        <v>55</v>
      </c>
      <c r="AB140" s="1" t="s">
        <v>55</v>
      </c>
      <c r="AC140" s="1" t="s">
        <v>55</v>
      </c>
      <c r="AD140" s="1" t="s">
        <v>55</v>
      </c>
      <c r="AE140" s="1" t="s">
        <v>55</v>
      </c>
      <c r="AF140" s="1" t="s">
        <v>57</v>
      </c>
      <c r="AG140" s="1" t="s">
        <v>55</v>
      </c>
      <c r="AH140" s="1" t="s">
        <v>55</v>
      </c>
      <c r="AI140" s="1" t="s">
        <v>55</v>
      </c>
      <c r="AJ140" s="1" t="s">
        <v>55</v>
      </c>
      <c r="AK140" s="1" t="s">
        <v>55</v>
      </c>
      <c r="AL140" s="1">
        <f t="shared" si="1"/>
        <v>100</v>
      </c>
      <c r="AM140" s="1">
        <v>100.0</v>
      </c>
      <c r="AN140" s="1">
        <v>112.0</v>
      </c>
      <c r="AO140" s="1">
        <v>96.0</v>
      </c>
      <c r="AP140" s="2">
        <v>11.0</v>
      </c>
      <c r="AQ140" s="1">
        <v>4.0</v>
      </c>
      <c r="AR140" s="1">
        <v>4.0</v>
      </c>
      <c r="AS140" s="1" t="s">
        <v>845</v>
      </c>
      <c r="AT140" s="3" t="str">
        <f>HYPERLINK("https://icf.clappia.com/app/GMB253374/submission/OSV03194081/ICF247370-GMB253374-4254ih97jmhk00000000/SIG-20250701_1337a8ehe.jpeg", "SIG-20250701_1337a8ehe.jpeg")</f>
        <v>SIG-20250701_1337a8ehe.jpeg</v>
      </c>
      <c r="AU140" s="1" t="s">
        <v>846</v>
      </c>
      <c r="AV140" s="3" t="str">
        <f>HYPERLINK("https://icf.clappia.com/app/GMB253374/submission/OSV03194081/ICF247370-GMB253374-3bd2kno526c800000000/SIG-20250701_13391065nm.jpeg", "SIG-20250701_13391065nm.jpeg")</f>
        <v>SIG-20250701_13391065nm.jpeg</v>
      </c>
      <c r="AW140" s="1" t="s">
        <v>847</v>
      </c>
      <c r="AX140" s="3" t="str">
        <f>HYPERLINK("https://icf.clappia.com/app/GMB253374/submission/OSV03194081/ICF247370-GMB253374-429p1629120a00000000/SIG-20250701_13382p0bj.jpeg", "SIG-20250701_13382p0bj.jpeg")</f>
        <v>SIG-20250701_13382p0bj.jpeg</v>
      </c>
      <c r="AY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848</v>
      </c>
      <c r="B141" s="2" t="s">
        <v>47</v>
      </c>
      <c r="C141" s="1" t="s">
        <v>849</v>
      </c>
      <c r="D141" s="1" t="s">
        <v>850</v>
      </c>
      <c r="E141" s="2" t="s">
        <v>851</v>
      </c>
      <c r="F141" s="1" t="s">
        <v>51</v>
      </c>
      <c r="G141" s="1">
        <v>100.0</v>
      </c>
      <c r="H141" s="1" t="s">
        <v>52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53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54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56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57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f t="shared" si="1"/>
        <v>95</v>
      </c>
      <c r="AM141" s="1">
        <v>100.0</v>
      </c>
      <c r="AN141" s="1">
        <v>112.0</v>
      </c>
      <c r="AO141" s="1">
        <v>91.0</v>
      </c>
      <c r="AP141" s="2">
        <v>11.0</v>
      </c>
      <c r="AQ141" s="1">
        <v>9.0</v>
      </c>
      <c r="AR141" s="1">
        <v>9.0</v>
      </c>
      <c r="AS141" s="1" t="s">
        <v>852</v>
      </c>
      <c r="AT141" s="3" t="str">
        <f>HYPERLINK("https://icf.clappia.com/app/GMB253374/submission/NUH62499504/ICF247370-GMB253374-2o4lkb64khj000000000/SIG-20250704_1555mb0p9.jpeg", "SIG-20250704_1555mb0p9.jpeg")</f>
        <v>SIG-20250704_1555mb0p9.jpeg</v>
      </c>
      <c r="AU141" s="1" t="s">
        <v>853</v>
      </c>
      <c r="AV141" s="3" t="str">
        <f>HYPERLINK("https://icf.clappia.com/app/GMB253374/submission/NUH62499504/ICF247370-GMB253374-1iiji8c6o2o6k0000000/SIG-20250704_1555j50e4.jpeg", "SIG-20250704_1555j50e4.jpeg")</f>
        <v>SIG-20250704_1555j50e4.jpeg</v>
      </c>
      <c r="AW141" s="1" t="s">
        <v>854</v>
      </c>
      <c r="AX141" s="3" t="str">
        <f>HYPERLINK("https://icf.clappia.com/app/GMB253374/submission/NUH62499504/ICF247370-GMB253374-58db3fmj1h1e0000000/SIG-20250704_1557p71bi.jpeg", "SIG-20250704_1557p71bi.jpeg")</f>
        <v>SIG-20250704_1557p71bi.jpeg</v>
      </c>
      <c r="AY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855</v>
      </c>
      <c r="B142" s="2" t="s">
        <v>47</v>
      </c>
      <c r="C142" s="1" t="s">
        <v>812</v>
      </c>
      <c r="D142" s="1" t="s">
        <v>812</v>
      </c>
      <c r="E142" s="1" t="s">
        <v>856</v>
      </c>
      <c r="F142" s="1" t="s">
        <v>51</v>
      </c>
      <c r="G142" s="1">
        <v>129.0</v>
      </c>
      <c r="H142" s="1" t="s">
        <v>52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53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54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56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57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f t="shared" si="1"/>
        <v>129</v>
      </c>
      <c r="AM142" s="1">
        <v>129.0</v>
      </c>
      <c r="AN142" s="1">
        <v>141.0</v>
      </c>
      <c r="AO142" s="1">
        <v>129.0</v>
      </c>
      <c r="AP142" s="2">
        <v>11.0</v>
      </c>
      <c r="AQ142" s="1">
        <v>0.0</v>
      </c>
      <c r="AR142" s="1">
        <v>0.0</v>
      </c>
      <c r="AS142" s="1" t="s">
        <v>821</v>
      </c>
      <c r="AT142" s="3" t="str">
        <f>HYPERLINK("https://icf.clappia.com/app/GMB253374/submission/MQH27238483/ICF247370-GMB253374-4aeec22m38ok00000000/SIG-20250704_1547eboja.jpeg", "SIG-20250704_1547eboja.jpeg")</f>
        <v>SIG-20250704_1547eboja.jpeg</v>
      </c>
      <c r="AU142" s="1" t="s">
        <v>822</v>
      </c>
      <c r="AV142" s="3" t="str">
        <f>HYPERLINK("https://icf.clappia.com/app/GMB253374/submission/MQH27238483/ICF247370-GMB253374-3nlin2hbd4040000000/SIG-20250704_1548pgjb5.jpeg", "SIG-20250704_1548pgjb5.jpeg")</f>
        <v>SIG-20250704_1548pgjb5.jpeg</v>
      </c>
      <c r="AW142" s="1" t="s">
        <v>823</v>
      </c>
      <c r="AX142" s="3" t="str">
        <f>HYPERLINK("https://icf.clappia.com/app/GMB253374/submission/MQH27238483/ICF247370-GMB253374-b7ajoekl881m0000000/SIG-20250704_1547g5d75.jpeg", "SIG-20250704_1547g5d75.jpeg")</f>
        <v>SIG-20250704_1547g5d75.jpeg</v>
      </c>
      <c r="AY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857</v>
      </c>
      <c r="B143" s="2" t="s">
        <v>47</v>
      </c>
      <c r="C143" s="1" t="s">
        <v>858</v>
      </c>
      <c r="D143" s="1" t="s">
        <v>858</v>
      </c>
      <c r="E143" s="1" t="s">
        <v>859</v>
      </c>
      <c r="F143" s="1" t="s">
        <v>51</v>
      </c>
      <c r="G143" s="1">
        <v>350.0</v>
      </c>
      <c r="H143" s="1" t="s">
        <v>52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53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54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56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57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f t="shared" si="1"/>
        <v>310</v>
      </c>
      <c r="AM143" s="1">
        <v>350.0</v>
      </c>
      <c r="AN143" s="1">
        <v>362.0</v>
      </c>
      <c r="AO143" s="1">
        <v>302.0</v>
      </c>
      <c r="AP143" s="2">
        <v>11.0</v>
      </c>
      <c r="AQ143" s="1">
        <v>48.0</v>
      </c>
      <c r="AR143" s="1">
        <v>48.0</v>
      </c>
      <c r="AS143" s="1" t="s">
        <v>860</v>
      </c>
      <c r="AT143" s="3" t="str">
        <f>HYPERLINK("https://icf.clappia.com/app/GMB253374/submission/FXH04332662/ICF247370-GMB253374-3ice8fcge1og00000000/SIG-20250704_113547hn0.jpeg", "SIG-20250704_113547hn0.jpeg")</f>
        <v>SIG-20250704_113547hn0.jpeg</v>
      </c>
      <c r="AU143" s="1" t="s">
        <v>861</v>
      </c>
      <c r="AV143" s="3" t="str">
        <f>HYPERLINK("https://icf.clappia.com/app/GMB253374/submission/FXH04332662/ICF247370-GMB253374-3bna6f4g3hic00000000/SIG-20250704_1135aiokl.jpeg", "SIG-20250704_1135aiokl.jpeg")</f>
        <v>SIG-20250704_1135aiokl.jpeg</v>
      </c>
      <c r="AW143" s="1" t="s">
        <v>862</v>
      </c>
      <c r="AX143" s="3" t="str">
        <f>HYPERLINK("https://icf.clappia.com/app/GMB253374/submission/FXH04332662/ICF247370-GMB253374-151n0mec484000000000/SIG-20250704_1136mo713.jpeg", "SIG-20250704_1136mo713.jpeg")</f>
        <v>SIG-20250704_1136mo713.jpeg</v>
      </c>
      <c r="AY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863</v>
      </c>
      <c r="B144" s="2" t="s">
        <v>47</v>
      </c>
      <c r="C144" s="1" t="s">
        <v>864</v>
      </c>
      <c r="D144" s="1" t="s">
        <v>864</v>
      </c>
      <c r="E144" s="1" t="s">
        <v>865</v>
      </c>
      <c r="F144" s="1" t="s">
        <v>51</v>
      </c>
      <c r="G144" s="1">
        <v>100.0</v>
      </c>
      <c r="H144" s="1" t="s">
        <v>52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53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54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56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57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f t="shared" si="1"/>
        <v>121</v>
      </c>
      <c r="AM144" s="1">
        <v>100.0</v>
      </c>
      <c r="AN144" s="1">
        <v>112.0</v>
      </c>
      <c r="AO144" s="1">
        <v>100.0</v>
      </c>
      <c r="AP144" s="2">
        <v>11.0</v>
      </c>
      <c r="AQ144" s="1">
        <v>0.0</v>
      </c>
      <c r="AR144" s="1">
        <v>0.0</v>
      </c>
      <c r="AS144" s="1" t="s">
        <v>866</v>
      </c>
      <c r="AT144" s="3" t="str">
        <f>HYPERLINK("https://icf.clappia.com/app/GMB253374/submission/XHT99013739/ICF247370-GMB253374-2cpij41e60ec00000000/SIG-20250704_150829p7n.jpeg", "SIG-20250704_150829p7n.jpeg")</f>
        <v>SIG-20250704_150829p7n.jpeg</v>
      </c>
      <c r="AU144" s="1" t="s">
        <v>867</v>
      </c>
      <c r="AV144" s="3" t="str">
        <f>HYPERLINK("https://icf.clappia.com/app/GMB253374/submission/XHT99013739/ICF247370-GMB253374-368hdl6o1nli00000000/SIG-20250704_1508189f2.jpeg", "SIG-20250704_1508189f2.jpeg")</f>
        <v>SIG-20250704_1508189f2.jpeg</v>
      </c>
      <c r="AW144" s="1" t="s">
        <v>868</v>
      </c>
      <c r="AX144" s="3" t="str">
        <f>HYPERLINK("https://icf.clappia.com/app/GMB253374/submission/XHT99013739/ICF247370-GMB253374-387hngf7jeke00000000/SIG-20250704_1509iof1i.jpeg", "SIG-20250704_1509iof1i.jpeg")</f>
        <v>SIG-20250704_1509iof1i.jpeg</v>
      </c>
      <c r="AY144" s="3" t="str">
        <f>HYPERLINK("https://www.google.com/maps/place/9.3530267%2C-11.9205383", "9.3530267,-11.9205383")</f>
        <v>9.3530267,-11.9205383</v>
      </c>
    </row>
    <row r="145" ht="15.75" customHeight="1">
      <c r="A145" s="1" t="s">
        <v>869</v>
      </c>
      <c r="B145" s="2" t="s">
        <v>47</v>
      </c>
      <c r="C145" s="1" t="s">
        <v>864</v>
      </c>
      <c r="D145" s="1" t="s">
        <v>864</v>
      </c>
      <c r="E145" s="1" t="s">
        <v>870</v>
      </c>
      <c r="F145" s="1" t="s">
        <v>51</v>
      </c>
      <c r="G145" s="1">
        <v>129.0</v>
      </c>
      <c r="H145" s="1" t="s">
        <v>52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53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54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56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57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f t="shared" si="1"/>
        <v>129</v>
      </c>
      <c r="AM145" s="1">
        <v>129.0</v>
      </c>
      <c r="AN145" s="1">
        <v>141.0</v>
      </c>
      <c r="AO145" s="1">
        <v>129.0</v>
      </c>
      <c r="AP145" s="2">
        <v>11.0</v>
      </c>
      <c r="AQ145" s="1">
        <v>0.0</v>
      </c>
      <c r="AR145" s="1">
        <v>0.0</v>
      </c>
      <c r="AS145" s="1" t="s">
        <v>821</v>
      </c>
      <c r="AT145" s="3" t="str">
        <f>HYPERLINK("https://icf.clappia.com/app/GMB253374/submission/QQN40475259/ICF247370-GMB253374-22bg70f968fci0000000/SIG-20250704_1535156595.jpeg", "SIG-20250704_1535156595.jpeg")</f>
        <v>SIG-20250704_1535156595.jpeg</v>
      </c>
      <c r="AU145" s="1" t="s">
        <v>822</v>
      </c>
      <c r="AV145" s="3" t="str">
        <f>HYPERLINK("https://icf.clappia.com/app/GMB253374/submission/QQN40475259/ICF247370-GMB253374-2jmom8p459l400000000/SIG-20250704_15353apfa.jpeg", "SIG-20250704_15353apfa.jpeg")</f>
        <v>SIG-20250704_15353apfa.jpeg</v>
      </c>
      <c r="AW145" s="1" t="s">
        <v>823</v>
      </c>
      <c r="AX145" s="3" t="str">
        <f>HYPERLINK("https://icf.clappia.com/app/GMB253374/submission/QQN40475259/ICF247370-GMB253374-63k1mbp2bk6400000000/SIG-20250704_15353hchj.jpeg", "SIG-20250704_15353hchj.jpeg")</f>
        <v>SIG-20250704_15353hchj.jpeg</v>
      </c>
      <c r="AY145" s="3" t="str">
        <f>HYPERLINK("https://www.google.com/maps/place/9.156956%2C-11.9614837", "9.156956,-11.9614837")</f>
        <v>9.156956,-11.9614837</v>
      </c>
    </row>
    <row r="146" ht="15.75" customHeight="1">
      <c r="A146" s="1" t="s">
        <v>871</v>
      </c>
      <c r="B146" s="2" t="s">
        <v>47</v>
      </c>
      <c r="C146" s="1" t="s">
        <v>872</v>
      </c>
      <c r="D146" s="1" t="s">
        <v>872</v>
      </c>
      <c r="E146" s="1" t="s">
        <v>873</v>
      </c>
      <c r="F146" s="1" t="s">
        <v>51</v>
      </c>
      <c r="G146" s="1">
        <v>350.0</v>
      </c>
      <c r="H146" s="1" t="s">
        <v>52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53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54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56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57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f t="shared" si="1"/>
        <v>351</v>
      </c>
      <c r="AM146" s="1">
        <v>350.0</v>
      </c>
      <c r="AN146" s="1">
        <v>362.0</v>
      </c>
      <c r="AO146" s="1">
        <v>350.0</v>
      </c>
      <c r="AP146" s="2">
        <v>11.0</v>
      </c>
      <c r="AQ146" s="1">
        <v>0.0</v>
      </c>
      <c r="AR146" s="1">
        <v>0.0</v>
      </c>
      <c r="AS146" s="1" t="s">
        <v>773</v>
      </c>
      <c r="AT146" s="3" t="str">
        <f>HYPERLINK("https://icf.clappia.com/app/GMB253374/submission/QTR30469309/ICF247370-GMB253374-12mb2c6mj2fne0000000/SIG-20250703_113515oc20.jpeg", "SIG-20250703_113515oc20.jpeg")</f>
        <v>SIG-20250703_113515oc20.jpeg</v>
      </c>
      <c r="AU146" s="1" t="s">
        <v>774</v>
      </c>
      <c r="AV146" s="3" t="str">
        <f>HYPERLINK("https://icf.clappia.com/app/GMB253374/submission/QTR30469309/ICF247370-GMB253374-4jb7ha4596mm00000000/SIG-20250703_1135o97b1.jpeg", "SIG-20250703_1135o97b1.jpeg")</f>
        <v>SIG-20250703_1135o97b1.jpeg</v>
      </c>
      <c r="AW146" s="1" t="s">
        <v>775</v>
      </c>
      <c r="AX146" s="3" t="str">
        <f>HYPERLINK("https://icf.clappia.com/app/GMB253374/submission/QTR30469309/ICF247370-GMB253374-41hblnaekb3400000000/SIG-20250703_11367pl0i.jpeg", "SIG-20250703_11367pl0i.jpeg")</f>
        <v>SIG-20250703_11367pl0i.jpeg</v>
      </c>
      <c r="AY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874</v>
      </c>
      <c r="B147" s="2" t="s">
        <v>47</v>
      </c>
      <c r="C147" s="1" t="s">
        <v>875</v>
      </c>
      <c r="D147" s="1" t="s">
        <v>875</v>
      </c>
      <c r="E147" s="1" t="s">
        <v>876</v>
      </c>
      <c r="F147" s="1" t="s">
        <v>51</v>
      </c>
      <c r="G147" s="1">
        <v>289.0</v>
      </c>
      <c r="H147" s="1" t="s">
        <v>52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53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54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56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57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f t="shared" si="1"/>
        <v>289</v>
      </c>
      <c r="AM147" s="1">
        <v>289.0</v>
      </c>
      <c r="AN147" s="1">
        <v>301.0</v>
      </c>
      <c r="AO147" s="1">
        <v>259.0</v>
      </c>
      <c r="AP147" s="2">
        <v>11.0</v>
      </c>
      <c r="AQ147" s="1">
        <v>30.0</v>
      </c>
      <c r="AR147" s="1">
        <v>30.0</v>
      </c>
      <c r="AS147" s="1" t="s">
        <v>877</v>
      </c>
      <c r="AT147" s="3" t="str">
        <f>HYPERLINK("https://icf.clappia.com/app/GMB253374/submission/LZL51737742/ICF247370-GMB253374-39eanm00bcp200000000/SIG-20250702_15003pp9.jpeg", "SIG-20250702_15003pp9.jpeg")</f>
        <v>SIG-20250702_15003pp9.jpeg</v>
      </c>
      <c r="AU147" s="1" t="s">
        <v>878</v>
      </c>
      <c r="AV147" s="3" t="str">
        <f>HYPERLINK("https://icf.clappia.com/app/GMB253374/submission/LZL51737742/ICF247370-GMB253374-5b3h94a06cic00000000/SIG-20250704_1525fgnk9.jpeg", "SIG-20250704_1525fgnk9.jpeg")</f>
        <v>SIG-20250704_1525fgnk9.jpeg</v>
      </c>
      <c r="AW147" s="1" t="s">
        <v>879</v>
      </c>
      <c r="AX147" s="3" t="str">
        <f>HYPERLINK("https://icf.clappia.com/app/GMB253374/submission/LZL51737742/ICF247370-GMB253374-3a3kbebj0ibc00000000/SIG-20250704_1525148bpg.jpeg", "SIG-20250704_1525148bpg.jpeg")</f>
        <v>SIG-20250704_1525148bpg.jpeg</v>
      </c>
      <c r="AY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880</v>
      </c>
      <c r="B148" s="2" t="s">
        <v>47</v>
      </c>
      <c r="C148" s="1" t="s">
        <v>881</v>
      </c>
      <c r="D148" s="1" t="s">
        <v>881</v>
      </c>
      <c r="E148" s="1" t="s">
        <v>882</v>
      </c>
      <c r="F148" s="1" t="s">
        <v>51</v>
      </c>
      <c r="G148" s="1">
        <v>92.0</v>
      </c>
      <c r="H148" s="1" t="s">
        <v>52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53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54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56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57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f t="shared" si="1"/>
        <v>92</v>
      </c>
      <c r="AM148" s="1">
        <v>92.0</v>
      </c>
      <c r="AN148" s="1">
        <v>104.0</v>
      </c>
      <c r="AO148" s="1">
        <v>92.0</v>
      </c>
      <c r="AP148" s="2">
        <v>11.0</v>
      </c>
      <c r="AQ148" s="1">
        <v>0.0</v>
      </c>
      <c r="AR148" s="1">
        <v>0.0</v>
      </c>
      <c r="AS148" s="1" t="s">
        <v>883</v>
      </c>
      <c r="AT148" s="3" t="str">
        <f>HYPERLINK("https://icf.clappia.com/app/GMB253374/submission/KCJ90551054/ICF247370-GMB253374-64eda64ckg0c00000000/SIG-20250704_15091odmi.jpeg", "SIG-20250704_15091odmi.jpeg")</f>
        <v>SIG-20250704_15091odmi.jpeg</v>
      </c>
      <c r="AU148" s="1" t="s">
        <v>884</v>
      </c>
      <c r="AV148" s="3" t="str">
        <f>HYPERLINK("https://icf.clappia.com/app/GMB253374/submission/KCJ90551054/ICF247370-GMB253374-3o1phmnh3hmk00000000/SIG-20250704_1509164f82.jpeg", "SIG-20250704_1509164f82.jpeg")</f>
        <v>SIG-20250704_1509164f82.jpeg</v>
      </c>
      <c r="AW148" s="1" t="s">
        <v>885</v>
      </c>
      <c r="AX148" s="3" t="str">
        <f>HYPERLINK("https://icf.clappia.com/app/GMB253374/submission/KCJ90551054/ICF247370-GMB253374-6bnj5in8i7680000000/SIG-20250704_151117mooo.jpeg", "SIG-20250704_151117mooo.jpeg")</f>
        <v>SIG-20250704_151117mooo.jpeg</v>
      </c>
      <c r="AY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886</v>
      </c>
      <c r="B149" s="2" t="s">
        <v>47</v>
      </c>
      <c r="C149" s="1" t="s">
        <v>881</v>
      </c>
      <c r="D149" s="1" t="s">
        <v>881</v>
      </c>
      <c r="E149" s="1" t="s">
        <v>887</v>
      </c>
      <c r="F149" s="1" t="s">
        <v>51</v>
      </c>
      <c r="G149" s="1">
        <v>212.0</v>
      </c>
      <c r="H149" s="1" t="s">
        <v>52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53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54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56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57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f t="shared" si="1"/>
        <v>212</v>
      </c>
      <c r="AM149" s="1">
        <v>212.0</v>
      </c>
      <c r="AN149" s="1">
        <v>224.0</v>
      </c>
      <c r="AO149" s="1">
        <v>212.0</v>
      </c>
      <c r="AP149" s="2">
        <v>11.0</v>
      </c>
      <c r="AQ149" s="1">
        <v>0.0</v>
      </c>
      <c r="AR149" s="1">
        <v>0.0</v>
      </c>
      <c r="AS149" s="1" t="s">
        <v>888</v>
      </c>
      <c r="AT149" s="3" t="str">
        <f>HYPERLINK("https://icf.clappia.com/app/GMB253374/submission/ANJ55231405/ICF247370-GMB253374-1j22blbjb7ljg0000000/SIG-20250704_15021pcc7.jpeg", "SIG-20250704_15021pcc7.jpeg")</f>
        <v>SIG-20250704_15021pcc7.jpeg</v>
      </c>
      <c r="AU149" s="1" t="s">
        <v>889</v>
      </c>
      <c r="AV149" s="3" t="str">
        <f>HYPERLINK("https://icf.clappia.com/app/GMB253374/submission/ANJ55231405/ICF247370-GMB253374-4h2fcf3fip2k00000000/SIG-20250704_1503b2dfm.jpeg", "SIG-20250704_1503b2dfm.jpeg")</f>
        <v>SIG-20250704_1503b2dfm.jpeg</v>
      </c>
      <c r="AW149" s="1" t="s">
        <v>890</v>
      </c>
      <c r="AX149" s="3" t="str">
        <f>HYPERLINK("https://icf.clappia.com/app/GMB253374/submission/ANJ55231405/ICF247370-GMB253374-khdaadpobol60000000/SIG-20250704_1504lhbg4.jpeg", "SIG-20250704_1504lhbg4.jpeg")</f>
        <v>SIG-20250704_1504lhbg4.jpeg</v>
      </c>
      <c r="AY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891</v>
      </c>
      <c r="B150" s="2" t="s">
        <v>47</v>
      </c>
      <c r="C150" s="1" t="s">
        <v>892</v>
      </c>
      <c r="D150" s="1" t="s">
        <v>892</v>
      </c>
      <c r="E150" s="2" t="s">
        <v>893</v>
      </c>
      <c r="F150" s="1" t="s">
        <v>51</v>
      </c>
      <c r="G150" s="1">
        <v>126.0</v>
      </c>
      <c r="H150" s="1" t="s">
        <v>52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53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54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56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57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f t="shared" si="1"/>
        <v>135</v>
      </c>
      <c r="AM150" s="1">
        <v>126.0</v>
      </c>
      <c r="AN150" s="1">
        <v>138.0</v>
      </c>
      <c r="AO150" s="1">
        <v>123.0</v>
      </c>
      <c r="AP150" s="2">
        <v>11.0</v>
      </c>
      <c r="AQ150" s="1">
        <v>3.0</v>
      </c>
      <c r="AR150" s="1">
        <v>3.0</v>
      </c>
      <c r="AS150" s="1" t="s">
        <v>894</v>
      </c>
      <c r="AT150" s="3" t="str">
        <f>HYPERLINK("https://icf.clappia.com/app/GMB253374/submission/ZEL30492055/ICF247370-GMB253374-5fp38kidj3de00000000/SIG-20250704_1507na1ko.jpeg", "SIG-20250704_1507na1ko.jpeg")</f>
        <v>SIG-20250704_1507na1ko.jpeg</v>
      </c>
      <c r="AU150" s="1" t="s">
        <v>895</v>
      </c>
      <c r="AV150" s="3" t="str">
        <f>HYPERLINK("https://icf.clappia.com/app/GMB253374/submission/ZEL30492055/ICF247370-GMB253374-56cfkcfgdek200000000/SIG-20250704_1510gi101.jpeg", "SIG-20250704_1510gi101.jpeg")</f>
        <v>SIG-20250704_1510gi101.jpeg</v>
      </c>
      <c r="AW150" s="1" t="s">
        <v>896</v>
      </c>
      <c r="AX150" s="3" t="str">
        <f>HYPERLINK("https://icf.clappia.com/app/GMB253374/submission/ZEL30492055/ICF247370-GMB253374-33gk5c9l4k0o00000000/SIG-20250704_15099ilde.jpeg", "SIG-20250704_15099ilde.jpeg")</f>
        <v>SIG-20250704_15099ilde.jpeg</v>
      </c>
      <c r="AY150" s="3" t="str">
        <f>HYPERLINK("https://www.google.com/maps/place/9.165297%2C-12.0398765", "9.165297,-12.0398765")</f>
        <v>9.165297,-12.0398765</v>
      </c>
    </row>
    <row r="151" ht="15.75" customHeight="1">
      <c r="A151" s="1" t="s">
        <v>897</v>
      </c>
      <c r="B151" s="2" t="s">
        <v>47</v>
      </c>
      <c r="C151" s="1" t="s">
        <v>898</v>
      </c>
      <c r="D151" s="1" t="s">
        <v>898</v>
      </c>
      <c r="E151" s="1" t="s">
        <v>899</v>
      </c>
      <c r="F151" s="1" t="s">
        <v>51</v>
      </c>
      <c r="G151" s="1">
        <v>200.0</v>
      </c>
      <c r="H151" s="1" t="s">
        <v>52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53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54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56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57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f t="shared" si="1"/>
        <v>200</v>
      </c>
      <c r="AM151" s="1">
        <v>200.0</v>
      </c>
      <c r="AN151" s="1">
        <v>212.0</v>
      </c>
      <c r="AO151" s="1">
        <v>192.0</v>
      </c>
      <c r="AP151" s="2">
        <v>11.0</v>
      </c>
      <c r="AQ151" s="1">
        <v>8.0</v>
      </c>
      <c r="AR151" s="1">
        <v>8.0</v>
      </c>
      <c r="AS151" s="1" t="s">
        <v>900</v>
      </c>
      <c r="AT151" s="3" t="str">
        <f>HYPERLINK("https://icf.clappia.com/app/GMB253374/submission/FVJ27229319/ICF247370-GMB253374-5j6469e885ia00000000/SIG-20250704_1508ga52c.jpeg", "SIG-20250704_1508ga52c.jpeg")</f>
        <v>SIG-20250704_1508ga52c.jpeg</v>
      </c>
      <c r="AU151" s="1" t="s">
        <v>901</v>
      </c>
      <c r="AV151" s="3" t="str">
        <f>HYPERLINK("https://icf.clappia.com/app/GMB253374/submission/FVJ27229319/ICF247370-GMB253374-262b07ngd08ai000000/SIG-20250704_1509g1fl4.jpeg", "SIG-20250704_1509g1fl4.jpeg")</f>
        <v>SIG-20250704_1509g1fl4.jpeg</v>
      </c>
      <c r="AW151" s="1" t="s">
        <v>902</v>
      </c>
      <c r="AX151" s="3" t="str">
        <f>HYPERLINK("https://icf.clappia.com/app/GMB253374/submission/FVJ27229319/ICF247370-GMB253374-56mhb365850o0000000/SIG-20250704_1509fe5a2.jpeg", "SIG-20250704_1509fe5a2.jpeg")</f>
        <v>SIG-20250704_1509fe5a2.jpeg</v>
      </c>
      <c r="AY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903</v>
      </c>
      <c r="B152" s="2" t="s">
        <v>47</v>
      </c>
      <c r="C152" s="1" t="s">
        <v>904</v>
      </c>
      <c r="D152" s="1" t="s">
        <v>904</v>
      </c>
      <c r="E152" s="1" t="s">
        <v>905</v>
      </c>
      <c r="F152" s="1" t="s">
        <v>51</v>
      </c>
      <c r="G152" s="1">
        <v>430.0</v>
      </c>
      <c r="H152" s="1" t="s">
        <v>52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53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54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56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57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f t="shared" si="1"/>
        <v>430</v>
      </c>
      <c r="AM152" s="1">
        <v>430.0</v>
      </c>
      <c r="AN152" s="1">
        <v>442.0</v>
      </c>
      <c r="AO152" s="1">
        <v>410.0</v>
      </c>
      <c r="AP152" s="2">
        <v>11.0</v>
      </c>
      <c r="AQ152" s="1">
        <v>20.0</v>
      </c>
      <c r="AR152" s="1">
        <v>20.0</v>
      </c>
      <c r="AS152" s="1" t="s">
        <v>906</v>
      </c>
      <c r="AT152" s="3" t="str">
        <f>HYPERLINK("https://icf.clappia.com/app/GMB253374/submission/UHM08370084/ICF247370-GMB253374-1256fm4cj58he0000000/SIG-20250704_15033pfjc.jpeg", "SIG-20250704_15033pfjc.jpeg")</f>
        <v>SIG-20250704_15033pfjc.jpeg</v>
      </c>
      <c r="AU152" s="1" t="s">
        <v>907</v>
      </c>
      <c r="AV152" s="3" t="str">
        <f>HYPERLINK("https://icf.clappia.com/app/GMB253374/submission/UHM08370084/ICF247370-GMB253374-4lp3b8ig5a7g00000000/SIG-20250704_150380273.jpeg", "SIG-20250704_150380273.jpeg")</f>
        <v>SIG-20250704_150380273.jpeg</v>
      </c>
      <c r="AW152" s="1" t="s">
        <v>908</v>
      </c>
      <c r="AX152" s="3" t="str">
        <f>HYPERLINK("https://icf.clappia.com/app/GMB253374/submission/UHM08370084/ICF247370-GMB253374-5p8c2jei8pa000000000/SIG-20250704_15035blih.jpeg", "SIG-20250704_15035blih.jpeg")</f>
        <v>SIG-20250704_15035blih.jpeg</v>
      </c>
      <c r="AY152" s="3" t="str">
        <f>HYPERLINK("https://www.google.com/maps/place/7.9492525%2C-11.709384", "7.9492525,-11.709384")</f>
        <v>7.9492525,-11.709384</v>
      </c>
    </row>
    <row r="153" ht="15.75" customHeight="1">
      <c r="A153" s="1" t="s">
        <v>909</v>
      </c>
      <c r="B153" s="2" t="s">
        <v>47</v>
      </c>
      <c r="C153" s="1" t="s">
        <v>910</v>
      </c>
      <c r="D153" s="1" t="s">
        <v>911</v>
      </c>
      <c r="E153" s="1" t="s">
        <v>912</v>
      </c>
      <c r="F153" s="1" t="s">
        <v>51</v>
      </c>
      <c r="G153" s="1">
        <v>67.0</v>
      </c>
      <c r="H153" s="1" t="s">
        <v>52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53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54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56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57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f t="shared" si="1"/>
        <v>43</v>
      </c>
      <c r="AM153" s="1">
        <v>67.0</v>
      </c>
      <c r="AN153" s="1">
        <v>79.0</v>
      </c>
      <c r="AO153" s="1">
        <v>38.0</v>
      </c>
      <c r="AP153" s="2">
        <v>11.0</v>
      </c>
      <c r="AQ153" s="1">
        <v>29.0</v>
      </c>
      <c r="AR153" s="1">
        <v>29.0</v>
      </c>
      <c r="AS153" s="1" t="s">
        <v>913</v>
      </c>
      <c r="AT153" s="3" t="str">
        <f>HYPERLINK("https://icf.clappia.com/app/GMB253374/submission/AWL31019425/ICF247370-GMB253374-3c54ldd1jejm00000000/SIG-20250703_115210l1gk.jpeg", "SIG-20250703_115210l1gk.jpeg")</f>
        <v>SIG-20250703_115210l1gk.jpeg</v>
      </c>
      <c r="AU153" s="1" t="s">
        <v>914</v>
      </c>
      <c r="AV153" s="3" t="str">
        <f>HYPERLINK("https://icf.clappia.com/app/GMB253374/submission/AWL31019425/ICF247370-GMB253374-2lm7ljg6fg8k00000000/SIG-20250703_1153554hc.jpeg", "SIG-20250703_1153554hc.jpeg")</f>
        <v>SIG-20250703_1153554hc.jpeg</v>
      </c>
      <c r="AW153" s="1" t="s">
        <v>915</v>
      </c>
      <c r="AX153" s="3" t="str">
        <f>HYPERLINK("https://icf.clappia.com/app/GMB253374/submission/AWL31019425/ICF247370-GMB253374-395ack806e8400000000/SIG-20250703_1153l7h93.jpeg", "SIG-20250703_1153l7h93.jpeg")</f>
        <v>SIG-20250703_1153l7h93.jpeg</v>
      </c>
      <c r="AY153" s="3" t="str">
        <f>HYPERLINK("https://www.google.com/maps/place/7.69782%2C-12.040635", "7.69782,-12.040635")</f>
        <v>7.69782,-12.040635</v>
      </c>
    </row>
    <row r="154" ht="15.75" customHeight="1">
      <c r="A154" s="1" t="s">
        <v>916</v>
      </c>
      <c r="B154" s="2" t="s">
        <v>47</v>
      </c>
      <c r="C154" s="1" t="s">
        <v>917</v>
      </c>
      <c r="D154" s="1" t="s">
        <v>918</v>
      </c>
      <c r="E154" s="1" t="s">
        <v>919</v>
      </c>
      <c r="F154" s="1" t="s">
        <v>51</v>
      </c>
      <c r="G154" s="1">
        <v>100.0</v>
      </c>
      <c r="H154" s="1" t="s">
        <v>52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53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54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56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57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f t="shared" si="1"/>
        <v>89</v>
      </c>
      <c r="AM154" s="1">
        <v>100.0</v>
      </c>
      <c r="AN154" s="1">
        <v>112.0</v>
      </c>
      <c r="AO154" s="1">
        <v>80.0</v>
      </c>
      <c r="AP154" s="2">
        <v>11.0</v>
      </c>
      <c r="AQ154" s="1">
        <v>20.0</v>
      </c>
      <c r="AR154" s="1">
        <v>20.0</v>
      </c>
      <c r="AS154" s="1" t="s">
        <v>913</v>
      </c>
      <c r="AT154" s="3" t="str">
        <f>HYPERLINK("https://icf.clappia.com/app/GMB253374/submission/AYP67119476/ICF247370-GMB253374-c4mpoeo3h52o0000000/SIG-20250702_10109b5ja.jpeg", "SIG-20250702_10109b5ja.jpeg")</f>
        <v>SIG-20250702_10109b5ja.jpeg</v>
      </c>
      <c r="AU154" s="1" t="s">
        <v>914</v>
      </c>
      <c r="AV154" s="3" t="str">
        <f>HYPERLINK("https://icf.clappia.com/app/GMB253374/submission/AYP67119476/ICF247370-GMB253374-55j5dmnl5b2e00000000/SIG-20250702_1011plhk1.jpeg", "SIG-20250702_1011plhk1.jpeg")</f>
        <v>SIG-20250702_1011plhk1.jpeg</v>
      </c>
      <c r="AW154" s="1" t="s">
        <v>915</v>
      </c>
      <c r="AX154" s="3" t="str">
        <f>HYPERLINK("https://icf.clappia.com/app/GMB253374/submission/AYP67119476/ICF247370-GMB253374-64h8c90961de00000000/SIG-20250702_101178gjb.jpeg", "SIG-20250702_101178gjb.jpeg")</f>
        <v>SIG-20250702_101178gjb.jpeg</v>
      </c>
      <c r="AY154" s="3" t="str">
        <f>HYPERLINK("https://www.google.com/maps/place/7.7529417%2C-12.040745", "7.7529417,-12.040745")</f>
        <v>7.7529417,-12.040745</v>
      </c>
    </row>
    <row r="155" ht="15.75" customHeight="1">
      <c r="A155" s="1" t="s">
        <v>920</v>
      </c>
      <c r="B155" s="2" t="s">
        <v>47</v>
      </c>
      <c r="C155" s="1" t="s">
        <v>921</v>
      </c>
      <c r="D155" s="1" t="s">
        <v>921</v>
      </c>
      <c r="E155" s="2" t="s">
        <v>922</v>
      </c>
      <c r="F155" s="1" t="s">
        <v>72</v>
      </c>
      <c r="G155" s="1">
        <v>54.0</v>
      </c>
      <c r="H155" s="1" t="s">
        <v>52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53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54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56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57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f t="shared" si="1"/>
        <v>54</v>
      </c>
      <c r="AM155" s="1">
        <v>54.0</v>
      </c>
      <c r="AN155" s="1">
        <v>66.0</v>
      </c>
      <c r="AO155" s="1">
        <v>54.0</v>
      </c>
      <c r="AP155" s="2">
        <v>11.0</v>
      </c>
      <c r="AQ155" s="1">
        <v>0.0</v>
      </c>
      <c r="AR155" s="1">
        <v>0.0</v>
      </c>
      <c r="AS155" s="1" t="s">
        <v>923</v>
      </c>
      <c r="AT155" s="3" t="str">
        <f>HYPERLINK("https://icf.clappia.com/app/GMB253374/submission/NFJ33889405/ICF247370-GMB253374-3f9pcpemabmi00000000/SIG-20250704_144713lo9c.jpeg", "SIG-20250704_144713lo9c.jpeg")</f>
        <v>SIG-20250704_144713lo9c.jpeg</v>
      </c>
      <c r="AU155" s="1" t="s">
        <v>55</v>
      </c>
      <c r="AV155" s="3" t="str">
        <f>HYPERLINK("https://icf.clappia.com/app/GMB253374/submission/NFJ33889405/ICF247370-GMB253374-512bgfnobcna00000000/SIG-20250704_144880683.jpeg", "SIG-20250704_144880683.jpeg")</f>
        <v>SIG-20250704_144880683.jpeg</v>
      </c>
      <c r="AW155" s="1" t="s">
        <v>55</v>
      </c>
      <c r="AX155" s="3" t="str">
        <f>HYPERLINK("https://icf.clappia.com/app/GMB253374/submission/NFJ33889405/ICF247370-GMB253374-5b51emhec0jm00000000/SIG-20250704_1448ep598.jpeg", "SIG-20250704_1448ep598.jpeg")</f>
        <v>SIG-20250704_1448ep598.jpeg</v>
      </c>
      <c r="AY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924</v>
      </c>
      <c r="B156" s="2" t="s">
        <v>47</v>
      </c>
      <c r="C156" s="1" t="s">
        <v>925</v>
      </c>
      <c r="D156" s="1" t="s">
        <v>926</v>
      </c>
      <c r="E156" s="1" t="s">
        <v>927</v>
      </c>
      <c r="F156" s="1" t="s">
        <v>51</v>
      </c>
      <c r="G156" s="1">
        <v>50.0</v>
      </c>
      <c r="H156" s="1" t="s">
        <v>52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53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54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56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57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f t="shared" si="1"/>
        <v>155</v>
      </c>
      <c r="AM156" s="1">
        <v>50.0</v>
      </c>
      <c r="AN156" s="1">
        <v>62.0</v>
      </c>
      <c r="AO156" s="1">
        <v>50.0</v>
      </c>
      <c r="AP156" s="2">
        <v>11.0</v>
      </c>
      <c r="AQ156" s="1">
        <v>0.0</v>
      </c>
      <c r="AR156" s="1">
        <v>0.0</v>
      </c>
      <c r="AS156" s="1" t="s">
        <v>928</v>
      </c>
      <c r="AT156" s="3" t="str">
        <f>HYPERLINK("https://icf.clappia.com/app/GMB253374/submission/MYC26155368/ICF247370-GMB253374-dnm7okaa4bao0000000/SIG-20250703_1121f0iib.jpeg", "SIG-20250703_1121f0iib.jpeg")</f>
        <v>SIG-20250703_1121f0iib.jpeg</v>
      </c>
      <c r="AU156" s="1" t="s">
        <v>929</v>
      </c>
      <c r="AV156" s="3" t="str">
        <f>HYPERLINK("https://icf.clappia.com/app/GMB253374/submission/MYC26155368/ICF247370-GMB253374-45akk59b5iog00000000/SIG-20250704_1435592gi.jpeg", "SIG-20250704_1435592gi.jpeg")</f>
        <v>SIG-20250704_1435592gi.jpeg</v>
      </c>
      <c r="AW156" s="1" t="s">
        <v>930</v>
      </c>
      <c r="AX156" s="3" t="str">
        <f>HYPERLINK("https://icf.clappia.com/app/GMB253374/submission/MYC26155368/ICF247370-GMB253374-2njb1hi0fdpa00000000/SIG-20250704_143811m878.jpeg", "SIG-20250704_143811m878.jpeg")</f>
        <v>SIG-20250704_143811m878.jpeg</v>
      </c>
      <c r="AY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931</v>
      </c>
      <c r="B157" s="2" t="s">
        <v>47</v>
      </c>
      <c r="C157" s="1" t="s">
        <v>932</v>
      </c>
      <c r="D157" s="1" t="s">
        <v>932</v>
      </c>
      <c r="E157" s="1" t="s">
        <v>933</v>
      </c>
      <c r="F157" s="1" t="s">
        <v>72</v>
      </c>
      <c r="G157" s="1">
        <v>406.0</v>
      </c>
      <c r="H157" s="1" t="s">
        <v>52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53</v>
      </c>
      <c r="O157" s="1" t="s">
        <v>55</v>
      </c>
      <c r="P157" s="1" t="s">
        <v>55</v>
      </c>
      <c r="Q157" s="1" t="s">
        <v>55</v>
      </c>
      <c r="R157" s="1" t="s">
        <v>55</v>
      </c>
      <c r="S157" s="1" t="s">
        <v>55</v>
      </c>
      <c r="T157" s="1" t="s">
        <v>54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56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57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f t="shared" si="1"/>
        <v>260</v>
      </c>
      <c r="AM157" s="1">
        <v>406.0</v>
      </c>
      <c r="AN157" s="1">
        <v>418.0</v>
      </c>
      <c r="AO157" s="1">
        <v>182.0</v>
      </c>
      <c r="AP157" s="2">
        <v>11.0</v>
      </c>
      <c r="AQ157" s="1">
        <v>224.0</v>
      </c>
      <c r="AR157" s="1">
        <v>224.0</v>
      </c>
      <c r="AS157" s="1" t="s">
        <v>934</v>
      </c>
      <c r="AT157" s="3" t="str">
        <f>HYPERLINK("https://icf.clappia.com/app/GMB253374/submission/OQR09449633/ICF247370-GMB253374-5ml9m2plee0400000000/SIG-20250702_1200m5742.jpeg", "SIG-20250702_1200m5742.jpeg")</f>
        <v>SIG-20250702_1200m5742.jpeg</v>
      </c>
      <c r="AU157" s="1" t="s">
        <v>935</v>
      </c>
      <c r="AV157" s="3" t="str">
        <f>HYPERLINK("https://icf.clappia.com/app/GMB253374/submission/OQR09449633/ICF247370-GMB253374-9ncogg048fm80000000/SIG-20250702_120078gdm.jpeg", "SIG-20250702_120078gdm.jpeg")</f>
        <v>SIG-20250702_120078gdm.jpeg</v>
      </c>
      <c r="AW157" s="1" t="s">
        <v>936</v>
      </c>
      <c r="AX157" s="3" t="str">
        <f>HYPERLINK("https://icf.clappia.com/app/GMB253374/submission/OQR09449633/ICF247370-GMB253374-33d06o0oo25a00000000/SIG-20250702_120173nd4.jpeg", "SIG-20250702_120173nd4.jpeg")</f>
        <v>SIG-20250702_120173nd4.jpeg</v>
      </c>
      <c r="AY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937</v>
      </c>
      <c r="B158" s="2" t="s">
        <v>47</v>
      </c>
      <c r="C158" s="1" t="s">
        <v>938</v>
      </c>
      <c r="D158" s="1" t="s">
        <v>938</v>
      </c>
      <c r="E158" s="1" t="s">
        <v>939</v>
      </c>
      <c r="F158" s="1" t="s">
        <v>51</v>
      </c>
      <c r="G158" s="1">
        <v>68.0</v>
      </c>
      <c r="H158" s="1" t="s">
        <v>52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53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54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56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57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f t="shared" si="1"/>
        <v>68</v>
      </c>
      <c r="AM158" s="1">
        <v>68.0</v>
      </c>
      <c r="AN158" s="1">
        <v>80.0</v>
      </c>
      <c r="AO158" s="1">
        <v>62.0</v>
      </c>
      <c r="AP158" s="2">
        <v>11.0</v>
      </c>
      <c r="AQ158" s="1">
        <v>6.0</v>
      </c>
      <c r="AR158" s="1">
        <v>6.0</v>
      </c>
      <c r="AS158" s="1" t="s">
        <v>940</v>
      </c>
      <c r="AT158" s="3" t="str">
        <f>HYPERLINK("https://icf.clappia.com/app/GMB253374/submission/LNK01164210/ICF247370-GMB253374-527f458gnfcc00000000/SIG-20250704_14379g3j8.jpeg", "SIG-20250704_14379g3j8.jpeg")</f>
        <v>SIG-20250704_14379g3j8.jpeg</v>
      </c>
      <c r="AU158" s="1" t="s">
        <v>941</v>
      </c>
      <c r="AV158" s="3" t="str">
        <f>HYPERLINK("https://icf.clappia.com/app/GMB253374/submission/LNK01164210/ICF247370-GMB253374-al8992llpdbk000000/SIG-20250704_143758m8l.jpeg", "SIG-20250704_143758m8l.jpeg")</f>
        <v>SIG-20250704_143758m8l.jpeg</v>
      </c>
      <c r="AW158" s="1" t="s">
        <v>942</v>
      </c>
      <c r="AX158" s="3" t="str">
        <f>HYPERLINK("https://icf.clappia.com/app/GMB253374/submission/LNK01164210/ICF247370-GMB253374-1pi0g282ab2c80000000/SIG-20250704_1439dfbje.jpeg", "SIG-20250704_1439dfbje.jpeg")</f>
        <v>SIG-20250704_1439dfbje.jpeg</v>
      </c>
      <c r="AY158" s="3" t="str">
        <f>HYPERLINK("https://www.google.com/maps/place/7.963355%2C-11.7647367", "7.963355,-11.7647367")</f>
        <v>7.963355,-11.7647367</v>
      </c>
    </row>
    <row r="159" ht="15.75" customHeight="1">
      <c r="A159" s="1" t="s">
        <v>943</v>
      </c>
      <c r="B159" s="2" t="s">
        <v>47</v>
      </c>
      <c r="C159" s="1" t="s">
        <v>944</v>
      </c>
      <c r="D159" s="1" t="s">
        <v>945</v>
      </c>
      <c r="E159" s="1" t="s">
        <v>946</v>
      </c>
      <c r="F159" s="1" t="s">
        <v>72</v>
      </c>
      <c r="G159" s="1">
        <v>150.0</v>
      </c>
      <c r="H159" s="1" t="s">
        <v>52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53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54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56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57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f t="shared" si="1"/>
        <v>130</v>
      </c>
      <c r="AM159" s="1">
        <v>150.0</v>
      </c>
      <c r="AN159" s="1">
        <v>162.0</v>
      </c>
      <c r="AO159" s="1">
        <v>125.0</v>
      </c>
      <c r="AP159" s="2">
        <v>11.0</v>
      </c>
      <c r="AQ159" s="1">
        <v>25.0</v>
      </c>
      <c r="AR159" s="1">
        <v>25.0</v>
      </c>
      <c r="AS159" s="1" t="s">
        <v>947</v>
      </c>
      <c r="AT159" s="3" t="str">
        <f>HYPERLINK("https://icf.clappia.com/app/GMB253374/submission/WKL81078890/ICF247370-GMB253374-5ad6eidh8n2a00000000/SIG-20250704_1419l8non.jpeg", "SIG-20250704_1419l8non.jpeg")</f>
        <v>SIG-20250704_1419l8non.jpeg</v>
      </c>
      <c r="AU159" s="1" t="s">
        <v>948</v>
      </c>
      <c r="AV159" s="3" t="str">
        <f>HYPERLINK("https://icf.clappia.com/app/GMB253374/submission/WKL81078890/ICF247370-GMB253374-221kl43in4k9m0000000/SIG-20250704_1424p5p2g.jpeg", "SIG-20250704_1424p5p2g.jpeg")</f>
        <v>SIG-20250704_1424p5p2g.jpeg</v>
      </c>
      <c r="AW159" s="1" t="s">
        <v>949</v>
      </c>
      <c r="AX159" s="3" t="str">
        <f>HYPERLINK("https://icf.clappia.com/app/GMB253374/submission/WKL81078890/ICF247370-GMB253374-6aoo36ohm9ma00000000/SIG-20250704_14255d6he.jpeg", "SIG-20250704_14255d6he.jpeg")</f>
        <v>SIG-20250704_14255d6he.jpeg</v>
      </c>
      <c r="AY159" s="3" t="str">
        <f>HYPERLINK("https://www.google.com/maps/place/8.9032367%2C-12.04505", "8.9032367,-12.04505")</f>
        <v>8.9032367,-12.04505</v>
      </c>
    </row>
    <row r="160" ht="15.75" customHeight="1">
      <c r="A160" s="1" t="s">
        <v>950</v>
      </c>
      <c r="B160" s="2" t="s">
        <v>47</v>
      </c>
      <c r="C160" s="1" t="s">
        <v>951</v>
      </c>
      <c r="D160" s="1" t="s">
        <v>951</v>
      </c>
      <c r="E160" s="1" t="s">
        <v>952</v>
      </c>
      <c r="F160" s="1" t="s">
        <v>51</v>
      </c>
      <c r="G160" s="1">
        <v>104.0</v>
      </c>
      <c r="H160" s="1" t="s">
        <v>52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53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54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56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57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f t="shared" si="1"/>
        <v>105</v>
      </c>
      <c r="AM160" s="1">
        <v>104.0</v>
      </c>
      <c r="AN160" s="1">
        <v>116.0</v>
      </c>
      <c r="AO160" s="1">
        <v>98.0</v>
      </c>
      <c r="AP160" s="2">
        <v>11.0</v>
      </c>
      <c r="AQ160" s="1">
        <v>6.0</v>
      </c>
      <c r="AR160" s="1">
        <v>6.0</v>
      </c>
      <c r="AS160" s="1" t="s">
        <v>953</v>
      </c>
      <c r="AT160" s="3" t="str">
        <f>HYPERLINK("https://icf.clappia.com/app/GMB253374/submission/FCM55961358/ICF247370-GMB253374-61hkp2hm25c000000000/SIG-20250704_1305167bbi.jpeg", "SIG-20250704_1305167bbi.jpeg")</f>
        <v>SIG-20250704_1305167bbi.jpeg</v>
      </c>
      <c r="AU160" s="1" t="s">
        <v>954</v>
      </c>
      <c r="AV160" s="3" t="str">
        <f>HYPERLINK("https://icf.clappia.com/app/GMB253374/submission/FCM55961358/ICF247370-GMB253374-5ok168c6ca0200000000/SIG-20250704_1307la4el.jpeg", "SIG-20250704_1307la4el.jpeg")</f>
        <v>SIG-20250704_1307la4el.jpeg</v>
      </c>
      <c r="AW160" s="1" t="s">
        <v>955</v>
      </c>
      <c r="AX160" s="3" t="str">
        <f>HYPERLINK("https://icf.clappia.com/app/GMB253374/submission/FCM55961358/ICF247370-GMB253374-35041ho5h1ac00000000/SIG-20250704_1307phg67.jpeg", "SIG-20250704_1307phg67.jpeg")</f>
        <v>SIG-20250704_1307phg67.jpeg</v>
      </c>
      <c r="AY160" s="3" t="str">
        <f>HYPERLINK("https://www.google.com/maps/place/7.8259317%2C-11.508205", "7.8259317,-11.508205")</f>
        <v>7.8259317,-11.508205</v>
      </c>
    </row>
    <row r="161" ht="15.75" customHeight="1">
      <c r="A161" s="1" t="s">
        <v>956</v>
      </c>
      <c r="B161" s="2" t="s">
        <v>47</v>
      </c>
      <c r="C161" s="1" t="s">
        <v>957</v>
      </c>
      <c r="D161" s="1" t="s">
        <v>957</v>
      </c>
      <c r="E161" s="1" t="s">
        <v>958</v>
      </c>
      <c r="F161" s="1" t="s">
        <v>51</v>
      </c>
      <c r="G161" s="1">
        <v>300.0</v>
      </c>
      <c r="H161" s="1" t="s">
        <v>52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53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54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56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57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f t="shared" si="1"/>
        <v>309</v>
      </c>
      <c r="AM161" s="1">
        <v>300.0</v>
      </c>
      <c r="AN161" s="1">
        <v>312.0</v>
      </c>
      <c r="AO161" s="1">
        <v>300.0</v>
      </c>
      <c r="AP161" s="2">
        <v>11.0</v>
      </c>
      <c r="AQ161" s="1">
        <v>0.0</v>
      </c>
      <c r="AR161" s="1">
        <v>0.0</v>
      </c>
      <c r="AS161" s="1" t="s">
        <v>940</v>
      </c>
      <c r="AT161" s="3" t="str">
        <f>HYPERLINK("https://icf.clappia.com/app/GMB253374/submission/EYW69618196/ICF247370-GMB253374-2i91efnm95aa00000000/SIG-20250702_132210olhg.jpeg", "SIG-20250702_132210olhg.jpeg")</f>
        <v>SIG-20250702_132210olhg.jpeg</v>
      </c>
      <c r="AU161" s="1" t="s">
        <v>959</v>
      </c>
      <c r="AV161" s="3" t="str">
        <f>HYPERLINK("https://icf.clappia.com/app/GMB253374/submission/EYW69618196/ICF247370-GMB253374-h9j0o4dinii40000000/SIG-20250702_1323gce9a.jpeg", "SIG-20250702_1323gce9a.jpeg")</f>
        <v>SIG-20250702_1323gce9a.jpeg</v>
      </c>
      <c r="AW161" s="1" t="s">
        <v>942</v>
      </c>
      <c r="AX161" s="3" t="str">
        <f>HYPERLINK("https://icf.clappia.com/app/GMB253374/submission/EYW69618196/ICF247370-GMB253374-4e9f258n0h7000000000/SIG-20250702_1324ldo25.jpeg", "SIG-20250702_1324ldo25.jpeg")</f>
        <v>SIG-20250702_1324ldo25.jpeg</v>
      </c>
      <c r="AY161" s="3" t="str">
        <f>HYPERLINK("https://www.google.com/maps/place/7.9642283%2C-11.76335", "7.9642283,-11.76335")</f>
        <v>7.9642283,-11.76335</v>
      </c>
    </row>
    <row r="162" ht="15.75" customHeight="1">
      <c r="A162" s="1" t="s">
        <v>960</v>
      </c>
      <c r="B162" s="2" t="s">
        <v>47</v>
      </c>
      <c r="C162" s="1" t="s">
        <v>961</v>
      </c>
      <c r="D162" s="1" t="s">
        <v>961</v>
      </c>
      <c r="E162" s="1" t="s">
        <v>962</v>
      </c>
      <c r="F162" s="1" t="s">
        <v>51</v>
      </c>
      <c r="G162" s="1">
        <v>400.0</v>
      </c>
      <c r="H162" s="1" t="s">
        <v>52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53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54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56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57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f t="shared" si="1"/>
        <v>395</v>
      </c>
      <c r="AM162" s="1">
        <v>400.0</v>
      </c>
      <c r="AN162" s="1">
        <v>412.0</v>
      </c>
      <c r="AO162" s="1">
        <v>390.0</v>
      </c>
      <c r="AP162" s="2">
        <v>11.0</v>
      </c>
      <c r="AQ162" s="1">
        <v>10.0</v>
      </c>
      <c r="AR162" s="1">
        <v>10.0</v>
      </c>
      <c r="AS162" s="1" t="s">
        <v>963</v>
      </c>
      <c r="AT162" s="3" t="str">
        <f>HYPERLINK("https://icf.clappia.com/app/GMB253374/submission/GML23684473/ICF247370-GMB253374-6i2dg272kd4c0000000/SIG-20250704_14131634he.jpeg", "SIG-20250704_14131634he.jpeg")</f>
        <v>SIG-20250704_14131634he.jpeg</v>
      </c>
      <c r="AU162" s="1" t="s">
        <v>964</v>
      </c>
      <c r="AV162" s="3" t="str">
        <f>HYPERLINK("https://icf.clappia.com/app/GMB253374/submission/GML23684473/ICF247370-GMB253374-608d38embfkg00000000/SIG-20250704_141417lcmi.jpeg", "SIG-20250704_141417lcmi.jpeg")</f>
        <v>SIG-20250704_141417lcmi.jpeg</v>
      </c>
      <c r="AW162" s="1" t="s">
        <v>965</v>
      </c>
      <c r="AX162" s="3" t="str">
        <f>HYPERLINK("https://icf.clappia.com/app/GMB253374/submission/GML23684473/ICF247370-GMB253374-3jph37k6ci8000000000/SIG-20250704_14167c0ln.jpeg", "SIG-20250704_14167c0ln.jpeg")</f>
        <v>SIG-20250704_14167c0ln.jpeg</v>
      </c>
      <c r="AY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966</v>
      </c>
      <c r="B163" s="2" t="s">
        <v>47</v>
      </c>
      <c r="C163" s="1" t="s">
        <v>967</v>
      </c>
      <c r="D163" s="1" t="s">
        <v>967</v>
      </c>
      <c r="E163" s="1" t="s">
        <v>968</v>
      </c>
      <c r="F163" s="1" t="s">
        <v>72</v>
      </c>
      <c r="G163" s="1">
        <v>200.0</v>
      </c>
      <c r="H163" s="1" t="s">
        <v>52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53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54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56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57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f t="shared" si="1"/>
        <v>200</v>
      </c>
      <c r="AM163" s="1">
        <v>200.0</v>
      </c>
      <c r="AN163" s="1">
        <v>212.0</v>
      </c>
      <c r="AO163" s="1">
        <v>170.0</v>
      </c>
      <c r="AP163" s="2">
        <v>11.0</v>
      </c>
      <c r="AQ163" s="1">
        <v>30.0</v>
      </c>
      <c r="AR163" s="1">
        <v>30.0</v>
      </c>
      <c r="AS163" s="1" t="s">
        <v>969</v>
      </c>
      <c r="AT163" s="3" t="str">
        <f>HYPERLINK("https://icf.clappia.com/app/GMB253374/submission/OWZ15391897/ICF247370-GMB253374-pp0nkaejed6g0000000/SIG-20250704_1412d36kb.jpeg", "SIG-20250704_1412d36kb.jpeg")</f>
        <v>SIG-20250704_1412d36kb.jpeg</v>
      </c>
      <c r="AU163" s="1" t="s">
        <v>970</v>
      </c>
      <c r="AV163" s="3" t="str">
        <f>HYPERLINK("https://icf.clappia.com/app/GMB253374/submission/OWZ15391897/ICF247370-GMB253374-57h1a0h7kiio00000000/SIG-20250704_1412hf60i.jpeg", "SIG-20250704_1412hf60i.jpeg")</f>
        <v>SIG-20250704_1412hf60i.jpeg</v>
      </c>
      <c r="AW163" s="1" t="s">
        <v>971</v>
      </c>
      <c r="AX163" s="3" t="str">
        <f>HYPERLINK("https://icf.clappia.com/app/GMB253374/submission/OWZ15391897/ICF247370-GMB253374-2npoc1c0kg8200000000/SIG-20250704_1412kdmka.jpeg", "SIG-20250704_1412kdmka.jpeg")</f>
        <v>SIG-20250704_1412kdmka.jpeg</v>
      </c>
      <c r="AY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972</v>
      </c>
      <c r="B164" s="2" t="s">
        <v>47</v>
      </c>
      <c r="C164" s="1" t="s">
        <v>973</v>
      </c>
      <c r="D164" s="1" t="s">
        <v>973</v>
      </c>
      <c r="E164" s="1" t="s">
        <v>974</v>
      </c>
      <c r="F164" s="1" t="s">
        <v>51</v>
      </c>
      <c r="G164" s="1">
        <v>295.0</v>
      </c>
      <c r="H164" s="1" t="s">
        <v>52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53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54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56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57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f t="shared" si="1"/>
        <v>294</v>
      </c>
      <c r="AM164" s="1">
        <v>295.0</v>
      </c>
      <c r="AN164" s="1">
        <v>307.0</v>
      </c>
      <c r="AO164" s="1">
        <v>294.0</v>
      </c>
      <c r="AP164" s="2">
        <v>11.0</v>
      </c>
      <c r="AQ164" s="1">
        <v>1.0</v>
      </c>
      <c r="AR164" s="1">
        <v>1.0</v>
      </c>
      <c r="AS164" s="1" t="s">
        <v>975</v>
      </c>
      <c r="AT164" s="3" t="str">
        <f>HYPERLINK("https://icf.clappia.com/app/GMB253374/submission/XRD23679242/ICF247370-GMB253374-26lk57di76g2c0000000/SIG-20250704_1409oab00.jpeg", "SIG-20250704_1409oab00.jpeg")</f>
        <v>SIG-20250704_1409oab00.jpeg</v>
      </c>
      <c r="AU164" s="1" t="s">
        <v>976</v>
      </c>
      <c r="AV164" s="3" t="str">
        <f>HYPERLINK("https://icf.clappia.com/app/GMB253374/submission/XRD23679242/ICF247370-GMB253374-54fg673ng7pi00000000/SIG-20250704_14091245pi.jpeg", "SIG-20250704_14091245pi.jpeg")</f>
        <v>SIG-20250704_14091245pi.jpeg</v>
      </c>
      <c r="AW164" s="1" t="s">
        <v>977</v>
      </c>
      <c r="AX164" s="3" t="str">
        <f>HYPERLINK("https://icf.clappia.com/app/GMB253374/submission/XRD23679242/ICF247370-GMB253374-41gibifc797400000000/SIG-20250704_1410lkl17.jpeg", "SIG-20250704_1410lkl17.jpeg")</f>
        <v>SIG-20250704_1410lkl17.jpeg</v>
      </c>
      <c r="AY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978</v>
      </c>
      <c r="B165" s="2" t="s">
        <v>47</v>
      </c>
      <c r="C165" s="1" t="s">
        <v>973</v>
      </c>
      <c r="D165" s="1" t="s">
        <v>973</v>
      </c>
      <c r="E165" s="1" t="s">
        <v>979</v>
      </c>
      <c r="F165" s="1" t="s">
        <v>72</v>
      </c>
      <c r="G165" s="1">
        <v>300.0</v>
      </c>
      <c r="H165" s="1" t="s">
        <v>52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53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54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56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57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f t="shared" si="1"/>
        <v>177</v>
      </c>
      <c r="AM165" s="1">
        <v>300.0</v>
      </c>
      <c r="AN165" s="1">
        <v>312.0</v>
      </c>
      <c r="AO165" s="1">
        <v>162.0</v>
      </c>
      <c r="AP165" s="2">
        <v>11.0</v>
      </c>
      <c r="AQ165" s="1">
        <v>138.0</v>
      </c>
      <c r="AR165" s="1">
        <v>138.0</v>
      </c>
      <c r="AS165" s="1" t="s">
        <v>980</v>
      </c>
      <c r="AT165" s="3" t="str">
        <f>HYPERLINK("https://icf.clappia.com/app/GMB253374/submission/BRH19478074/ICF247370-GMB253374-ia43cpfn4g3a0000000/SIG-20250704_14095eih2.jpeg", "SIG-20250704_14095eih2.jpeg")</f>
        <v>SIG-20250704_14095eih2.jpeg</v>
      </c>
      <c r="AU165" s="1" t="s">
        <v>981</v>
      </c>
      <c r="AV165" s="3" t="str">
        <f>HYPERLINK("https://icf.clappia.com/app/GMB253374/submission/BRH19478074/ICF247370-GMB253374-51pknk5630mk00000000/SIG-20250704_1410gcce7.jpeg", "SIG-20250704_1410gcce7.jpeg")</f>
        <v>SIG-20250704_1410gcce7.jpeg</v>
      </c>
      <c r="AW165" s="1" t="s">
        <v>982</v>
      </c>
      <c r="AX165" s="3" t="str">
        <f>HYPERLINK("https://icf.clappia.com/app/GMB253374/submission/BRH19478074/ICF247370-GMB253374-2cdknj8dag3m00000000/SIG-20250704_14109dg5n.jpeg", "SIG-20250704_14109dg5n.jpeg")</f>
        <v>SIG-20250704_14109dg5n.jpeg</v>
      </c>
      <c r="AY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983</v>
      </c>
      <c r="B166" s="2" t="s">
        <v>47</v>
      </c>
      <c r="C166" s="1" t="s">
        <v>984</v>
      </c>
      <c r="D166" s="1" t="s">
        <v>984</v>
      </c>
      <c r="E166" s="1" t="s">
        <v>985</v>
      </c>
      <c r="F166" s="1" t="s">
        <v>72</v>
      </c>
      <c r="G166" s="1">
        <v>150.0</v>
      </c>
      <c r="H166" s="1" t="s">
        <v>52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53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54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56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57</v>
      </c>
      <c r="AG166" s="1">
        <v>18.0</v>
      </c>
      <c r="AH166" s="1" t="s">
        <v>986</v>
      </c>
      <c r="AI166" s="1">
        <v>6.0</v>
      </c>
      <c r="AJ166" s="1">
        <v>10.0</v>
      </c>
      <c r="AK166" s="1">
        <v>10.0</v>
      </c>
      <c r="AL166" s="1">
        <f t="shared" si="1"/>
        <v>135</v>
      </c>
      <c r="AM166" s="1">
        <v>150.0</v>
      </c>
      <c r="AN166" s="1">
        <v>162.0</v>
      </c>
      <c r="AO166" s="1">
        <v>126.0</v>
      </c>
      <c r="AP166" s="2">
        <v>11.0</v>
      </c>
      <c r="AQ166" s="1">
        <v>24.0</v>
      </c>
      <c r="AR166" s="1">
        <v>24.0</v>
      </c>
      <c r="AS166" s="1" t="s">
        <v>987</v>
      </c>
      <c r="AT166" s="3" t="str">
        <f>HYPERLINK("https://icf.clappia.com/app/GMB253374/submission/OZF73131938/ICF247370-GMB253374-nh5me7f1p6960000000/SIG-20250704_1313i9j6b.jpeg", "SIG-20250704_1313i9j6b.jpeg")</f>
        <v>SIG-20250704_1313i9j6b.jpeg</v>
      </c>
      <c r="AU166" s="1" t="s">
        <v>988</v>
      </c>
      <c r="AV166" s="3" t="str">
        <f>HYPERLINK("https://icf.clappia.com/app/GMB253374/submission/OZF73131938/ICF247370-GMB253374-5pk43eg0e40200000000/SIG-20250704_131418nmmk.jpeg", "SIG-20250704_131418nmmk.jpeg")</f>
        <v>SIG-20250704_131418nmmk.jpeg</v>
      </c>
      <c r="AW166" s="1" t="s">
        <v>989</v>
      </c>
      <c r="AX166" s="3" t="str">
        <f>HYPERLINK("https://icf.clappia.com/app/GMB253374/submission/OZF73131938/ICF247370-GMB253374-5g1369n5k71600000000/SIG-20250704_131415cjbf.jpeg", "SIG-20250704_131415cjbf.jpeg")</f>
        <v>SIG-20250704_131415cjbf.jpeg</v>
      </c>
      <c r="AY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990</v>
      </c>
      <c r="B167" s="2" t="s">
        <v>47</v>
      </c>
      <c r="C167" s="1" t="s">
        <v>991</v>
      </c>
      <c r="D167" s="1" t="s">
        <v>991</v>
      </c>
      <c r="E167" s="1" t="s">
        <v>992</v>
      </c>
      <c r="F167" s="1" t="s">
        <v>51</v>
      </c>
      <c r="G167" s="1">
        <v>215.0</v>
      </c>
      <c r="H167" s="1" t="s">
        <v>52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53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54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56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57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f t="shared" si="1"/>
        <v>211</v>
      </c>
      <c r="AM167" s="1">
        <v>215.0</v>
      </c>
      <c r="AN167" s="1">
        <v>227.0</v>
      </c>
      <c r="AO167" s="1">
        <v>150.0</v>
      </c>
      <c r="AP167" s="2">
        <v>11.0</v>
      </c>
      <c r="AQ167" s="1">
        <v>65.0</v>
      </c>
      <c r="AR167" s="1">
        <v>65.0</v>
      </c>
      <c r="AS167" s="1" t="s">
        <v>993</v>
      </c>
      <c r="AT167" s="3" t="str">
        <f>HYPERLINK("https://icf.clappia.com/app/GMB253374/submission/JML10269540/ICF247370-GMB253374-1d99c1ga4hn280000000/SIG-20250704_1354a9fad.jpeg", "SIG-20250704_1354a9fad.jpeg")</f>
        <v>SIG-20250704_1354a9fad.jpeg</v>
      </c>
      <c r="AU167" s="1" t="s">
        <v>994</v>
      </c>
      <c r="AV167" s="3" t="str">
        <f>HYPERLINK("https://icf.clappia.com/app/GMB253374/submission/JML10269540/ICF247370-GMB253374-15banmoe8ik380000000/SIG-20250704_135519n962.jpeg", "SIG-20250704_135519n962.jpeg")</f>
        <v>SIG-20250704_135519n962.jpeg</v>
      </c>
      <c r="AW167" s="1" t="s">
        <v>995</v>
      </c>
      <c r="AX167" s="3" t="str">
        <f>HYPERLINK("https://icf.clappia.com/app/GMB253374/submission/JML10269540/ICF247370-GMB253374-5792830pa84m00000000/SIG-20250704_1359bbfhf.jpeg", "SIG-20250704_1359bbfhf.jpeg")</f>
        <v>SIG-20250704_1359bbfhf.jpeg</v>
      </c>
      <c r="AY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996</v>
      </c>
      <c r="B168" s="2" t="s">
        <v>47</v>
      </c>
      <c r="C168" s="1" t="s">
        <v>997</v>
      </c>
      <c r="D168" s="1" t="s">
        <v>997</v>
      </c>
      <c r="E168" s="1" t="s">
        <v>998</v>
      </c>
      <c r="F168" s="1" t="s">
        <v>51</v>
      </c>
      <c r="G168" s="1">
        <v>200.0</v>
      </c>
      <c r="H168" s="1" t="s">
        <v>52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53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54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56</v>
      </c>
      <c r="AA168" s="1" t="s">
        <v>55</v>
      </c>
      <c r="AB168" s="1" t="s">
        <v>55</v>
      </c>
      <c r="AC168" s="1" t="s">
        <v>55</v>
      </c>
      <c r="AD168" s="1" t="s">
        <v>55</v>
      </c>
      <c r="AE168" s="1" t="s">
        <v>55</v>
      </c>
      <c r="AF168" s="1" t="s">
        <v>57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f t="shared" si="1"/>
        <v>182</v>
      </c>
      <c r="AM168" s="1">
        <v>200.0</v>
      </c>
      <c r="AN168" s="1">
        <v>212.0</v>
      </c>
      <c r="AO168" s="1">
        <v>174.0</v>
      </c>
      <c r="AP168" s="2">
        <v>11.0</v>
      </c>
      <c r="AQ168" s="1">
        <v>26.0</v>
      </c>
      <c r="AR168" s="1">
        <v>26.0</v>
      </c>
      <c r="AS168" s="1" t="s">
        <v>999</v>
      </c>
      <c r="AT168" s="3" t="str">
        <f>HYPERLINK("https://icf.clappia.com/app/GMB253374/submission/XNM82768391/ICF247370-GMB253374-6mepll09chm20000000/SIG-20250704_13568o1il.jpeg", "SIG-20250704_13568o1il.jpeg")</f>
        <v>SIG-20250704_13568o1il.jpeg</v>
      </c>
      <c r="AU168" s="1" t="s">
        <v>1000</v>
      </c>
      <c r="AV168" s="3" t="str">
        <f>HYPERLINK("https://icf.clappia.com/app/GMB253374/submission/XNM82768391/ICF247370-GMB253374-340ajk5j61ki00000000/SIG-20250704_1356ohckl.jpeg", "SIG-20250704_1356ohckl.jpeg")</f>
        <v>SIG-20250704_1356ohckl.jpeg</v>
      </c>
      <c r="AW168" s="1" t="s">
        <v>1001</v>
      </c>
      <c r="AX168" s="3" t="str">
        <f>HYPERLINK("https://icf.clappia.com/app/GMB253374/submission/XNM82768391/ICF247370-GMB253374-32gdh171g8ja00000000/SIG-20250704_135716dehd.jpeg", "SIG-20250704_135716dehd.jpeg")</f>
        <v>SIG-20250704_135716dehd.jpeg</v>
      </c>
      <c r="AY168" s="3" t="str">
        <f>HYPERLINK("https://www.google.com/maps/place/8.847214%2C-12.0941454", "8.847214,-12.0941454")</f>
        <v>8.847214,-12.0941454</v>
      </c>
    </row>
    <row r="169" ht="15.75" customHeight="1">
      <c r="A169" s="1" t="s">
        <v>1002</v>
      </c>
      <c r="B169" s="2" t="s">
        <v>47</v>
      </c>
      <c r="C169" s="1" t="s">
        <v>1003</v>
      </c>
      <c r="D169" s="1" t="s">
        <v>1003</v>
      </c>
      <c r="E169" s="1" t="s">
        <v>1004</v>
      </c>
      <c r="F169" s="1" t="s">
        <v>51</v>
      </c>
      <c r="G169" s="1">
        <v>149.0</v>
      </c>
      <c r="H169" s="1" t="s">
        <v>52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53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54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56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57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f t="shared" si="1"/>
        <v>149</v>
      </c>
      <c r="AM169" s="1">
        <v>149.0</v>
      </c>
      <c r="AN169" s="1">
        <v>161.0</v>
      </c>
      <c r="AO169" s="1">
        <v>149.0</v>
      </c>
      <c r="AP169" s="2">
        <v>11.0</v>
      </c>
      <c r="AQ169" s="1">
        <v>0.0</v>
      </c>
      <c r="AR169" s="1">
        <v>0.0</v>
      </c>
      <c r="AS169" s="1" t="s">
        <v>791</v>
      </c>
      <c r="AT169" s="3" t="str">
        <f>HYPERLINK("https://icf.clappia.com/app/GMB253374/submission/MIP01145040/ICF247370-GMB253374-2d9fljj3nf8o00000000/SIG-20250703_144265322.jpeg", "SIG-20250703_144265322.jpeg")</f>
        <v>SIG-20250703_144265322.jpeg</v>
      </c>
      <c r="AU169" s="1" t="s">
        <v>793</v>
      </c>
      <c r="AV169" s="3" t="str">
        <f>HYPERLINK("https://icf.clappia.com/app/GMB253374/submission/MIP01145040/ICF247370-GMB253374-nkjf2bfk4j840000000/SIG-20250703_1443ah3l9.jpeg", "SIG-20250703_1443ah3l9.jpeg")</f>
        <v>SIG-20250703_1443ah3l9.jpeg</v>
      </c>
      <c r="AW169" s="1" t="s">
        <v>792</v>
      </c>
      <c r="AX169" s="3" t="str">
        <f>HYPERLINK("https://icf.clappia.com/app/GMB253374/submission/MIP01145040/ICF247370-GMB253374-608df88d2ibi00000000/SIG-20250703_14434ecn5.jpeg", "SIG-20250703_14434ecn5.jpeg")</f>
        <v>SIG-20250703_14434ecn5.jpeg</v>
      </c>
      <c r="AY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1005</v>
      </c>
      <c r="B170" s="2" t="s">
        <v>47</v>
      </c>
      <c r="C170" s="1" t="s">
        <v>1006</v>
      </c>
      <c r="D170" s="1" t="s">
        <v>1006</v>
      </c>
      <c r="E170" s="4" t="s">
        <v>1007</v>
      </c>
      <c r="F170" s="1" t="s">
        <v>51</v>
      </c>
      <c r="G170" s="1">
        <v>200.0</v>
      </c>
      <c r="H170" s="1" t="s">
        <v>52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53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54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56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57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f t="shared" si="1"/>
        <v>374</v>
      </c>
      <c r="AM170" s="1">
        <v>200.0</v>
      </c>
      <c r="AN170" s="1">
        <v>212.0</v>
      </c>
      <c r="AO170" s="1">
        <v>41.0</v>
      </c>
      <c r="AP170" s="2">
        <v>11.0</v>
      </c>
      <c r="AQ170" s="1">
        <v>159.0</v>
      </c>
      <c r="AR170" s="1">
        <v>159.0</v>
      </c>
      <c r="AS170" s="1" t="s">
        <v>1008</v>
      </c>
      <c r="AT170" s="3" t="str">
        <f>HYPERLINK("https://icf.clappia.com/app/GMB253374/submission/KUX07256933/ICF247370-GMB253374-27i5m54jfl1jm0000000/SIG-20250704_1318kf5lk.jpeg", "SIG-20250704_1318kf5lk.jpeg")</f>
        <v>SIG-20250704_1318kf5lk.jpeg</v>
      </c>
      <c r="AU170" s="1" t="s">
        <v>1009</v>
      </c>
      <c r="AV170" s="3" t="str">
        <f>HYPERLINK("https://icf.clappia.com/app/GMB253374/submission/KUX07256933/ICF247370-GMB253374-4ipojknn8p2k00000000/SIG-20250704_131915pngn.jpeg", "SIG-20250704_131915pngn.jpeg")</f>
        <v>SIG-20250704_131915pngn.jpeg</v>
      </c>
      <c r="AW170" s="1" t="s">
        <v>1010</v>
      </c>
      <c r="AX170" s="3" t="str">
        <f>HYPERLINK("https://icf.clappia.com/app/GMB253374/submission/KUX07256933/ICF247370-GMB253374-43174nfmg30a00000000/SIG-20250704_13191a0gcm.jpeg", "SIG-20250704_13191a0gcm.jpeg")</f>
        <v>SIG-20250704_13191a0gcm.jpeg</v>
      </c>
      <c r="AY170" s="3" t="str">
        <f>HYPERLINK("https://www.google.com/maps/place/8.8949633%2C-12.06475", "8.8949633,-12.06475")</f>
        <v>8.8949633,-12.06475</v>
      </c>
    </row>
    <row r="171" ht="15.75" customHeight="1">
      <c r="A171" s="1" t="s">
        <v>1011</v>
      </c>
      <c r="B171" s="2" t="s">
        <v>47</v>
      </c>
      <c r="C171" s="1" t="s">
        <v>1006</v>
      </c>
      <c r="D171" s="1" t="s">
        <v>1006</v>
      </c>
      <c r="E171" s="1" t="s">
        <v>1012</v>
      </c>
      <c r="F171" s="1" t="s">
        <v>72</v>
      </c>
      <c r="G171" s="1">
        <v>120.0</v>
      </c>
      <c r="H171" s="1" t="s">
        <v>52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53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54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56</v>
      </c>
      <c r="AA171" s="1" t="s">
        <v>55</v>
      </c>
      <c r="AB171" s="1" t="s">
        <v>55</v>
      </c>
      <c r="AC171" s="1" t="s">
        <v>55</v>
      </c>
      <c r="AD171" s="1" t="s">
        <v>55</v>
      </c>
      <c r="AE171" s="1" t="s">
        <v>55</v>
      </c>
      <c r="AF171" s="1" t="s">
        <v>57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55</v>
      </c>
      <c r="AL171" s="1">
        <f t="shared" si="1"/>
        <v>70</v>
      </c>
      <c r="AM171" s="1">
        <v>120.0</v>
      </c>
      <c r="AN171" s="1">
        <v>132.0</v>
      </c>
      <c r="AO171" s="1">
        <v>70.0</v>
      </c>
      <c r="AP171" s="2">
        <v>11.0</v>
      </c>
      <c r="AQ171" s="1">
        <v>50.0</v>
      </c>
      <c r="AR171" s="1">
        <v>50.0</v>
      </c>
      <c r="AS171" s="1" t="s">
        <v>1013</v>
      </c>
      <c r="AT171" s="3" t="str">
        <f>HYPERLINK("https://icf.clappia.com/app/GMB253374/submission/DAD50864768/ICF247370-GMB253374-11h9gilo7bfla0000000/SIG-20250704_1324ecg95.jpeg", "SIG-20250704_1324ecg95.jpeg")</f>
        <v>SIG-20250704_1324ecg95.jpeg</v>
      </c>
      <c r="AU171" s="1" t="s">
        <v>1014</v>
      </c>
      <c r="AV171" s="3" t="str">
        <f>HYPERLINK("https://icf.clappia.com/app/GMB253374/submission/DAD50864768/ICF247370-GMB253374-3135ol75hddm00000000/SIG-20250704_132418lnm5.jpeg", "SIG-20250704_132418lnm5.jpeg")</f>
        <v>SIG-20250704_132418lnm5.jpeg</v>
      </c>
      <c r="AW171" s="1" t="s">
        <v>1015</v>
      </c>
      <c r="AX171" s="3" t="str">
        <f>HYPERLINK("https://icf.clappia.com/app/GMB253374/submission/DAD50864768/ICF247370-GMB253374-gla14e8fonkc0000000/SIG-20250704_13243gnk8.jpeg", "SIG-20250704_13243gnk8.jpeg")</f>
        <v>SIG-20250704_13243gnk8.jpeg</v>
      </c>
      <c r="AY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1016</v>
      </c>
      <c r="B172" s="2" t="s">
        <v>47</v>
      </c>
      <c r="C172" s="1" t="s">
        <v>1017</v>
      </c>
      <c r="D172" s="1" t="s">
        <v>1018</v>
      </c>
      <c r="E172" s="2" t="s">
        <v>1019</v>
      </c>
      <c r="F172" s="1" t="s">
        <v>51</v>
      </c>
      <c r="G172" s="1">
        <v>300.0</v>
      </c>
      <c r="H172" s="1" t="s">
        <v>52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53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54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56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57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f t="shared" si="1"/>
        <v>289</v>
      </c>
      <c r="AM172" s="1">
        <v>300.0</v>
      </c>
      <c r="AN172" s="1">
        <v>312.0</v>
      </c>
      <c r="AO172" s="1">
        <v>284.0</v>
      </c>
      <c r="AP172" s="2">
        <v>11.0</v>
      </c>
      <c r="AQ172" s="1">
        <v>16.0</v>
      </c>
      <c r="AR172" s="1">
        <v>16.0</v>
      </c>
      <c r="AS172" s="1" t="s">
        <v>947</v>
      </c>
      <c r="AT172" s="3" t="str">
        <f>HYPERLINK("https://icf.clappia.com/app/GMB253374/submission/YIG75366616/ICF247370-GMB253374-4f4e1pmc4j0i00000000/SIG-20250702_1254192i21.jpeg", "SIG-20250702_1254192i21.jpeg")</f>
        <v>SIG-20250702_1254192i21.jpeg</v>
      </c>
      <c r="AU172" s="1" t="s">
        <v>1020</v>
      </c>
      <c r="AV172" s="3" t="str">
        <f>HYPERLINK("https://icf.clappia.com/app/GMB253374/submission/YIG75366616/ICF247370-GMB253374-4d5j613mb4oa00000000/SIG-20250702_1253a35le.jpeg", "SIG-20250702_1253a35le.jpeg")</f>
        <v>SIG-20250702_1253a35le.jpeg</v>
      </c>
      <c r="AW172" s="1" t="s">
        <v>949</v>
      </c>
      <c r="AX172" s="3" t="str">
        <f>HYPERLINK("https://icf.clappia.com/app/GMB253374/submission/YIG75366616/ICF247370-GMB253374-31oomokg66oc00000000/SIG-20250702_125411i37j.jpeg", "SIG-20250702_125411i37j.jpeg")</f>
        <v>SIG-20250702_125411i37j.jpeg</v>
      </c>
      <c r="AY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1021</v>
      </c>
      <c r="B173" s="2" t="s">
        <v>47</v>
      </c>
      <c r="C173" s="1" t="s">
        <v>1018</v>
      </c>
      <c r="D173" s="1" t="s">
        <v>1018</v>
      </c>
      <c r="E173" s="2" t="s">
        <v>1022</v>
      </c>
      <c r="F173" s="1" t="s">
        <v>51</v>
      </c>
      <c r="G173" s="1">
        <v>100.0</v>
      </c>
      <c r="H173" s="1" t="s">
        <v>52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53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54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56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57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f t="shared" si="1"/>
        <v>140</v>
      </c>
      <c r="AM173" s="1">
        <v>100.0</v>
      </c>
      <c r="AN173" s="1">
        <v>112.0</v>
      </c>
      <c r="AO173" s="1">
        <v>100.0</v>
      </c>
      <c r="AP173" s="2">
        <v>11.0</v>
      </c>
      <c r="AQ173" s="1">
        <v>0.0</v>
      </c>
      <c r="AR173" s="1">
        <v>0.0</v>
      </c>
      <c r="AS173" s="1" t="s">
        <v>1023</v>
      </c>
      <c r="AT173" s="3" t="str">
        <f>HYPERLINK("https://icf.clappia.com/app/GMB253374/submission/MJJ37297659/ICF247370-GMB253374-2820h7fo0aag80000000/SIG-20250704_1321ljc8c.jpeg", "SIG-20250704_1321ljc8c.jpeg")</f>
        <v>SIG-20250704_1321ljc8c.jpeg</v>
      </c>
      <c r="AU173" s="1" t="s">
        <v>867</v>
      </c>
      <c r="AV173" s="3" t="str">
        <f>HYPERLINK("https://icf.clappia.com/app/GMB253374/submission/MJJ37297659/ICF247370-GMB253374-46l4opd2506a00000000/SIG-20250704_132113551h.jpeg", "SIG-20250704_132113551h.jpeg")</f>
        <v>SIG-20250704_132113551h.jpeg</v>
      </c>
      <c r="AW173" s="1" t="s">
        <v>868</v>
      </c>
      <c r="AX173" s="3" t="str">
        <f>HYPERLINK("https://icf.clappia.com/app/GMB253374/submission/MJJ37297659/ICF247370-GMB253374-3pffj99h7fme00000000/SIG-20250704_13221a0025.jpeg", "SIG-20250704_13221a0025.jpeg")</f>
        <v>SIG-20250704_13221a0025.jpeg</v>
      </c>
      <c r="AY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1024</v>
      </c>
      <c r="B174" s="2" t="s">
        <v>47</v>
      </c>
      <c r="C174" s="1" t="s">
        <v>1025</v>
      </c>
      <c r="D174" s="1" t="s">
        <v>1025</v>
      </c>
      <c r="E174" s="1" t="s">
        <v>1026</v>
      </c>
      <c r="F174" s="1" t="s">
        <v>51</v>
      </c>
      <c r="G174" s="1">
        <v>384.0</v>
      </c>
      <c r="H174" s="1" t="s">
        <v>52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53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54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56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57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f t="shared" si="1"/>
        <v>384</v>
      </c>
      <c r="AM174" s="1">
        <v>384.0</v>
      </c>
      <c r="AN174" s="1">
        <v>396.0</v>
      </c>
      <c r="AO174" s="1">
        <v>384.0</v>
      </c>
      <c r="AP174" s="2">
        <v>11.0</v>
      </c>
      <c r="AQ174" s="1">
        <v>0.0</v>
      </c>
      <c r="AR174" s="1">
        <v>0.0</v>
      </c>
      <c r="AS174" s="1" t="s">
        <v>1027</v>
      </c>
      <c r="AT174" s="3" t="str">
        <f>HYPERLINK("https://icf.clappia.com/app/GMB253374/submission/NBE31767543/ICF247370-GMB253374-3jdm48kok55c00000000/SIG-20250704_124314l0n6.jpeg", "SIG-20250704_124314l0n6.jpeg")</f>
        <v>SIG-20250704_124314l0n6.jpeg</v>
      </c>
      <c r="AU174" s="1" t="s">
        <v>1028</v>
      </c>
      <c r="AV174" s="3" t="str">
        <f>HYPERLINK("https://icf.clappia.com/app/GMB253374/submission/NBE31767543/ICF247370-GMB253374-5d92d2kg487200000000/SIG-20250704_1244831ee.jpeg", "SIG-20250704_1244831ee.jpeg")</f>
        <v>SIG-20250704_1244831ee.jpeg</v>
      </c>
      <c r="AW174" s="1" t="s">
        <v>885</v>
      </c>
      <c r="AX174" s="3" t="str">
        <f>HYPERLINK("https://icf.clappia.com/app/GMB253374/submission/NBE31767543/ICF247370-GMB253374-5cadja3mge8o00000000/SIG-20250704_131770f4b.jpeg", "SIG-20250704_131770f4b.jpeg")</f>
        <v>SIG-20250704_131770f4b.jpeg</v>
      </c>
      <c r="AY174" s="3" t="str">
        <f>HYPERLINK("https://www.google.com/maps/place/9.297015%2C-12.2083367", "9.297015,-12.2083367")</f>
        <v>9.297015,-12.2083367</v>
      </c>
    </row>
    <row r="175" ht="15.75" customHeight="1">
      <c r="A175" s="1" t="s">
        <v>1029</v>
      </c>
      <c r="B175" s="2" t="s">
        <v>47</v>
      </c>
      <c r="C175" s="1" t="s">
        <v>1030</v>
      </c>
      <c r="D175" s="1" t="s">
        <v>1030</v>
      </c>
      <c r="E175" s="1" t="s">
        <v>1031</v>
      </c>
      <c r="F175" s="1" t="s">
        <v>51</v>
      </c>
      <c r="G175" s="1">
        <v>153.0</v>
      </c>
      <c r="H175" s="1" t="s">
        <v>52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53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54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56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57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f t="shared" si="1"/>
        <v>153</v>
      </c>
      <c r="AM175" s="1">
        <v>153.0</v>
      </c>
      <c r="AN175" s="1">
        <v>165.0</v>
      </c>
      <c r="AO175" s="1">
        <v>153.0</v>
      </c>
      <c r="AP175" s="2">
        <v>11.0</v>
      </c>
      <c r="AQ175" s="1">
        <v>0.0</v>
      </c>
      <c r="AR175" s="1">
        <v>0.0</v>
      </c>
      <c r="AS175" s="1" t="s">
        <v>1032</v>
      </c>
      <c r="AT175" s="3" t="str">
        <f>HYPERLINK("https://icf.clappia.com/app/GMB253374/submission/HQH51766103/ICF247370-GMB253374-2c62j01ga56800000000/SIG-20250704_102314kc9b.jpeg", "SIG-20250704_102314kc9b.jpeg")</f>
        <v>SIG-20250704_102314kc9b.jpeg</v>
      </c>
      <c r="AU175" s="1" t="s">
        <v>1033</v>
      </c>
      <c r="AV175" s="3" t="str">
        <f>HYPERLINK("https://icf.clappia.com/app/GMB253374/submission/HQH51766103/ICF247370-GMB253374-665ch7egpico00000000/SIG-20250704_1023l6o9i.jpeg", "SIG-20250704_1023l6o9i.jpeg")</f>
        <v>SIG-20250704_1023l6o9i.jpeg</v>
      </c>
      <c r="AW175" s="1" t="s">
        <v>1034</v>
      </c>
      <c r="AX175" s="3" t="str">
        <f>HYPERLINK("https://icf.clappia.com/app/GMB253374/submission/HQH51766103/ICF247370-GMB253374-20p3dlo19ja480000000/SIG-20250704_1024f67fd.jpeg", "SIG-20250704_1024f67fd.jpeg")</f>
        <v>SIG-20250704_1024f67fd.jpeg</v>
      </c>
      <c r="AY175" s="3" t="str">
        <f>HYPERLINK("https://www.google.com/maps/place/7.78639%2C-11.7343467", "7.78639,-11.7343467")</f>
        <v>7.78639,-11.7343467</v>
      </c>
    </row>
    <row r="176" ht="15.75" customHeight="1">
      <c r="A176" s="1" t="s">
        <v>1035</v>
      </c>
      <c r="B176" s="2" t="s">
        <v>47</v>
      </c>
      <c r="C176" s="1" t="s">
        <v>1036</v>
      </c>
      <c r="D176" s="1" t="s">
        <v>1036</v>
      </c>
      <c r="E176" s="1" t="s">
        <v>1037</v>
      </c>
      <c r="F176" s="1" t="s">
        <v>51</v>
      </c>
      <c r="G176" s="1">
        <v>280.0</v>
      </c>
      <c r="H176" s="1" t="s">
        <v>52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53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54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56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57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f t="shared" si="1"/>
        <v>273</v>
      </c>
      <c r="AM176" s="1">
        <v>280.0</v>
      </c>
      <c r="AN176" s="1">
        <v>292.0</v>
      </c>
      <c r="AO176" s="1">
        <v>270.0</v>
      </c>
      <c r="AP176" s="2">
        <v>11.0</v>
      </c>
      <c r="AQ176" s="1">
        <v>10.0</v>
      </c>
      <c r="AR176" s="1">
        <v>10.0</v>
      </c>
      <c r="AS176" s="1" t="s">
        <v>1038</v>
      </c>
      <c r="AT176" s="3" t="str">
        <f>HYPERLINK("https://icf.clappia.com/app/GMB253374/submission/DEM93496565/ICF247370-GMB253374-12i60f5f5kd280000000/SIG-20250704_1107m8d6e.jpeg", "SIG-20250704_1107m8d6e.jpeg")</f>
        <v>SIG-20250704_1107m8d6e.jpeg</v>
      </c>
      <c r="AU176" s="1" t="s">
        <v>1039</v>
      </c>
      <c r="AV176" s="3" t="str">
        <f>HYPERLINK("https://icf.clappia.com/app/GMB253374/submission/DEM93496565/ICF247370-GMB253374-1hapkj9ah6ck80000000/SIG-20250704_1108914d2.jpeg", "SIG-20250704_1108914d2.jpeg")</f>
        <v>SIG-20250704_1108914d2.jpeg</v>
      </c>
      <c r="AW176" s="1" t="s">
        <v>1040</v>
      </c>
      <c r="AX176" s="3" t="str">
        <f>HYPERLINK("https://icf.clappia.com/app/GMB253374/submission/DEM93496565/ICF247370-GMB253374-46bkm8kheijc00000000/SIG-20250704_1317b16b7.jpeg", "SIG-20250704_1317b16b7.jpeg")</f>
        <v>SIG-20250704_1317b16b7.jpeg</v>
      </c>
      <c r="AY176" s="3" t="str">
        <f>HYPERLINK("https://www.google.com/maps/place/7.7802583%2C-11.72438", "7.7802583,-11.72438")</f>
        <v>7.7802583,-11.72438</v>
      </c>
    </row>
    <row r="177" ht="15.75" customHeight="1">
      <c r="A177" s="1" t="s">
        <v>1041</v>
      </c>
      <c r="B177" s="2" t="s">
        <v>47</v>
      </c>
      <c r="C177" s="1" t="s">
        <v>1036</v>
      </c>
      <c r="D177" s="1" t="s">
        <v>1036</v>
      </c>
      <c r="E177" s="1" t="s">
        <v>1042</v>
      </c>
      <c r="F177" s="1" t="s">
        <v>51</v>
      </c>
      <c r="G177" s="1">
        <v>316.0</v>
      </c>
      <c r="H177" s="1" t="s">
        <v>52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53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54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56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57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f t="shared" si="1"/>
        <v>316</v>
      </c>
      <c r="AM177" s="1">
        <v>316.0</v>
      </c>
      <c r="AN177" s="1">
        <v>328.0</v>
      </c>
      <c r="AO177" s="1">
        <v>316.0</v>
      </c>
      <c r="AP177" s="2">
        <v>11.0</v>
      </c>
      <c r="AQ177" s="1">
        <v>0.0</v>
      </c>
      <c r="AR177" s="1">
        <v>0.0</v>
      </c>
      <c r="AS177" s="1" t="s">
        <v>1043</v>
      </c>
      <c r="AT177" s="3" t="str">
        <f>HYPERLINK("https://icf.clappia.com/app/GMB253374/submission/TID72647599/ICF247370-GMB253374-61pi7f3i7p2i00000000/SIG-20250704_1314laoa5.jpeg", "SIG-20250704_1314laoa5.jpeg")</f>
        <v>SIG-20250704_1314laoa5.jpeg</v>
      </c>
      <c r="AU177" s="1" t="s">
        <v>1044</v>
      </c>
      <c r="AV177" s="3" t="str">
        <f>HYPERLINK("https://icf.clappia.com/app/GMB253374/submission/TID72647599/ICF247370-GMB253374-40k9lkfiheca00000000/SIG-20250704_1315ofg1e.jpeg", "SIG-20250704_1315ofg1e.jpeg")</f>
        <v>SIG-20250704_1315ofg1e.jpeg</v>
      </c>
      <c r="AW177" s="1" t="s">
        <v>1045</v>
      </c>
      <c r="AX177" s="3" t="str">
        <f>HYPERLINK("https://icf.clappia.com/app/GMB253374/submission/TID72647599/ICF247370-GMB253374-1gaelchb7f7fm0000000/SIG-20250704_13161453f5.jpeg", "SIG-20250704_13161453f5.jpeg")</f>
        <v>SIG-20250704_13161453f5.jpeg</v>
      </c>
      <c r="AY177" s="3" t="str">
        <f>HYPERLINK("https://www.google.com/maps/place/7.9672383%2C-11.749585", "7.9672383,-11.749585")</f>
        <v>7.9672383,-11.749585</v>
      </c>
    </row>
    <row r="178" ht="15.75" customHeight="1">
      <c r="A178" s="1" t="s">
        <v>1046</v>
      </c>
      <c r="B178" s="2" t="s">
        <v>47</v>
      </c>
      <c r="C178" s="1" t="s">
        <v>1047</v>
      </c>
      <c r="D178" s="1" t="s">
        <v>1047</v>
      </c>
      <c r="E178" s="1" t="s">
        <v>1048</v>
      </c>
      <c r="F178" s="1" t="s">
        <v>51</v>
      </c>
      <c r="G178" s="1">
        <v>265.0</v>
      </c>
      <c r="H178" s="1" t="s">
        <v>52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53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54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56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57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f t="shared" si="1"/>
        <v>265</v>
      </c>
      <c r="AM178" s="1">
        <v>265.0</v>
      </c>
      <c r="AN178" s="1">
        <v>277.0</v>
      </c>
      <c r="AO178" s="1">
        <v>265.0</v>
      </c>
      <c r="AP178" s="2">
        <v>11.0</v>
      </c>
      <c r="AQ178" s="1">
        <v>0.0</v>
      </c>
      <c r="AR178" s="1">
        <v>0.0</v>
      </c>
      <c r="AS178" s="1" t="s">
        <v>1049</v>
      </c>
      <c r="AT178" s="3" t="str">
        <f>HYPERLINK("https://icf.clappia.com/app/GMB253374/submission/HIC72191471/ICF247370-GMB253374-d264bmjo505e0000000/SIG-20250704_1208f3e7h.jpeg", "SIG-20250704_1208f3e7h.jpeg")</f>
        <v>SIG-20250704_1208f3e7h.jpeg</v>
      </c>
      <c r="AU178" s="1" t="s">
        <v>1050</v>
      </c>
      <c r="AV178" s="3" t="str">
        <f>HYPERLINK("https://icf.clappia.com/app/GMB253374/submission/HIC72191471/ICF247370-GMB253374-oc38fmn2gncc0000000/SIG-20250704_121571623.jpeg", "SIG-20250704_121571623.jpeg")</f>
        <v>SIG-20250704_121571623.jpeg</v>
      </c>
      <c r="AW178" s="1" t="s">
        <v>1051</v>
      </c>
      <c r="AX178" s="3" t="str">
        <f>HYPERLINK("https://icf.clappia.com/app/GMB253374/submission/HIC72191471/ICF247370-GMB253374-1eeeplihbeje80000000/SIG-20250704_1212h1jfi.jpeg", "SIG-20250704_1212h1jfi.jpeg")</f>
        <v>SIG-20250704_1212h1jfi.jpeg</v>
      </c>
      <c r="AY178" s="3" t="str">
        <f>HYPERLINK("https://www.google.com/maps/place/7.780325%2C-11.724455", "7.780325,-11.724455")</f>
        <v>7.780325,-11.724455</v>
      </c>
    </row>
    <row r="179" ht="15.75" customHeight="1">
      <c r="A179" s="1" t="s">
        <v>1052</v>
      </c>
      <c r="B179" s="2" t="s">
        <v>47</v>
      </c>
      <c r="C179" s="1" t="s">
        <v>1053</v>
      </c>
      <c r="D179" s="1" t="s">
        <v>1053</v>
      </c>
      <c r="E179" s="1" t="s">
        <v>1054</v>
      </c>
      <c r="F179" s="1" t="s">
        <v>72</v>
      </c>
      <c r="G179" s="1">
        <v>200.0</v>
      </c>
      <c r="H179" s="1" t="s">
        <v>52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53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54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56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57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f t="shared" si="1"/>
        <v>334</v>
      </c>
      <c r="AM179" s="1">
        <v>200.0</v>
      </c>
      <c r="AN179" s="1">
        <v>212.0</v>
      </c>
      <c r="AO179" s="1">
        <v>195.0</v>
      </c>
      <c r="AP179" s="2">
        <v>11.0</v>
      </c>
      <c r="AQ179" s="1">
        <v>5.0</v>
      </c>
      <c r="AR179" s="1">
        <v>5.0</v>
      </c>
      <c r="AS179" s="1" t="s">
        <v>1055</v>
      </c>
      <c r="AT179" s="3" t="str">
        <f>HYPERLINK("https://icf.clappia.com/app/GMB253374/submission/FYF25123044/ICF247370-GMB253374-40j3413gp2ae0000000/SIG-20250704_130819ejo4.jpeg", "SIG-20250704_130819ejo4.jpeg")</f>
        <v>SIG-20250704_130819ejo4.jpeg</v>
      </c>
      <c r="AU179" s="1" t="s">
        <v>1056</v>
      </c>
      <c r="AV179" s="3" t="str">
        <f>HYPERLINK("https://icf.clappia.com/app/GMB253374/submission/FYF25123044/ICF247370-GMB253374-2fohmko8101600000000/SIG-20250704_13089idlk.jpeg", "SIG-20250704_13089idlk.jpeg")</f>
        <v>SIG-20250704_13089idlk.jpeg</v>
      </c>
      <c r="AW179" s="1" t="s">
        <v>1057</v>
      </c>
      <c r="AX179" s="3" t="str">
        <f>HYPERLINK("https://icf.clappia.com/app/GMB253374/submission/FYF25123044/ICF247370-GMB253374-187kfkb0069440000000/SIG-20250704_1309dhgn.jpeg", "SIG-20250704_1309dhgn.jpeg")</f>
        <v>SIG-20250704_1309dhgn.jpeg</v>
      </c>
      <c r="AY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1058</v>
      </c>
      <c r="B180" s="2" t="s">
        <v>47</v>
      </c>
      <c r="C180" s="1" t="s">
        <v>1059</v>
      </c>
      <c r="D180" s="1" t="s">
        <v>1059</v>
      </c>
      <c r="E180" s="1" t="s">
        <v>1060</v>
      </c>
      <c r="F180" s="1" t="s">
        <v>51</v>
      </c>
      <c r="G180" s="1">
        <v>335.0</v>
      </c>
      <c r="H180" s="1" t="s">
        <v>52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53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54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56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57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55</v>
      </c>
      <c r="AL180" s="1">
        <f t="shared" si="1"/>
        <v>412</v>
      </c>
      <c r="AM180" s="1">
        <v>335.0</v>
      </c>
      <c r="AN180" s="1">
        <v>347.0</v>
      </c>
      <c r="AO180" s="1">
        <v>335.0</v>
      </c>
      <c r="AP180" s="2">
        <v>11.0</v>
      </c>
      <c r="AQ180" s="1">
        <v>0.0</v>
      </c>
      <c r="AR180" s="1">
        <v>0.0</v>
      </c>
      <c r="AS180" s="1" t="s">
        <v>1061</v>
      </c>
      <c r="AT180" s="3" t="str">
        <f>HYPERLINK("https://icf.clappia.com/app/GMB253374/submission/ISM53395295/ICF247370-GMB253374-1484l50ldee1e0000000/SIG-20250704_1305gb3gn.jpeg", "SIG-20250704_1305gb3gn.jpeg")</f>
        <v>SIG-20250704_1305gb3gn.jpeg</v>
      </c>
      <c r="AU180" s="1" t="s">
        <v>1062</v>
      </c>
      <c r="AV180" s="3" t="str">
        <f>HYPERLINK("https://icf.clappia.com/app/GMB253374/submission/ISM53395295/ICF247370-GMB253374-3bhh0dnpdij800000000/SIG-20250704_13055j3le.jpeg", "SIG-20250704_13055j3le.jpeg")</f>
        <v>SIG-20250704_13055j3le.jpeg</v>
      </c>
      <c r="AW180" s="1" t="s">
        <v>1063</v>
      </c>
      <c r="AX180" s="3" t="str">
        <f>HYPERLINK("https://icf.clappia.com/app/GMB253374/submission/ISM53395295/ICF247370-GMB253374-2m8m1gaf0g9a00000000/SIG-20250704_13063nbhd.jpeg", "SIG-20250704_13063nbhd.jpeg")</f>
        <v>SIG-20250704_13063nbhd.jpeg</v>
      </c>
      <c r="AY180" s="3" t="str">
        <f>HYPERLINK("https://www.google.com/maps/place/7.925045%2C-11.7185638", "7.925045,-11.7185638")</f>
        <v>7.925045,-11.7185638</v>
      </c>
    </row>
    <row r="181" ht="15.75" customHeight="1">
      <c r="A181" s="1" t="s">
        <v>1064</v>
      </c>
      <c r="B181" s="2" t="s">
        <v>47</v>
      </c>
      <c r="C181" s="1" t="s">
        <v>1065</v>
      </c>
      <c r="D181" s="1" t="s">
        <v>1065</v>
      </c>
      <c r="E181" s="1" t="s">
        <v>1066</v>
      </c>
      <c r="F181" s="1" t="s">
        <v>51</v>
      </c>
      <c r="G181" s="1">
        <v>200.0</v>
      </c>
      <c r="H181" s="1" t="s">
        <v>52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53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54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56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57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f t="shared" si="1"/>
        <v>170</v>
      </c>
      <c r="AM181" s="1">
        <v>200.0</v>
      </c>
      <c r="AN181" s="1">
        <v>212.0</v>
      </c>
      <c r="AO181" s="1">
        <v>170.0</v>
      </c>
      <c r="AP181" s="2">
        <v>11.0</v>
      </c>
      <c r="AQ181" s="1">
        <v>30.0</v>
      </c>
      <c r="AR181" s="1">
        <v>30.0</v>
      </c>
      <c r="AS181" s="1" t="s">
        <v>1067</v>
      </c>
      <c r="AT181" s="3" t="str">
        <f>HYPERLINK("https://icf.clappia.com/app/GMB253374/submission/NWM52805087/ICF247370-GMB253374-4gpm4hib5o7000000000/SIG-20250704_130015oipe.jpeg", "SIG-20250704_130015oipe.jpeg")</f>
        <v>SIG-20250704_130015oipe.jpeg</v>
      </c>
      <c r="AU181" s="1" t="s">
        <v>1068</v>
      </c>
      <c r="AV181" s="3" t="str">
        <f>HYPERLINK("https://icf.clappia.com/app/GMB253374/submission/NWM52805087/ICF247370-GMB253374-12424epjjm53e0000000/SIG-20250704_130258jm4.jpeg", "SIG-20250704_130258jm4.jpeg")</f>
        <v>SIG-20250704_130258jm4.jpeg</v>
      </c>
      <c r="AW181" s="1" t="s">
        <v>1069</v>
      </c>
      <c r="AX181" s="3" t="str">
        <f>HYPERLINK("https://icf.clappia.com/app/GMB253374/submission/NWM52805087/ICF247370-GMB253374-198h6mkic59520000000/SIG-20250704_1304a7eah.jpeg", "SIG-20250704_1304a7eah.jpeg")</f>
        <v>SIG-20250704_1304a7eah.jpeg</v>
      </c>
      <c r="AY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1070</v>
      </c>
      <c r="B182" s="2" t="s">
        <v>47</v>
      </c>
      <c r="C182" s="1" t="s">
        <v>1071</v>
      </c>
      <c r="D182" s="1" t="s">
        <v>1072</v>
      </c>
      <c r="E182" s="1" t="s">
        <v>1073</v>
      </c>
      <c r="F182" s="1" t="s">
        <v>51</v>
      </c>
      <c r="G182" s="1">
        <v>250.0</v>
      </c>
      <c r="H182" s="1" t="s">
        <v>52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53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54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56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57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f t="shared" si="1"/>
        <v>212</v>
      </c>
      <c r="AM182" s="1">
        <v>250.0</v>
      </c>
      <c r="AN182" s="1">
        <v>262.0</v>
      </c>
      <c r="AO182" s="1">
        <v>202.0</v>
      </c>
      <c r="AP182" s="2">
        <v>11.0</v>
      </c>
      <c r="AQ182" s="1">
        <v>48.0</v>
      </c>
      <c r="AR182" s="1">
        <v>48.0</v>
      </c>
      <c r="AS182" s="1" t="s">
        <v>1074</v>
      </c>
      <c r="AT182" s="3" t="str">
        <f>HYPERLINK("https://icf.clappia.com/app/GMB253374/submission/GBG57642596/ICF247370-GMB253374-2fjhdohpm88m00000000/SIG-20250703_0941iflp7.jpeg", "SIG-20250703_0941iflp7.jpeg")</f>
        <v>SIG-20250703_0941iflp7.jpeg</v>
      </c>
      <c r="AU182" s="1" t="s">
        <v>1075</v>
      </c>
      <c r="AV182" s="3" t="str">
        <f>HYPERLINK("https://icf.clappia.com/app/GMB253374/submission/GBG57642596/ICF247370-GMB253374-c7ppk6f6ch3e0000000/SIG-20250703_0941nm3f6.jpeg", "SIG-20250703_0941nm3f6.jpeg")</f>
        <v>SIG-20250703_0941nm3f6.jpeg</v>
      </c>
      <c r="AW182" s="1" t="s">
        <v>1076</v>
      </c>
      <c r="AX182" s="3" t="str">
        <f>HYPERLINK("https://icf.clappia.com/app/GMB253374/submission/GBG57642596/ICF247370-GMB253374-66hp7a0o51d600000000/SIG-20250703_094117koj8.jpeg", "SIG-20250703_094117koj8.jpeg")</f>
        <v>SIG-20250703_094117koj8.jpeg</v>
      </c>
      <c r="AY182" s="3" t="str">
        <f>HYPERLINK("https://www.google.com/maps/place/7.5443983%2C-11.9646", "7.5443983,-11.9646")</f>
        <v>7.5443983,-11.9646</v>
      </c>
    </row>
    <row r="183" ht="15.75" customHeight="1">
      <c r="A183" s="1" t="s">
        <v>1077</v>
      </c>
      <c r="B183" s="2" t="s">
        <v>47</v>
      </c>
      <c r="C183" s="1" t="s">
        <v>1078</v>
      </c>
      <c r="D183" s="1" t="s">
        <v>1078</v>
      </c>
      <c r="E183" s="1" t="s">
        <v>1079</v>
      </c>
      <c r="F183" s="1" t="s">
        <v>51</v>
      </c>
      <c r="G183" s="1">
        <v>28.0</v>
      </c>
      <c r="H183" s="1" t="s">
        <v>52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53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54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56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57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f t="shared" si="1"/>
        <v>28</v>
      </c>
      <c r="AM183" s="1">
        <v>28.0</v>
      </c>
      <c r="AN183" s="1">
        <v>40.0</v>
      </c>
      <c r="AO183" s="1">
        <v>28.0</v>
      </c>
      <c r="AP183" s="2">
        <v>11.0</v>
      </c>
      <c r="AQ183" s="1">
        <v>0.0</v>
      </c>
      <c r="AR183" s="1">
        <v>0.0</v>
      </c>
      <c r="AS183" s="1" t="s">
        <v>1080</v>
      </c>
      <c r="AT183" s="3" t="str">
        <f>HYPERLINK("https://icf.clappia.com/app/GMB253374/submission/FHA34365600/ICF247370-GMB253374-5k7enp8df32200000000/SIG-20250704_130110gi1n.jpeg", "SIG-20250704_130110gi1n.jpeg")</f>
        <v>SIG-20250704_130110gi1n.jpeg</v>
      </c>
      <c r="AU183" s="1" t="s">
        <v>1081</v>
      </c>
      <c r="AV183" s="3" t="str">
        <f>HYPERLINK("https://icf.clappia.com/app/GMB253374/submission/FHA34365600/ICF247370-GMB253374-1nb5nap6ok94k0000000/SIG-20250704_1302kak1b.jpeg", "SIG-20250704_1302kak1b.jpeg")</f>
        <v>SIG-20250704_1302kak1b.jpeg</v>
      </c>
      <c r="AW183" s="1" t="s">
        <v>1082</v>
      </c>
      <c r="AX183" s="3" t="str">
        <f>HYPERLINK("https://icf.clappia.com/app/GMB253374/submission/FHA34365600/ICF247370-GMB253374-6a8ke52ldekm00000000/SIG-20250704_13026npd6.jpeg", "SIG-20250704_13026npd6.jpeg")</f>
        <v>SIG-20250704_13026npd6.jpeg</v>
      </c>
      <c r="AY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1083</v>
      </c>
      <c r="B184" s="2" t="s">
        <v>47</v>
      </c>
      <c r="C184" s="1" t="s">
        <v>1084</v>
      </c>
      <c r="D184" s="1" t="s">
        <v>1084</v>
      </c>
      <c r="E184" s="1" t="s">
        <v>1085</v>
      </c>
      <c r="F184" s="1" t="s">
        <v>51</v>
      </c>
      <c r="G184" s="1">
        <v>100.0</v>
      </c>
      <c r="H184" s="1" t="s">
        <v>52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53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54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56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57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f t="shared" si="1"/>
        <v>100</v>
      </c>
      <c r="AM184" s="1">
        <v>100.0</v>
      </c>
      <c r="AN184" s="1">
        <v>112.0</v>
      </c>
      <c r="AO184" s="1">
        <v>100.0</v>
      </c>
      <c r="AP184" s="2">
        <v>11.0</v>
      </c>
      <c r="AQ184" s="1">
        <v>0.0</v>
      </c>
      <c r="AR184" s="1">
        <v>0.0</v>
      </c>
      <c r="AS184" s="1" t="s">
        <v>1086</v>
      </c>
      <c r="AT184" s="3" t="str">
        <f>HYPERLINK("https://icf.clappia.com/app/GMB253374/submission/TXJ56709493/ICF247370-GMB253374-271nedn8jb6ee0000000/SIG-20250704_13019fheg.jpeg", "SIG-20250704_13019fheg.jpeg")</f>
        <v>SIG-20250704_13019fheg.jpeg</v>
      </c>
      <c r="AU184" s="1" t="s">
        <v>1087</v>
      </c>
      <c r="AV184" s="3" t="str">
        <f>HYPERLINK("https://icf.clappia.com/app/GMB253374/submission/TXJ56709493/ICF247370-GMB253374-hjl5kkdeege40000000/SIG-20250704_130219h9hd.jpeg", "SIG-20250704_130219h9hd.jpeg")</f>
        <v>SIG-20250704_130219h9hd.jpeg</v>
      </c>
      <c r="AW184" s="1" t="s">
        <v>1088</v>
      </c>
      <c r="AX184" s="3" t="str">
        <f>HYPERLINK("https://icf.clappia.com/app/GMB253374/submission/TXJ56709493/ICF247370-GMB253374-42libjc4fmhm00000000/SIG-20250704_130242dp2.jpeg", "SIG-20250704_130242dp2.jpeg")</f>
        <v>SIG-20250704_130242dp2.jpeg</v>
      </c>
      <c r="AY184" s="3" t="str">
        <f>HYPERLINK("https://www.google.com/maps/place/7.960505%2C-11.7215183", "7.960505,-11.7215183")</f>
        <v>7.960505,-11.7215183</v>
      </c>
    </row>
    <row r="185" ht="15.75" customHeight="1">
      <c r="A185" s="1" t="s">
        <v>1089</v>
      </c>
      <c r="B185" s="2" t="s">
        <v>47</v>
      </c>
      <c r="C185" s="1" t="s">
        <v>1084</v>
      </c>
      <c r="D185" s="1" t="s">
        <v>1084</v>
      </c>
      <c r="E185" s="1" t="s">
        <v>1090</v>
      </c>
      <c r="F185" s="1" t="s">
        <v>51</v>
      </c>
      <c r="G185" s="1">
        <v>175.0</v>
      </c>
      <c r="H185" s="1" t="s">
        <v>52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53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54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56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57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f t="shared" si="1"/>
        <v>172</v>
      </c>
      <c r="AM185" s="1">
        <v>175.0</v>
      </c>
      <c r="AN185" s="1">
        <v>187.0</v>
      </c>
      <c r="AO185" s="1">
        <v>159.0</v>
      </c>
      <c r="AP185" s="2">
        <v>11.0</v>
      </c>
      <c r="AQ185" s="1">
        <v>16.0</v>
      </c>
      <c r="AR185" s="1">
        <v>16.0</v>
      </c>
      <c r="AS185" s="1" t="s">
        <v>779</v>
      </c>
      <c r="AT185" s="3" t="str">
        <f>HYPERLINK("https://icf.clappia.com/app/GMB253374/submission/ICP95291740/ICF247370-GMB253374-2l196b14l73200000000/SIG-20250704_1301580jo.jpeg", "SIG-20250704_1301580jo.jpeg")</f>
        <v>SIG-20250704_1301580jo.jpeg</v>
      </c>
      <c r="AU185" s="1" t="s">
        <v>780</v>
      </c>
      <c r="AV185" s="3" t="str">
        <f>HYPERLINK("https://icf.clappia.com/app/GMB253374/submission/ICP95291740/ICF247370-GMB253374-3klpcpogggbe00000000/SIG-20250704_130115e80i.jpeg", "SIG-20250704_130115e80i.jpeg")</f>
        <v>SIG-20250704_130115e80i.jpeg</v>
      </c>
      <c r="AW185" s="1" t="s">
        <v>781</v>
      </c>
      <c r="AX185" s="3" t="str">
        <f>HYPERLINK("https://icf.clappia.com/app/GMB253374/submission/ICP95291740/ICF247370-GMB253374-3l4gkmdng3ja00000000/SIG-20250704_13011a9mpn.jpeg", "SIG-20250704_13011a9mpn.jpeg")</f>
        <v>SIG-20250704_13011a9mpn.jpeg</v>
      </c>
      <c r="AY185" s="3" t="str">
        <f>HYPERLINK("https://www.google.com/maps/place/9.230885%2C-11.9094217", "9.230885,-11.9094217")</f>
        <v>9.230885,-11.9094217</v>
      </c>
    </row>
    <row r="186" ht="15.75" customHeight="1">
      <c r="A186" s="1" t="s">
        <v>1091</v>
      </c>
      <c r="B186" s="2" t="s">
        <v>47</v>
      </c>
      <c r="C186" s="1" t="s">
        <v>1092</v>
      </c>
      <c r="D186" s="1" t="s">
        <v>1092</v>
      </c>
      <c r="E186" s="2" t="s">
        <v>1093</v>
      </c>
      <c r="F186" s="1" t="s">
        <v>51</v>
      </c>
      <c r="G186" s="1">
        <v>200.0</v>
      </c>
      <c r="H186" s="1" t="s">
        <v>52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53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54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56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57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f t="shared" si="1"/>
        <v>350</v>
      </c>
      <c r="AM186" s="1">
        <v>200.0</v>
      </c>
      <c r="AN186" s="1">
        <v>212.0</v>
      </c>
      <c r="AO186" s="1">
        <v>199.0</v>
      </c>
      <c r="AP186" s="2">
        <v>11.0</v>
      </c>
      <c r="AQ186" s="1">
        <v>1.0</v>
      </c>
      <c r="AR186" s="1">
        <v>1.0</v>
      </c>
      <c r="AS186" s="1" t="s">
        <v>1094</v>
      </c>
      <c r="AT186" s="3" t="str">
        <f>HYPERLINK("https://icf.clappia.com/app/GMB253374/submission/MHL54240720/ICF247370-GMB253374-42i1jjgelijg00000000/SIG-20250704_12529id20.jpeg", "SIG-20250704_12529id20.jpeg")</f>
        <v>SIG-20250704_12529id20.jpeg</v>
      </c>
      <c r="AU186" s="1" t="s">
        <v>1095</v>
      </c>
      <c r="AV186" s="3" t="str">
        <f>HYPERLINK("https://icf.clappia.com/app/GMB253374/submission/MHL54240720/ICF247370-GMB253374-3me7b2ibooc200000000/SIG-20250704_12541a37bn.jpeg", "SIG-20250704_12541a37bn.jpeg")</f>
        <v>SIG-20250704_12541a37bn.jpeg</v>
      </c>
      <c r="AW186" s="1" t="s">
        <v>1096</v>
      </c>
      <c r="AX186" s="3" t="str">
        <f>HYPERLINK("https://icf.clappia.com/app/GMB253374/submission/MHL54240720/ICF247370-GMB253374-4518hkh658bg00000000/SIG-20250704_1254i32km.jpeg", "SIG-20250704_1254i32km.jpeg")</f>
        <v>SIG-20250704_1254i32km.jpeg</v>
      </c>
      <c r="AY186" s="3" t="str">
        <f>HYPERLINK("https://www.google.com/maps/place/8.8914283%2C-12.036845", "8.8914283,-12.036845")</f>
        <v>8.8914283,-12.036845</v>
      </c>
    </row>
    <row r="187" ht="15.75" customHeight="1">
      <c r="A187" s="1" t="s">
        <v>1097</v>
      </c>
      <c r="B187" s="2" t="s">
        <v>47</v>
      </c>
      <c r="C187" s="1" t="s">
        <v>1098</v>
      </c>
      <c r="D187" s="1" t="s">
        <v>1098</v>
      </c>
      <c r="E187" s="1" t="s">
        <v>1099</v>
      </c>
      <c r="F187" s="1" t="s">
        <v>51</v>
      </c>
      <c r="G187" s="1">
        <v>30.0</v>
      </c>
      <c r="H187" s="1" t="s">
        <v>52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53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54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56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57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f t="shared" si="1"/>
        <v>23</v>
      </c>
      <c r="AM187" s="1">
        <v>30.0</v>
      </c>
      <c r="AN187" s="1">
        <v>42.0</v>
      </c>
      <c r="AO187" s="1">
        <v>23.0</v>
      </c>
      <c r="AP187" s="2">
        <v>11.0</v>
      </c>
      <c r="AQ187" s="1">
        <v>7.0</v>
      </c>
      <c r="AR187" s="1">
        <v>7.0</v>
      </c>
      <c r="AS187" s="1" t="s">
        <v>748</v>
      </c>
      <c r="AT187" s="3" t="str">
        <f>HYPERLINK("https://icf.clappia.com/app/GMB253374/submission/KBK92881349/ICF247370-GMB253374-gnl4b43b0hbe0000000/SIG-20250703_2143104jc3.jpeg", "SIG-20250703_2143104jc3.jpeg")</f>
        <v>SIG-20250703_2143104jc3.jpeg</v>
      </c>
      <c r="AU187" s="1" t="s">
        <v>749</v>
      </c>
      <c r="AV187" s="3" t="str">
        <f>HYPERLINK("https://icf.clappia.com/app/GMB253374/submission/KBK92881349/ICF247370-GMB253374-5c7copg7i7ia00000000/SIG-20250703_2144hbe39.jpeg", "SIG-20250703_2144hbe39.jpeg")</f>
        <v>SIG-20250703_2144hbe39.jpeg</v>
      </c>
      <c r="AW187" s="1" t="s">
        <v>750</v>
      </c>
      <c r="AX187" s="3" t="str">
        <f>HYPERLINK("https://icf.clappia.com/app/GMB253374/submission/KBK92881349/ICF247370-GMB253374-445h6a87ohg400000000/SIG-20250703_214512j9jf.jpeg", "SIG-20250703_214512j9jf.jpeg")</f>
        <v>SIG-20250703_214512j9jf.jpeg</v>
      </c>
      <c r="AY187" s="3" t="str">
        <f>HYPERLINK("https://www.google.com/maps/place/8.01421%2C-11.6781017", "8.01421,-11.6781017")</f>
        <v>8.01421,-11.6781017</v>
      </c>
    </row>
    <row r="188" ht="15.75" customHeight="1">
      <c r="A188" s="1" t="s">
        <v>1100</v>
      </c>
      <c r="B188" s="2" t="s">
        <v>47</v>
      </c>
      <c r="C188" s="1" t="s">
        <v>1101</v>
      </c>
      <c r="D188" s="1" t="s">
        <v>1101</v>
      </c>
      <c r="E188" s="1" t="s">
        <v>1102</v>
      </c>
      <c r="F188" s="1" t="s">
        <v>51</v>
      </c>
      <c r="G188" s="1">
        <v>301.0</v>
      </c>
      <c r="H188" s="1" t="s">
        <v>52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53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54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56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57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f t="shared" si="1"/>
        <v>301</v>
      </c>
      <c r="AM188" s="1">
        <v>301.0</v>
      </c>
      <c r="AN188" s="1">
        <v>313.0</v>
      </c>
      <c r="AO188" s="1">
        <v>301.0</v>
      </c>
      <c r="AP188" s="2">
        <v>11.0</v>
      </c>
      <c r="AQ188" s="1">
        <v>0.0</v>
      </c>
      <c r="AR188" s="1">
        <v>0.0</v>
      </c>
      <c r="AS188" s="1" t="s">
        <v>1103</v>
      </c>
      <c r="AT188" s="3" t="str">
        <f>HYPERLINK("https://icf.clappia.com/app/GMB253374/submission/RHL74697002/ICF247370-GMB253374-mo46o4847j760000000/SIG-20250704_125017bn8o.jpeg", "SIG-20250704_125017bn8o.jpeg")</f>
        <v>SIG-20250704_125017bn8o.jpeg</v>
      </c>
      <c r="AU188" s="1" t="s">
        <v>1104</v>
      </c>
      <c r="AV188" s="3" t="str">
        <f>HYPERLINK("https://icf.clappia.com/app/GMB253374/submission/RHL74697002/ICF247370-GMB253374-1kkibj1m204fa0000000/SIG-20250704_12514mgmc.jpeg", "SIG-20250704_12514mgmc.jpeg")</f>
        <v>SIG-20250704_12514mgmc.jpeg</v>
      </c>
      <c r="AW188" s="1" t="s">
        <v>1105</v>
      </c>
      <c r="AX188" s="3" t="str">
        <f>HYPERLINK("https://icf.clappia.com/app/GMB253374/submission/RHL74697002/ICF247370-GMB253374-3mik98mfp74e0000000/SIG-20250704_12516djbm.jpeg", "SIG-20250704_12516djbm.jpeg")</f>
        <v>SIG-20250704_12516djbm.jpeg</v>
      </c>
      <c r="AY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1106</v>
      </c>
      <c r="B189" s="2" t="s">
        <v>47</v>
      </c>
      <c r="C189" s="1" t="s">
        <v>1107</v>
      </c>
      <c r="D189" s="1" t="s">
        <v>1108</v>
      </c>
      <c r="E189" s="1" t="s">
        <v>1109</v>
      </c>
      <c r="F189" s="1" t="s">
        <v>51</v>
      </c>
      <c r="G189" s="1">
        <v>109.0</v>
      </c>
      <c r="H189" s="1" t="s">
        <v>52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53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54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56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57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f t="shared" si="1"/>
        <v>109</v>
      </c>
      <c r="AM189" s="1">
        <v>109.0</v>
      </c>
      <c r="AN189" s="1">
        <v>121.0</v>
      </c>
      <c r="AO189" s="1">
        <v>101.0</v>
      </c>
      <c r="AP189" s="2">
        <v>11.0</v>
      </c>
      <c r="AQ189" s="1">
        <v>8.0</v>
      </c>
      <c r="AR189" s="1">
        <v>8.0</v>
      </c>
      <c r="AS189" s="1" t="s">
        <v>1110</v>
      </c>
      <c r="AT189" s="3" t="str">
        <f>HYPERLINK("https://icf.clappia.com/app/GMB253374/submission/YIB16022666/ICF247370-GMB253374-2kkmbhgh091i00000000/SIG-20250703_1115cb73k.jpeg", "SIG-20250703_1115cb73k.jpeg")</f>
        <v>SIG-20250703_1115cb73k.jpeg</v>
      </c>
      <c r="AU189" s="1" t="s">
        <v>868</v>
      </c>
      <c r="AV189" s="3" t="str">
        <f>HYPERLINK("https://icf.clappia.com/app/GMB253374/submission/YIB16022666/ICF247370-GMB253374-12nk9mmidmkmk0000000/SIG-20250703_1116bko4f.jpeg", "SIG-20250703_1116bko4f.jpeg")</f>
        <v>SIG-20250703_1116bko4f.jpeg</v>
      </c>
      <c r="AW189" s="1" t="s">
        <v>1111</v>
      </c>
      <c r="AX189" s="3" t="str">
        <f>HYPERLINK("https://icf.clappia.com/app/GMB253374/submission/YIB16022666/ICF247370-GMB253374-385c3h3a9gca00000000/SIG-20250703_1116i1ii4.jpeg", "SIG-20250703_1116i1ii4.jpeg")</f>
        <v>SIG-20250703_1116i1ii4.jpeg</v>
      </c>
      <c r="AY189" s="3" t="str">
        <f>HYPERLINK("https://www.google.com/maps/place/7.9600439%2C-11.716971", "7.9600439,-11.716971")</f>
        <v>7.9600439,-11.716971</v>
      </c>
    </row>
    <row r="190" ht="15.75" customHeight="1">
      <c r="A190" s="1" t="s">
        <v>1112</v>
      </c>
      <c r="B190" s="2" t="s">
        <v>47</v>
      </c>
      <c r="C190" s="1" t="s">
        <v>1113</v>
      </c>
      <c r="D190" s="1" t="s">
        <v>1108</v>
      </c>
      <c r="E190" s="1" t="s">
        <v>1114</v>
      </c>
      <c r="F190" s="1" t="s">
        <v>72</v>
      </c>
      <c r="G190" s="1">
        <v>100.0</v>
      </c>
      <c r="H190" s="1" t="s">
        <v>52</v>
      </c>
      <c r="I190" s="1">
        <v>6.0</v>
      </c>
      <c r="J190" s="1" t="s">
        <v>55</v>
      </c>
      <c r="K190" s="1" t="s">
        <v>55</v>
      </c>
      <c r="L190" s="1">
        <v>6.0</v>
      </c>
      <c r="M190" s="1">
        <v>6.0</v>
      </c>
      <c r="N190" s="1" t="s">
        <v>53</v>
      </c>
      <c r="O190" s="1">
        <v>20.0</v>
      </c>
      <c r="P190" s="1" t="s">
        <v>55</v>
      </c>
      <c r="Q190" s="1" t="s">
        <v>55</v>
      </c>
      <c r="R190" s="1">
        <v>20.0</v>
      </c>
      <c r="S190" s="1">
        <v>20.0</v>
      </c>
      <c r="T190" s="1" t="s">
        <v>54</v>
      </c>
      <c r="U190" s="1">
        <v>30.0</v>
      </c>
      <c r="V190" s="1" t="s">
        <v>55</v>
      </c>
      <c r="W190" s="1" t="s">
        <v>55</v>
      </c>
      <c r="X190" s="1">
        <v>30.0</v>
      </c>
      <c r="Y190" s="1">
        <v>30.0</v>
      </c>
      <c r="Z190" s="1" t="s">
        <v>56</v>
      </c>
      <c r="AA190" s="1">
        <v>8.0</v>
      </c>
      <c r="AB190" s="1" t="s">
        <v>55</v>
      </c>
      <c r="AC190" s="1" t="s">
        <v>55</v>
      </c>
      <c r="AD190" s="1">
        <v>8.0</v>
      </c>
      <c r="AE190" s="1">
        <v>8.0</v>
      </c>
      <c r="AF190" s="1" t="s">
        <v>57</v>
      </c>
      <c r="AG190" s="1">
        <v>9.0</v>
      </c>
      <c r="AH190" s="1" t="s">
        <v>55</v>
      </c>
      <c r="AI190" s="1" t="s">
        <v>55</v>
      </c>
      <c r="AJ190" s="1">
        <v>9.0</v>
      </c>
      <c r="AK190" s="1">
        <v>9.0</v>
      </c>
      <c r="AL190" s="1">
        <f t="shared" si="1"/>
        <v>73</v>
      </c>
      <c r="AM190" s="1">
        <v>100.0</v>
      </c>
      <c r="AN190" s="1">
        <v>112.0</v>
      </c>
      <c r="AO190" s="1">
        <v>73.0</v>
      </c>
      <c r="AP190" s="2">
        <v>11.0</v>
      </c>
      <c r="AQ190" s="1">
        <v>27.0</v>
      </c>
      <c r="AR190" s="1">
        <v>27.0</v>
      </c>
      <c r="AS190" s="1" t="s">
        <v>1110</v>
      </c>
      <c r="AT190" s="3" t="str">
        <f>HYPERLINK("https://icf.clappia.com/app/GMB253374/submission/TJW11545272/ICF247370-GMB253374-lfmbkfhi59200000000/SIG-20250702_1126kel2b.jpeg", "SIG-20250702_1126kel2b.jpeg")</f>
        <v>SIG-20250702_1126kel2b.jpeg</v>
      </c>
      <c r="AU190" s="1" t="s">
        <v>1115</v>
      </c>
      <c r="AV190" s="3" t="str">
        <f>HYPERLINK("https://icf.clappia.com/app/GMB253374/submission/TJW11545272/ICF247370-GMB253374-5j36pd23omo600000000/SIG-20250702_1127j14ad.jpeg", "SIG-20250702_1127j14ad.jpeg")</f>
        <v>SIG-20250702_1127j14ad.jpeg</v>
      </c>
      <c r="AW190" s="1" t="s">
        <v>197</v>
      </c>
      <c r="AX190" s="3" t="str">
        <f>HYPERLINK("https://icf.clappia.com/app/GMB253374/submission/TJW11545272/ICF247370-GMB253374-372eimmi8iam00000000/SIG-20250702_11281ai74e.jpeg", "SIG-20250702_11281ai74e.jpeg")</f>
        <v>SIG-20250702_11281ai74e.jpeg</v>
      </c>
      <c r="AY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1116</v>
      </c>
      <c r="B191" s="2" t="s">
        <v>47</v>
      </c>
      <c r="C191" s="1" t="s">
        <v>1117</v>
      </c>
      <c r="D191" s="1" t="s">
        <v>1108</v>
      </c>
      <c r="E191" s="1" t="s">
        <v>1118</v>
      </c>
      <c r="F191" s="1" t="s">
        <v>51</v>
      </c>
      <c r="G191" s="1">
        <v>78.0</v>
      </c>
      <c r="H191" s="1" t="s">
        <v>52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53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54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56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57</v>
      </c>
      <c r="AG191" s="1">
        <v>7.0</v>
      </c>
      <c r="AH191" s="1">
        <v>3.0</v>
      </c>
      <c r="AI191" s="1" t="s">
        <v>55</v>
      </c>
      <c r="AJ191" s="1">
        <v>4.0</v>
      </c>
      <c r="AK191" s="1" t="s">
        <v>55</v>
      </c>
      <c r="AL191" s="1">
        <f t="shared" si="1"/>
        <v>95</v>
      </c>
      <c r="AM191" s="1">
        <v>78.0</v>
      </c>
      <c r="AN191" s="1">
        <v>90.0</v>
      </c>
      <c r="AO191" s="1">
        <v>78.0</v>
      </c>
      <c r="AP191" s="2">
        <v>11.0</v>
      </c>
      <c r="AQ191" s="1">
        <v>0.0</v>
      </c>
      <c r="AR191" s="1">
        <v>0.0</v>
      </c>
      <c r="AS191" s="1" t="s">
        <v>1119</v>
      </c>
      <c r="AT191" s="3" t="str">
        <f>HYPERLINK("https://icf.clappia.com/app/GMB253374/submission/QCR86268719/ICF247370-GMB253374-21a5mpk9fn5ha0000000/SIG-20250630_1321oojnm.jpeg", "SIG-20250630_1321oojnm.jpeg")</f>
        <v>SIG-20250630_1321oojnm.jpeg</v>
      </c>
      <c r="AU191" s="1" t="s">
        <v>1120</v>
      </c>
      <c r="AV191" s="3" t="str">
        <f>HYPERLINK("https://icf.clappia.com/app/GMB253374/submission/QCR86268719/ICF247370-GMB253374-69d34b4oo3l600000000/SIG-20250630_1322711i4.jpeg", "SIG-20250630_1322711i4.jpeg")</f>
        <v>SIG-20250630_1322711i4.jpeg</v>
      </c>
      <c r="AW191" s="1" t="s">
        <v>197</v>
      </c>
      <c r="AX191" s="3" t="str">
        <f>HYPERLINK("https://icf.clappia.com/app/GMB253374/submission/QCR86268719/ICF247370-GMB253374-413o5nkafhba00000000/SIG-20250630_1323110fe.jpeg", "SIG-20250630_1323110fe.jpeg")</f>
        <v>SIG-20250630_1323110fe.jpeg</v>
      </c>
      <c r="AY191" s="3" t="str">
        <f>HYPERLINK("https://www.google.com/maps/place/7.9648994%2C-11.722665", "7.9648994,-11.722665")</f>
        <v>7.9648994,-11.722665</v>
      </c>
    </row>
    <row r="192" ht="15.75" customHeight="1">
      <c r="A192" s="1" t="s">
        <v>1121</v>
      </c>
      <c r="B192" s="2" t="s">
        <v>47</v>
      </c>
      <c r="C192" s="1" t="s">
        <v>1122</v>
      </c>
      <c r="D192" s="1" t="s">
        <v>1122</v>
      </c>
      <c r="E192" s="2" t="s">
        <v>1123</v>
      </c>
      <c r="F192" s="1" t="s">
        <v>51</v>
      </c>
      <c r="G192" s="1">
        <v>250.0</v>
      </c>
      <c r="H192" s="1" t="s">
        <v>52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53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54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56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57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f t="shared" si="1"/>
        <v>250</v>
      </c>
      <c r="AM192" s="1">
        <v>250.0</v>
      </c>
      <c r="AN192" s="1">
        <v>262.0</v>
      </c>
      <c r="AO192" s="1">
        <v>250.0</v>
      </c>
      <c r="AP192" s="2">
        <v>11.0</v>
      </c>
      <c r="AQ192" s="1">
        <v>0.0</v>
      </c>
      <c r="AR192" s="1">
        <v>0.0</v>
      </c>
      <c r="AS192" s="1" t="s">
        <v>1124</v>
      </c>
      <c r="AT192" s="3" t="str">
        <f>HYPERLINK("https://icf.clappia.com/app/GMB253374/submission/CXM16212752/ICF247370-GMB253374-15bkdp1en1nao0000000/SIG-20250704_1246ooi1m.jpeg", "SIG-20250704_1246ooi1m.jpeg")</f>
        <v>SIG-20250704_1246ooi1m.jpeg</v>
      </c>
      <c r="AU192" s="1" t="s">
        <v>1125</v>
      </c>
      <c r="AV192" s="3" t="str">
        <f>HYPERLINK("https://icf.clappia.com/app/GMB253374/submission/CXM16212752/ICF247370-GMB253374-49p5c72d4e8000000000/SIG-20250704_124678c62.jpeg", "SIG-20250704_124678c62.jpeg")</f>
        <v>SIG-20250704_124678c62.jpeg</v>
      </c>
      <c r="AW192" s="1" t="s">
        <v>1126</v>
      </c>
      <c r="AX192" s="3" t="str">
        <f>HYPERLINK("https://icf.clappia.com/app/GMB253374/submission/CXM16212752/ICF247370-GMB253374-m9gi27m792mk0000000/SIG-20250704_12475b1om.jpeg", "SIG-20250704_12475b1om.jpeg")</f>
        <v>SIG-20250704_12475b1om.jpeg</v>
      </c>
      <c r="AY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1127</v>
      </c>
      <c r="B193" s="2" t="s">
        <v>47</v>
      </c>
      <c r="C193" s="1" t="s">
        <v>1128</v>
      </c>
      <c r="D193" s="1" t="s">
        <v>1128</v>
      </c>
      <c r="E193" s="1" t="s">
        <v>1129</v>
      </c>
      <c r="F193" s="1" t="s">
        <v>51</v>
      </c>
      <c r="G193" s="1">
        <v>300.0</v>
      </c>
      <c r="H193" s="1" t="s">
        <v>52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53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54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56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57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f t="shared" si="1"/>
        <v>300</v>
      </c>
      <c r="AM193" s="1">
        <v>300.0</v>
      </c>
      <c r="AN193" s="1">
        <v>312.0</v>
      </c>
      <c r="AO193" s="1">
        <v>265.0</v>
      </c>
      <c r="AP193" s="2">
        <v>11.0</v>
      </c>
      <c r="AQ193" s="1">
        <v>35.0</v>
      </c>
      <c r="AR193" s="1">
        <v>35.0</v>
      </c>
      <c r="AS193" s="1" t="s">
        <v>1130</v>
      </c>
      <c r="AT193" s="3" t="str">
        <f>HYPERLINK("https://icf.clappia.com/app/GMB253374/submission/TTV87927231/ICF247370-GMB253374-1c8gjgijpni5e0000000/SIG-20250704_1239mnbal.jpeg", "SIG-20250704_1239mnbal.jpeg")</f>
        <v>SIG-20250704_1239mnbal.jpeg</v>
      </c>
      <c r="AU193" s="1" t="s">
        <v>947</v>
      </c>
      <c r="AV193" s="3" t="str">
        <f>HYPERLINK("https://icf.clappia.com/app/GMB253374/submission/TTV87927231/ICF247370-GMB253374-425dphi00bb400000000/SIG-20250704_1239go141.jpeg", "SIG-20250704_1239go141.jpeg")</f>
        <v>SIG-20250704_1239go141.jpeg</v>
      </c>
      <c r="AW193" s="1" t="s">
        <v>1131</v>
      </c>
      <c r="AX193" s="3" t="str">
        <f>HYPERLINK("https://icf.clappia.com/app/GMB253374/submission/TTV87927231/ICF247370-GMB253374-3i4n2683ibjo00000000/SIG-20250704_124010191a.jpeg", "SIG-20250704_124010191a.jpeg")</f>
        <v>SIG-20250704_124010191a.jpeg</v>
      </c>
      <c r="AY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1132</v>
      </c>
      <c r="B194" s="2" t="s">
        <v>47</v>
      </c>
      <c r="C194" s="1" t="s">
        <v>1133</v>
      </c>
      <c r="D194" s="1" t="s">
        <v>1134</v>
      </c>
      <c r="E194" s="1" t="s">
        <v>1135</v>
      </c>
      <c r="F194" s="1" t="s">
        <v>51</v>
      </c>
      <c r="G194" s="1">
        <v>419.0</v>
      </c>
      <c r="H194" s="1" t="s">
        <v>52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53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54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56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57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f t="shared" si="1"/>
        <v>419</v>
      </c>
      <c r="AM194" s="1">
        <v>419.0</v>
      </c>
      <c r="AN194" s="1">
        <v>431.0</v>
      </c>
      <c r="AO194" s="1">
        <v>419.0</v>
      </c>
      <c r="AP194" s="2">
        <v>11.0</v>
      </c>
      <c r="AQ194" s="1">
        <v>0.0</v>
      </c>
      <c r="AR194" s="1">
        <v>0.0</v>
      </c>
      <c r="AS194" s="1" t="s">
        <v>1136</v>
      </c>
      <c r="AT194" s="3" t="str">
        <f>HYPERLINK("https://icf.clappia.com/app/GMB253374/submission/YLK37048187/ICF247370-GMB253374-32b7598nmfao00000000/SIG-20250704_123414oa9g.jpeg", "SIG-20250704_123414oa9g.jpeg")</f>
        <v>SIG-20250704_123414oa9g.jpeg</v>
      </c>
      <c r="AU194" s="1" t="s">
        <v>1137</v>
      </c>
      <c r="AV194" s="3" t="str">
        <f>HYPERLINK("https://icf.clappia.com/app/GMB253374/submission/YLK37048187/ICF247370-GMB253374-2bpj2c4p6ol000000000/SIG-20250704_1234148aak.jpeg", "SIG-20250704_1234148aak.jpeg")</f>
        <v>SIG-20250704_1234148aak.jpeg</v>
      </c>
      <c r="AW194" s="1" t="s">
        <v>1138</v>
      </c>
      <c r="AX194" s="3" t="str">
        <f>HYPERLINK("https://icf.clappia.com/app/GMB253374/submission/YLK37048187/ICF247370-GMB253374-297hkdm3hi6dm0000000/SIG-20250704_123515odlo.jpeg", "SIG-20250704_123515odlo.jpeg")</f>
        <v>SIG-20250704_123515odlo.jpeg</v>
      </c>
      <c r="AY194" s="3" t="str">
        <f>HYPERLINK("https://www.google.com/maps/place/8.76712%2C-12.1971367", "8.76712,-12.1971367")</f>
        <v>8.76712,-12.1971367</v>
      </c>
    </row>
    <row r="195" ht="15.75" customHeight="1">
      <c r="A195" s="1" t="s">
        <v>1139</v>
      </c>
      <c r="B195" s="2" t="s">
        <v>47</v>
      </c>
      <c r="C195" s="1" t="s">
        <v>1140</v>
      </c>
      <c r="D195" s="1" t="s">
        <v>1141</v>
      </c>
      <c r="E195" s="1" t="s">
        <v>1142</v>
      </c>
      <c r="F195" s="1" t="s">
        <v>51</v>
      </c>
      <c r="G195" s="1">
        <v>350.0</v>
      </c>
      <c r="H195" s="1" t="s">
        <v>52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53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54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56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57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f t="shared" si="1"/>
        <v>361</v>
      </c>
      <c r="AM195" s="1">
        <v>350.0</v>
      </c>
      <c r="AN195" s="1">
        <v>362.0</v>
      </c>
      <c r="AO195" s="1">
        <v>312.0</v>
      </c>
      <c r="AP195" s="2">
        <v>11.0</v>
      </c>
      <c r="AQ195" s="1">
        <v>38.0</v>
      </c>
      <c r="AR195" s="1">
        <v>38.0</v>
      </c>
      <c r="AS195" s="1" t="s">
        <v>1143</v>
      </c>
      <c r="AT195" s="3" t="str">
        <f>HYPERLINK("https://icf.clappia.com/app/GMB253374/submission/KGC98467343/ICF247370-GMB253374-5922g9mmk8n600000000/SIG-20250704_1226l4fj7.jpeg", "SIG-20250704_1226l4fj7.jpeg")</f>
        <v>SIG-20250704_1226l4fj7.jpeg</v>
      </c>
      <c r="AU195" s="1" t="s">
        <v>1144</v>
      </c>
      <c r="AV195" s="3" t="str">
        <f>HYPERLINK("https://icf.clappia.com/app/GMB253374/submission/KGC98467343/ICF247370-GMB253374-5pbabgi52oeg00000000/SIG-20250704_122768b7.jpeg", "SIG-20250704_122768b7.jpeg")</f>
        <v>SIG-20250704_122768b7.jpeg</v>
      </c>
      <c r="AW195" s="1" t="s">
        <v>1145</v>
      </c>
      <c r="AX195" s="3" t="str">
        <f>HYPERLINK("https://icf.clappia.com/app/GMB253374/submission/KGC98467343/ICF247370-GMB253374-fmbmob5mkfbe0000000/SIG-20250704_12275074n.jpeg", "SIG-20250704_12275074n.jpeg")</f>
        <v>SIG-20250704_12275074n.jpeg</v>
      </c>
      <c r="AY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1146</v>
      </c>
      <c r="B196" s="2" t="s">
        <v>47</v>
      </c>
      <c r="C196" s="1" t="s">
        <v>1147</v>
      </c>
      <c r="D196" s="1" t="s">
        <v>1147</v>
      </c>
      <c r="E196" s="2" t="s">
        <v>1148</v>
      </c>
      <c r="F196" s="1" t="s">
        <v>72</v>
      </c>
      <c r="G196" s="1">
        <v>230.0</v>
      </c>
      <c r="H196" s="1" t="s">
        <v>52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53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54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56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57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f t="shared" si="1"/>
        <v>230</v>
      </c>
      <c r="AM196" s="1">
        <v>230.0</v>
      </c>
      <c r="AN196" s="1">
        <v>242.0</v>
      </c>
      <c r="AO196" s="1">
        <v>230.0</v>
      </c>
      <c r="AP196" s="2">
        <v>11.0</v>
      </c>
      <c r="AQ196" s="1">
        <v>0.0</v>
      </c>
      <c r="AR196" s="1">
        <v>0.0</v>
      </c>
      <c r="AS196" s="1" t="s">
        <v>1149</v>
      </c>
      <c r="AT196" s="3" t="str">
        <f>HYPERLINK("https://icf.clappia.com/app/GMB253374/submission/WQS42744594/ICF247370-GMB253374-55dap8j77l9m00000000/SIG-20250704_11298hn5i.jpeg", "SIG-20250704_11298hn5i.jpeg")</f>
        <v>SIG-20250704_11298hn5i.jpeg</v>
      </c>
      <c r="AU196" s="1" t="s">
        <v>1150</v>
      </c>
      <c r="AV196" s="3" t="str">
        <f>HYPERLINK("https://icf.clappia.com/app/GMB253374/submission/WQS42744594/ICF247370-GMB253374-610c519d6j6e00000000/SIG-20250704_1202aoi89.jpeg", "SIG-20250704_1202aoi89.jpeg")</f>
        <v>SIG-20250704_1202aoi89.jpeg</v>
      </c>
      <c r="AW196" s="1" t="s">
        <v>1151</v>
      </c>
      <c r="AX196" s="3" t="str">
        <f>HYPERLINK("https://icf.clappia.com/app/GMB253374/submission/WQS42744594/ICF247370-GMB253374-198in8g2nmf360000000/SIG-20250704_1204100alg.jpeg", "SIG-20250704_1204100alg.jpeg")</f>
        <v>SIG-20250704_1204100alg.jpeg</v>
      </c>
      <c r="AY196" s="3" t="str">
        <f>HYPERLINK("https://www.google.com/maps/place/8.891335%2C-12.0365433", "8.891335,-12.0365433")</f>
        <v>8.891335,-12.0365433</v>
      </c>
    </row>
    <row r="197" ht="15.75" customHeight="1">
      <c r="A197" s="1" t="s">
        <v>1152</v>
      </c>
      <c r="B197" s="2" t="s">
        <v>47</v>
      </c>
      <c r="C197" s="1" t="s">
        <v>1153</v>
      </c>
      <c r="D197" s="1" t="s">
        <v>1153</v>
      </c>
      <c r="E197" s="1" t="s">
        <v>1154</v>
      </c>
      <c r="F197" s="1" t="s">
        <v>51</v>
      </c>
      <c r="G197" s="1">
        <v>300.0</v>
      </c>
      <c r="H197" s="1" t="s">
        <v>52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53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54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56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57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f t="shared" si="1"/>
        <v>286</v>
      </c>
      <c r="AM197" s="1">
        <v>300.0</v>
      </c>
      <c r="AN197" s="1">
        <v>312.0</v>
      </c>
      <c r="AO197" s="1">
        <v>271.0</v>
      </c>
      <c r="AP197" s="2">
        <v>11.0</v>
      </c>
      <c r="AQ197" s="1">
        <v>29.0</v>
      </c>
      <c r="AR197" s="1">
        <v>29.0</v>
      </c>
      <c r="AS197" s="1" t="s">
        <v>1155</v>
      </c>
      <c r="AT197" s="3" t="str">
        <f>HYPERLINK("https://icf.clappia.com/app/GMB253374/submission/JRE30194883/ICF247370-GMB253374-5o9jlf8f70gm00000000/SIG-20250703_1444o1ip6.jpeg", "SIG-20250703_1444o1ip6.jpeg")</f>
        <v>SIG-20250703_1444o1ip6.jpeg</v>
      </c>
      <c r="AU197" s="1" t="s">
        <v>1156</v>
      </c>
      <c r="AV197" s="3" t="str">
        <f>HYPERLINK("https://icf.clappia.com/app/GMB253374/submission/JRE30194883/ICF247370-GMB253374-64ao0bp125i000000000/SIG-20250704_1204171i2j.jpeg", "SIG-20250704_1204171i2j.jpeg")</f>
        <v>SIG-20250704_1204171i2j.jpeg</v>
      </c>
      <c r="AW197" s="1" t="s">
        <v>1157</v>
      </c>
      <c r="AX197" s="3" t="str">
        <f>HYPERLINK("https://icf.clappia.com/app/GMB253374/submission/JRE30194883/ICF247370-GMB253374-4ob4j5jepjh200000000/SIG-20250704_1204795eh.jpeg", "SIG-20250704_1204795eh.jpeg")</f>
        <v>SIG-20250704_1204795eh.jpeg</v>
      </c>
      <c r="AY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1158</v>
      </c>
      <c r="B198" s="2" t="s">
        <v>47</v>
      </c>
      <c r="C198" s="1" t="s">
        <v>1159</v>
      </c>
      <c r="D198" s="1" t="s">
        <v>1159</v>
      </c>
      <c r="E198" s="2" t="s">
        <v>1160</v>
      </c>
      <c r="F198" s="1" t="s">
        <v>51</v>
      </c>
      <c r="G198" s="1">
        <v>130.0</v>
      </c>
      <c r="H198" s="1" t="s">
        <v>52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53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54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56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57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f t="shared" si="1"/>
        <v>130</v>
      </c>
      <c r="AM198" s="1">
        <v>130.0</v>
      </c>
      <c r="AN198" s="1">
        <v>142.0</v>
      </c>
      <c r="AO198" s="1">
        <v>130.0</v>
      </c>
      <c r="AP198" s="2">
        <v>11.0</v>
      </c>
      <c r="AQ198" s="1">
        <v>0.0</v>
      </c>
      <c r="AR198" s="1">
        <v>0.0</v>
      </c>
      <c r="AS198" s="1" t="s">
        <v>1161</v>
      </c>
      <c r="AT198" s="3" t="str">
        <f>HYPERLINK("https://icf.clappia.com/app/GMB253374/submission/TZE91026943/ICF247370-GMB253374-344m18pa4jmo00000000/SIG-20250704_121316kinh.jpeg", "SIG-20250704_121316kinh.jpeg")</f>
        <v>SIG-20250704_121316kinh.jpeg</v>
      </c>
      <c r="AU198" s="1" t="s">
        <v>1162</v>
      </c>
      <c r="AV198" s="3" t="str">
        <f>HYPERLINK("https://icf.clappia.com/app/GMB253374/submission/TZE91026943/ICF247370-GMB253374-f9aae6a3p7680000000/SIG-20250704_12144nl32.jpeg", "SIG-20250704_12144nl32.jpeg")</f>
        <v>SIG-20250704_12144nl32.jpeg</v>
      </c>
      <c r="AW198" s="1" t="s">
        <v>1163</v>
      </c>
      <c r="AX198" s="3" t="str">
        <f>HYPERLINK("https://icf.clappia.com/app/GMB253374/submission/TZE91026943/ICF247370-GMB253374-36gk8n8pe1ag00000000/SIG-20250704_121316m776.jpeg", "SIG-20250704_121316m776.jpeg")</f>
        <v>SIG-20250704_121316m776.jpeg</v>
      </c>
      <c r="AY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1164</v>
      </c>
      <c r="B199" s="2" t="s">
        <v>47</v>
      </c>
      <c r="C199" s="1" t="s">
        <v>1165</v>
      </c>
      <c r="D199" s="1" t="s">
        <v>1165</v>
      </c>
      <c r="E199" s="1" t="s">
        <v>1166</v>
      </c>
      <c r="F199" s="1" t="s">
        <v>72</v>
      </c>
      <c r="G199" s="1">
        <v>257.0</v>
      </c>
      <c r="H199" s="1" t="s">
        <v>52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53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54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56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57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f t="shared" si="1"/>
        <v>112</v>
      </c>
      <c r="AM199" s="1">
        <v>257.0</v>
      </c>
      <c r="AN199" s="1">
        <v>269.0</v>
      </c>
      <c r="AO199" s="1">
        <v>107.0</v>
      </c>
      <c r="AP199" s="2">
        <v>11.0</v>
      </c>
      <c r="AQ199" s="1">
        <v>150.0</v>
      </c>
      <c r="AR199" s="1">
        <v>150.0</v>
      </c>
      <c r="AS199" s="1" t="s">
        <v>1167</v>
      </c>
      <c r="AT199" s="3" t="str">
        <f>HYPERLINK("https://icf.clappia.com/app/GMB253374/submission/FPM58529300/ICF247370-GMB253374-5bpplejdafi000000000/SIG-20250704_120660co5.jpeg", "SIG-20250704_120660co5.jpeg")</f>
        <v>SIG-20250704_120660co5.jpeg</v>
      </c>
      <c r="AU199" s="1" t="s">
        <v>1168</v>
      </c>
      <c r="AV199" s="3" t="str">
        <f>HYPERLINK("https://icf.clappia.com/app/GMB253374/submission/FPM58529300/ICF247370-GMB253374-4778k550b0bo00000000/SIG-20250704_1207kck10.jpeg", "SIG-20250704_1207kck10.jpeg")</f>
        <v>SIG-20250704_1207kck10.jpeg</v>
      </c>
      <c r="AW199" s="1" t="s">
        <v>1169</v>
      </c>
      <c r="AX199" s="3" t="str">
        <f>HYPERLINK("https://icf.clappia.com/app/GMB253374/submission/FPM58529300/ICF247370-GMB253374-4f12ka82lhoc00000000/SIG-20250704_1208bcmcd.jpeg", "SIG-20250704_1208bcmcd.jpeg")</f>
        <v>SIG-20250704_1208bcmcd.jpeg</v>
      </c>
      <c r="AY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1170</v>
      </c>
      <c r="B200" s="2" t="s">
        <v>47</v>
      </c>
      <c r="C200" s="1" t="s">
        <v>1171</v>
      </c>
      <c r="D200" s="1" t="s">
        <v>1171</v>
      </c>
      <c r="E200" s="1" t="s">
        <v>1172</v>
      </c>
      <c r="F200" s="1" t="s">
        <v>51</v>
      </c>
      <c r="G200" s="1">
        <v>150.0</v>
      </c>
      <c r="H200" s="1" t="s">
        <v>52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53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54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56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57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f t="shared" si="1"/>
        <v>120</v>
      </c>
      <c r="AM200" s="1">
        <v>150.0</v>
      </c>
      <c r="AN200" s="1">
        <v>162.0</v>
      </c>
      <c r="AO200" s="1">
        <v>111.0</v>
      </c>
      <c r="AP200" s="2">
        <v>11.0</v>
      </c>
      <c r="AQ200" s="1">
        <v>39.0</v>
      </c>
      <c r="AR200" s="1">
        <v>39.0</v>
      </c>
      <c r="AS200" s="1" t="s">
        <v>1173</v>
      </c>
      <c r="AT200" s="3" t="str">
        <f>HYPERLINK("https://icf.clappia.com/app/GMB253374/submission/YEJ89733328/ICF247370-GMB253374-jldd71866f8k000000/SIG-20250704_12087g238.jpeg", "SIG-20250704_12087g238.jpeg")</f>
        <v>SIG-20250704_12087g238.jpeg</v>
      </c>
      <c r="AU200" s="1" t="s">
        <v>1174</v>
      </c>
      <c r="AV200" s="3" t="str">
        <f>HYPERLINK("https://icf.clappia.com/app/GMB253374/submission/YEJ89733328/ICF247370-GMB253374-2mkl4100c35a00000000/SIG-20250704_1208m1d5m.jpeg", "SIG-20250704_1208m1d5m.jpeg")</f>
        <v>SIG-20250704_1208m1d5m.jpeg</v>
      </c>
      <c r="AW200" s="1" t="s">
        <v>1175</v>
      </c>
      <c r="AX200" s="3" t="str">
        <f>HYPERLINK("https://icf.clappia.com/app/GMB253374/submission/YEJ89733328/ICF247370-GMB253374-4j9hdcaaeiog00000000/SIG-20250704_120846dbh.jpeg", "SIG-20250704_120846dbh.jpeg")</f>
        <v>SIG-20250704_120846dbh.jpeg</v>
      </c>
      <c r="AY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1176</v>
      </c>
      <c r="B201" s="2" t="s">
        <v>47</v>
      </c>
      <c r="C201" s="1" t="s">
        <v>1177</v>
      </c>
      <c r="D201" s="1" t="s">
        <v>1177</v>
      </c>
      <c r="E201" s="1" t="s">
        <v>1178</v>
      </c>
      <c r="F201" s="1" t="s">
        <v>72</v>
      </c>
      <c r="G201" s="1">
        <v>202.0</v>
      </c>
      <c r="H201" s="1" t="s">
        <v>52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53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54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56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55</v>
      </c>
      <c r="AF201" s="1" t="s">
        <v>57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f t="shared" si="1"/>
        <v>202</v>
      </c>
      <c r="AM201" s="1">
        <v>202.0</v>
      </c>
      <c r="AN201" s="1">
        <v>214.0</v>
      </c>
      <c r="AO201" s="1">
        <v>192.0</v>
      </c>
      <c r="AP201" s="2">
        <v>11.0</v>
      </c>
      <c r="AQ201" s="1">
        <v>10.0</v>
      </c>
      <c r="AR201" s="1">
        <v>10.0</v>
      </c>
      <c r="AS201" s="1" t="s">
        <v>1179</v>
      </c>
      <c r="AT201" s="3" t="str">
        <f>HYPERLINK("https://icf.clappia.com/app/GMB253374/submission/WMC18850856/ICF247370-GMB253374-1m63lb5fp16ai0000000/SIG-20250704_120613gpa0.jpeg", "SIG-20250704_120613gpa0.jpeg")</f>
        <v>SIG-20250704_120613gpa0.jpeg</v>
      </c>
      <c r="AU201" s="1" t="s">
        <v>1180</v>
      </c>
      <c r="AV201" s="3" t="str">
        <f>HYPERLINK("https://icf.clappia.com/app/GMB253374/submission/WMC18850856/ICF247370-GMB253374-2imp0c2jbome00000000/SIG-20250704_12061m381.jpeg", "SIG-20250704_12061m381.jpeg")</f>
        <v>SIG-20250704_12061m381.jpeg</v>
      </c>
      <c r="AW201" s="1" t="s">
        <v>1181</v>
      </c>
      <c r="AX201" s="3" t="str">
        <f>HYPERLINK("https://icf.clappia.com/app/GMB253374/submission/WMC18850856/ICF247370-GMB253374-56cl5ldc7bck0000000/SIG-20250704_120718a0ej.jpeg", "SIG-20250704_120718a0ej.jpeg")</f>
        <v>SIG-20250704_120718a0ej.jpeg</v>
      </c>
      <c r="AY201" s="3" t="str">
        <f>HYPERLINK("https://www.google.com/maps/place/7.6427683%2C-11.7925", "7.6427683,-11.7925")</f>
        <v>7.6427683,-11.7925</v>
      </c>
    </row>
    <row r="202" ht="15.75" customHeight="1">
      <c r="A202" s="1" t="s">
        <v>1182</v>
      </c>
      <c r="B202" s="2" t="s">
        <v>47</v>
      </c>
      <c r="C202" s="1" t="s">
        <v>1177</v>
      </c>
      <c r="D202" s="1" t="s">
        <v>1177</v>
      </c>
      <c r="E202" s="1" t="s">
        <v>1183</v>
      </c>
      <c r="F202" s="1" t="s">
        <v>51</v>
      </c>
      <c r="G202" s="1">
        <v>330.0</v>
      </c>
      <c r="H202" s="1" t="s">
        <v>52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53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54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56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57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f t="shared" si="1"/>
        <v>401</v>
      </c>
      <c r="AM202" s="1">
        <v>330.0</v>
      </c>
      <c r="AN202" s="1">
        <v>342.0</v>
      </c>
      <c r="AO202" s="1">
        <v>330.0</v>
      </c>
      <c r="AP202" s="2">
        <v>11.0</v>
      </c>
      <c r="AQ202" s="1">
        <v>0.0</v>
      </c>
      <c r="AR202" s="1">
        <v>0.0</v>
      </c>
      <c r="AS202" s="1" t="s">
        <v>1184</v>
      </c>
      <c r="AT202" s="3" t="str">
        <f>HYPERLINK("https://icf.clappia.com/app/GMB253374/submission/MWA06417564/ICF247370-GMB253374-5g2kag2kha8e00000000/SIG-20250704_1153nccpo.jpeg", "SIG-20250704_1153nccpo.jpeg")</f>
        <v>SIG-20250704_1153nccpo.jpeg</v>
      </c>
      <c r="AU202" s="1" t="s">
        <v>1185</v>
      </c>
      <c r="AV202" s="3" t="str">
        <f>HYPERLINK("https://icf.clappia.com/app/GMB253374/submission/MWA06417564/ICF247370-GMB253374-cmkcdnle3nli0000000/SIG-20250704_115939n3a.jpeg", "SIG-20250704_115939n3a.jpeg")</f>
        <v>SIG-20250704_115939n3a.jpeg</v>
      </c>
      <c r="AW202" s="1" t="s">
        <v>1186</v>
      </c>
      <c r="AX202" s="3" t="str">
        <f>HYPERLINK("https://icf.clappia.com/app/GMB253374/submission/MWA06417564/ICF247370-GMB253374-2ff28hcadl9200000000/SIG-20250704_1207hkjpg.jpeg", "SIG-20250704_1207hkjpg.jpeg")</f>
        <v>SIG-20250704_1207hkjpg.jpeg</v>
      </c>
      <c r="AY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1187</v>
      </c>
      <c r="B203" s="2" t="s">
        <v>47</v>
      </c>
      <c r="C203" s="1" t="s">
        <v>1188</v>
      </c>
      <c r="D203" s="1" t="s">
        <v>1188</v>
      </c>
      <c r="E203" s="2" t="s">
        <v>1189</v>
      </c>
      <c r="F203" s="1" t="s">
        <v>72</v>
      </c>
      <c r="G203" s="1">
        <v>150.0</v>
      </c>
      <c r="H203" s="1" t="s">
        <v>52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53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54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56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57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f t="shared" si="1"/>
        <v>145</v>
      </c>
      <c r="AM203" s="1">
        <v>150.0</v>
      </c>
      <c r="AN203" s="1">
        <v>162.0</v>
      </c>
      <c r="AO203" s="1">
        <v>145.0</v>
      </c>
      <c r="AP203" s="2">
        <v>11.0</v>
      </c>
      <c r="AQ203" s="1">
        <v>5.0</v>
      </c>
      <c r="AR203" s="1">
        <v>5.0</v>
      </c>
      <c r="AS203" s="1" t="s">
        <v>1190</v>
      </c>
      <c r="AT203" s="3" t="str">
        <f>HYPERLINK("https://icf.clappia.com/app/GMB253374/submission/QIO71548463/ICF247370-GMB253374-3b3hbm5b6bk200000000/SIG-20250704_1200icjn3.jpeg", "SIG-20250704_1200icjn3.jpeg")</f>
        <v>SIG-20250704_1200icjn3.jpeg</v>
      </c>
      <c r="AU203" s="1" t="s">
        <v>1191</v>
      </c>
      <c r="AV203" s="3" t="str">
        <f>HYPERLINK("https://icf.clappia.com/app/GMB253374/submission/QIO71548463/ICF247370-GMB253374-22bgenkm5n26e0000000/SIG-20250704_11592ghd4.jpeg", "SIG-20250704_11592ghd4.jpeg")</f>
        <v>SIG-20250704_11592ghd4.jpeg</v>
      </c>
      <c r="AW203" s="1" t="s">
        <v>1192</v>
      </c>
      <c r="AX203" s="3" t="str">
        <f>HYPERLINK("https://icf.clappia.com/app/GMB253374/submission/QIO71548463/ICF247370-GMB253374-2o67dj7440mg00000000/SIG-20250704_1159ioojj.jpeg", "SIG-20250704_1159ioojj.jpeg")</f>
        <v>SIG-20250704_1159ioojj.jpeg</v>
      </c>
      <c r="AY203" s="3" t="str">
        <f>HYPERLINK("https://www.google.com/maps/place/8.92318%2C-12.0373533", "8.92318,-12.0373533")</f>
        <v>8.92318,-12.0373533</v>
      </c>
    </row>
    <row r="204" ht="15.75" customHeight="1">
      <c r="A204" s="1" t="s">
        <v>1193</v>
      </c>
      <c r="B204" s="2" t="s">
        <v>47</v>
      </c>
      <c r="C204" s="1" t="s">
        <v>1188</v>
      </c>
      <c r="D204" s="1" t="s">
        <v>1188</v>
      </c>
      <c r="E204" s="1" t="s">
        <v>1194</v>
      </c>
      <c r="F204" s="1" t="s">
        <v>51</v>
      </c>
      <c r="G204" s="1">
        <v>150.0</v>
      </c>
      <c r="H204" s="1" t="s">
        <v>52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53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54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56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57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f t="shared" si="1"/>
        <v>169</v>
      </c>
      <c r="AM204" s="1">
        <v>150.0</v>
      </c>
      <c r="AN204" s="1">
        <v>162.0</v>
      </c>
      <c r="AO204" s="1">
        <v>126.0</v>
      </c>
      <c r="AP204" s="2">
        <v>11.0</v>
      </c>
      <c r="AQ204" s="1">
        <v>24.0</v>
      </c>
      <c r="AR204" s="1">
        <v>24.0</v>
      </c>
      <c r="AS204" s="1" t="s">
        <v>866</v>
      </c>
      <c r="AT204" s="3" t="str">
        <f>HYPERLINK("https://icf.clappia.com/app/GMB253374/submission/ULL48649194/ICF247370-GMB253374-1hl8p4hbchon20000000/SIG-20250704_1205i5l4h.jpeg", "SIG-20250704_1205i5l4h.jpeg")</f>
        <v>SIG-20250704_1205i5l4h.jpeg</v>
      </c>
      <c r="AU204" s="1" t="s">
        <v>867</v>
      </c>
      <c r="AV204" s="3" t="str">
        <f>HYPERLINK("https://icf.clappia.com/app/GMB253374/submission/ULL48649194/ICF247370-GMB253374-130cf39gl06ba0000000/SIG-20250704_120562fk.jpeg", "SIG-20250704_120562fk.jpeg")</f>
        <v>SIG-20250704_120562fk.jpeg</v>
      </c>
      <c r="AW204" s="1" t="s">
        <v>868</v>
      </c>
      <c r="AX204" s="3" t="str">
        <f>HYPERLINK("https://icf.clappia.com/app/GMB253374/submission/ULL48649194/ICF247370-GMB253374-64692o44dm6000000000/SIG-20250704_120619h6ln.jpeg", "SIG-20250704_120619h6ln.jpeg")</f>
        <v>SIG-20250704_120619h6ln.jpeg</v>
      </c>
      <c r="AY204" s="3" t="str">
        <f>HYPERLINK("https://www.google.com/maps/place/9.316762%2C-11.9139479", "9.316762,-11.9139479")</f>
        <v>9.316762,-11.9139479</v>
      </c>
    </row>
    <row r="205" ht="15.75" customHeight="1">
      <c r="A205" s="1" t="s">
        <v>1195</v>
      </c>
      <c r="B205" s="2" t="s">
        <v>47</v>
      </c>
      <c r="C205" s="1" t="s">
        <v>1188</v>
      </c>
      <c r="D205" s="1" t="s">
        <v>1188</v>
      </c>
      <c r="E205" s="1" t="s">
        <v>1196</v>
      </c>
      <c r="F205" s="1" t="s">
        <v>51</v>
      </c>
      <c r="G205" s="1">
        <v>298.0</v>
      </c>
      <c r="H205" s="1" t="s">
        <v>52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53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54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56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57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f t="shared" si="1"/>
        <v>340</v>
      </c>
      <c r="AM205" s="1">
        <v>298.0</v>
      </c>
      <c r="AN205" s="1">
        <v>310.0</v>
      </c>
      <c r="AO205" s="1">
        <v>298.0</v>
      </c>
      <c r="AP205" s="2">
        <v>11.0</v>
      </c>
      <c r="AQ205" s="1">
        <v>0.0</v>
      </c>
      <c r="AR205" s="1">
        <v>0.0</v>
      </c>
      <c r="AS205" s="1" t="s">
        <v>1197</v>
      </c>
      <c r="AT205" s="3" t="str">
        <f>HYPERLINK("https://icf.clappia.com/app/GMB253374/submission/FDC19557116/ICF247370-GMB253374-5m4mdbno24ca00000000/SIG-20250703_18081a468n.jpeg", "SIG-20250703_18081a468n.jpeg")</f>
        <v>SIG-20250703_18081a468n.jpeg</v>
      </c>
      <c r="AU205" s="1" t="s">
        <v>1198</v>
      </c>
      <c r="AV205" s="3" t="str">
        <f>HYPERLINK("https://icf.clappia.com/app/GMB253374/submission/FDC19557116/ICF247370-GMB253374-59giogebnha00000000/SIG-20250703_1808gh01g.jpeg", "SIG-20250703_1808gh01g.jpeg")</f>
        <v>SIG-20250703_1808gh01g.jpeg</v>
      </c>
      <c r="AW205" s="1" t="s">
        <v>1199</v>
      </c>
      <c r="AX205" s="3" t="str">
        <f>HYPERLINK("https://icf.clappia.com/app/GMB253374/submission/FDC19557116/ICF247370-GMB253374-4e0k7c2fg9b000000000/SIG-20250703_1808ahmdi.jpeg", "SIG-20250703_1808ahmdi.jpeg")</f>
        <v>SIG-20250703_1808ahmdi.jpeg</v>
      </c>
      <c r="AY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1200</v>
      </c>
      <c r="B206" s="2" t="s">
        <v>47</v>
      </c>
      <c r="C206" s="1" t="s">
        <v>1201</v>
      </c>
      <c r="D206" s="1" t="s">
        <v>1201</v>
      </c>
      <c r="E206" s="1" t="s">
        <v>1202</v>
      </c>
      <c r="F206" s="1" t="s">
        <v>51</v>
      </c>
      <c r="G206" s="1">
        <v>290.0</v>
      </c>
      <c r="H206" s="1" t="s">
        <v>52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53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54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56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57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f t="shared" si="1"/>
        <v>290</v>
      </c>
      <c r="AM206" s="1">
        <v>290.0</v>
      </c>
      <c r="AN206" s="1">
        <v>302.0</v>
      </c>
      <c r="AO206" s="1">
        <v>290.0</v>
      </c>
      <c r="AP206" s="2">
        <v>11.0</v>
      </c>
      <c r="AQ206" s="1">
        <v>0.0</v>
      </c>
      <c r="AR206" s="1">
        <v>0.0</v>
      </c>
      <c r="AS206" s="1" t="s">
        <v>1203</v>
      </c>
      <c r="AT206" s="3" t="str">
        <f>HYPERLINK("https://icf.clappia.com/app/GMB253374/submission/UPH95393051/ICF247370-GMB253374-585a9b7a7ko800000000/SIG-20250704_1203159dfl.jpeg", "SIG-20250704_1203159dfl.jpeg")</f>
        <v>SIG-20250704_1203159dfl.jpeg</v>
      </c>
      <c r="AU206" s="1" t="s">
        <v>1204</v>
      </c>
      <c r="AV206" s="3" t="str">
        <f>HYPERLINK("https://icf.clappia.com/app/GMB253374/submission/UPH95393051/ICF247370-GMB253374-4cgg2k4ff5gg00000000/SIG-20250704_12041466h6.jpeg", "SIG-20250704_12041466h6.jpeg")</f>
        <v>SIG-20250704_12041466h6.jpeg</v>
      </c>
      <c r="AW206" s="1" t="s">
        <v>1205</v>
      </c>
      <c r="AX206" s="3" t="str">
        <f>HYPERLINK("https://icf.clappia.com/app/GMB253374/submission/UPH95393051/ICF247370-GMB253374-4hkbd20m7jcm00000000/SIG-20250704_1205fn0kf.jpeg", "SIG-20250704_1205fn0kf.jpeg")</f>
        <v>SIG-20250704_1205fn0kf.jpeg</v>
      </c>
      <c r="AY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1206</v>
      </c>
      <c r="B207" s="2" t="s">
        <v>47</v>
      </c>
      <c r="C207" s="1" t="s">
        <v>1207</v>
      </c>
      <c r="D207" s="1" t="s">
        <v>1207</v>
      </c>
      <c r="E207" s="2" t="s">
        <v>1208</v>
      </c>
      <c r="F207" s="1" t="s">
        <v>72</v>
      </c>
      <c r="G207" s="1">
        <v>50.0</v>
      </c>
      <c r="H207" s="1" t="s">
        <v>52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53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54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56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57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f t="shared" si="1"/>
        <v>63</v>
      </c>
      <c r="AM207" s="1">
        <v>50.0</v>
      </c>
      <c r="AN207" s="1">
        <v>62.0</v>
      </c>
      <c r="AO207" s="1">
        <v>50.0</v>
      </c>
      <c r="AP207" s="2">
        <v>11.0</v>
      </c>
      <c r="AQ207" s="1">
        <v>0.0</v>
      </c>
      <c r="AR207" s="1">
        <v>0.0</v>
      </c>
      <c r="AS207" s="1" t="s">
        <v>1209</v>
      </c>
      <c r="AT207" s="3" t="str">
        <f>HYPERLINK("https://icf.clappia.com/app/GMB253374/submission/BKH12829293/ICF247370-GMB253374-1n0ceknj03l9g0000000/SIG-20250704_120210k9nf.jpeg", "SIG-20250704_120210k9nf.jpeg")</f>
        <v>SIG-20250704_120210k9nf.jpeg</v>
      </c>
      <c r="AU207" s="1" t="s">
        <v>1210</v>
      </c>
      <c r="AV207" s="3" t="str">
        <f>HYPERLINK("https://icf.clappia.com/app/GMB253374/submission/BKH12829293/ICF247370-GMB253374-4e6j1hgmb6mk00000000/SIG-20250704_1202fhdah.jpeg", "SIG-20250704_1202fhdah.jpeg")</f>
        <v>SIG-20250704_1202fhdah.jpeg</v>
      </c>
      <c r="AW207" s="1" t="s">
        <v>1211</v>
      </c>
      <c r="AX207" s="3" t="str">
        <f>HYPERLINK("https://icf.clappia.com/app/GMB253374/submission/BKH12829293/ICF247370-GMB253374-31k5o93m5mdi00000000/SIG-20250704_1203191j8j.jpeg", "SIG-20250704_1203191j8j.jpeg")</f>
        <v>SIG-20250704_1203191j8j.jpeg</v>
      </c>
      <c r="AY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1212</v>
      </c>
      <c r="B208" s="2" t="s">
        <v>47</v>
      </c>
      <c r="C208" s="1" t="s">
        <v>1213</v>
      </c>
      <c r="D208" s="1" t="s">
        <v>1213</v>
      </c>
      <c r="E208" s="1" t="s">
        <v>1214</v>
      </c>
      <c r="F208" s="1" t="s">
        <v>51</v>
      </c>
      <c r="G208" s="1">
        <v>627.0</v>
      </c>
      <c r="H208" s="1" t="s">
        <v>52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53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54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56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57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f t="shared" si="1"/>
        <v>381</v>
      </c>
      <c r="AM208" s="1">
        <v>627.0</v>
      </c>
      <c r="AN208" s="1">
        <v>639.0</v>
      </c>
      <c r="AO208" s="1">
        <v>377.0</v>
      </c>
      <c r="AP208" s="2">
        <v>11.0</v>
      </c>
      <c r="AQ208" s="1">
        <v>250.0</v>
      </c>
      <c r="AR208" s="1">
        <v>250.0</v>
      </c>
      <c r="AS208" s="1" t="s">
        <v>1215</v>
      </c>
      <c r="AT208" s="3" t="str">
        <f>HYPERLINK("https://icf.clappia.com/app/GMB253374/submission/OQK46475091/ICF247370-GMB253374-3gi7nb8ki9c000000000/SIG-20250704_114911ojoh.jpeg", "SIG-20250704_114911ojoh.jpeg")</f>
        <v>SIG-20250704_114911ojoh.jpeg</v>
      </c>
      <c r="AU208" s="1" t="s">
        <v>1216</v>
      </c>
      <c r="AV208" s="3" t="str">
        <f>HYPERLINK("https://icf.clappia.com/app/GMB253374/submission/OQK46475091/ICF247370-GMB253374-3bob6ioilpd400000000/SIG-20250704_114814ep2.jpeg", "SIG-20250704_114814ep2.jpeg")</f>
        <v>SIG-20250704_114814ep2.jpeg</v>
      </c>
      <c r="AW208" s="1" t="s">
        <v>1217</v>
      </c>
      <c r="AX208" s="3" t="str">
        <f>HYPERLINK("https://icf.clappia.com/app/GMB253374/submission/OQK46475091/ICF247370-GMB253374-561oo7jm16om00000000/SIG-20250704_1149d304d.jpeg", "SIG-20250704_1149d304d.jpeg")</f>
        <v>SIG-20250704_1149d304d.jpeg</v>
      </c>
      <c r="AY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1218</v>
      </c>
      <c r="B209" s="2" t="s">
        <v>47</v>
      </c>
      <c r="C209" s="1" t="s">
        <v>1219</v>
      </c>
      <c r="D209" s="1" t="s">
        <v>1219</v>
      </c>
      <c r="E209" s="1" t="s">
        <v>1220</v>
      </c>
      <c r="F209" s="1" t="s">
        <v>72</v>
      </c>
      <c r="G209" s="1">
        <v>100.0</v>
      </c>
      <c r="H209" s="1" t="s">
        <v>52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53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54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56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57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f t="shared" si="1"/>
        <v>95</v>
      </c>
      <c r="AM209" s="1">
        <v>100.0</v>
      </c>
      <c r="AN209" s="1">
        <v>112.0</v>
      </c>
      <c r="AO209" s="1">
        <v>85.0</v>
      </c>
      <c r="AP209" s="2">
        <v>11.0</v>
      </c>
      <c r="AQ209" s="1">
        <v>15.0</v>
      </c>
      <c r="AR209" s="1">
        <v>15.0</v>
      </c>
      <c r="AS209" s="1" t="s">
        <v>1221</v>
      </c>
      <c r="AT209" s="3" t="str">
        <f>HYPERLINK("https://icf.clappia.com/app/GMB253374/submission/NSM73047874/ICF247370-GMB253374-3eno6hchm6p600000000/SIG-20250704_1156cf7n8.jpeg", "SIG-20250704_1156cf7n8.jpeg")</f>
        <v>SIG-20250704_1156cf7n8.jpeg</v>
      </c>
      <c r="AU209" s="1" t="s">
        <v>1222</v>
      </c>
      <c r="AV209" s="3" t="str">
        <f>HYPERLINK("https://icf.clappia.com/app/GMB253374/submission/NSM73047874/ICF247370-GMB253374-2jpan7b2gc5g00000000/SIG-20250704_1157gm98j.jpeg", "SIG-20250704_1157gm98j.jpeg")</f>
        <v>SIG-20250704_1157gm98j.jpeg</v>
      </c>
      <c r="AW209" s="1" t="s">
        <v>1223</v>
      </c>
      <c r="AX209" s="3" t="str">
        <f>HYPERLINK("https://icf.clappia.com/app/GMB253374/submission/NSM73047874/ICF247370-GMB253374-2epi1home6ga00000000/SIG-20250704_1157bnh6o.jpeg", "SIG-20250704_1157bnh6o.jpeg")</f>
        <v>SIG-20250704_1157bnh6o.jpeg</v>
      </c>
      <c r="AY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1224</v>
      </c>
      <c r="B210" s="2" t="s">
        <v>47</v>
      </c>
      <c r="C210" s="1" t="s">
        <v>1225</v>
      </c>
      <c r="D210" s="1" t="s">
        <v>1225</v>
      </c>
      <c r="E210" s="2" t="s">
        <v>1226</v>
      </c>
      <c r="F210" s="1" t="s">
        <v>72</v>
      </c>
      <c r="G210" s="1">
        <v>250.0</v>
      </c>
      <c r="H210" s="1" t="s">
        <v>52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53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54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56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57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f t="shared" si="1"/>
        <v>252</v>
      </c>
      <c r="AM210" s="1">
        <v>250.0</v>
      </c>
      <c r="AN210" s="1">
        <v>262.0</v>
      </c>
      <c r="AO210" s="1">
        <v>229.0</v>
      </c>
      <c r="AP210" s="2">
        <v>11.0</v>
      </c>
      <c r="AQ210" s="1">
        <v>21.0</v>
      </c>
      <c r="AR210" s="1">
        <v>21.0</v>
      </c>
      <c r="AS210" s="1" t="s">
        <v>1227</v>
      </c>
      <c r="AT210" s="3" t="str">
        <f>HYPERLINK("https://icf.clappia.com/app/GMB253374/submission/HMM08808984/ICF247370-GMB253374-2eaok0che4na00000000/SIG-20250704_1123edk0g.jpeg", "SIG-20250704_1123edk0g.jpeg")</f>
        <v>SIG-20250704_1123edk0g.jpeg</v>
      </c>
      <c r="AU210" s="1" t="s">
        <v>853</v>
      </c>
      <c r="AV210" s="3" t="str">
        <f>HYPERLINK("https://icf.clappia.com/app/GMB253374/submission/HMM08808984/ICF247370-GMB253374-4okc5gkokm0600000000/SIG-20250704_112812ghm0.jpeg", "SIG-20250704_112812ghm0.jpeg")</f>
        <v>SIG-20250704_112812ghm0.jpeg</v>
      </c>
      <c r="AW210" s="1" t="s">
        <v>1228</v>
      </c>
      <c r="AX210" s="3" t="str">
        <f>HYPERLINK("https://icf.clappia.com/app/GMB253374/submission/HMM08808984/ICF247370-GMB253374-2i9pl0egd2me00000000/SIG-20250704_1124nn0d3.jpeg", "SIG-20250704_1124nn0d3.jpeg")</f>
        <v>SIG-20250704_1124nn0d3.jpeg</v>
      </c>
      <c r="AY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1229</v>
      </c>
      <c r="B211" s="2" t="s">
        <v>47</v>
      </c>
      <c r="C211" s="1" t="s">
        <v>1230</v>
      </c>
      <c r="D211" s="1" t="s">
        <v>1230</v>
      </c>
      <c r="E211" s="1" t="s">
        <v>1231</v>
      </c>
      <c r="F211" s="1" t="s">
        <v>72</v>
      </c>
      <c r="G211" s="1">
        <v>100.0</v>
      </c>
      <c r="H211" s="1" t="s">
        <v>52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53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54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56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57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f t="shared" si="1"/>
        <v>100</v>
      </c>
      <c r="AM211" s="1">
        <v>100.0</v>
      </c>
      <c r="AN211" s="1">
        <v>112.0</v>
      </c>
      <c r="AO211" s="1">
        <v>100.0</v>
      </c>
      <c r="AP211" s="2">
        <v>11.0</v>
      </c>
      <c r="AQ211" s="1">
        <v>0.0</v>
      </c>
      <c r="AR211" s="1">
        <v>0.0</v>
      </c>
      <c r="AS211" s="1" t="s">
        <v>1232</v>
      </c>
      <c r="AT211" s="3" t="str">
        <f>HYPERLINK("https://icf.clappia.com/app/GMB253374/submission/AIL94761539/ICF247370-GMB253374-2kc2eebnjfdg00000000/SIG-20250704_103318nai9.jpeg", "SIG-20250704_103318nai9.jpeg")</f>
        <v>SIG-20250704_103318nai9.jpeg</v>
      </c>
      <c r="AU211" s="1" t="s">
        <v>1233</v>
      </c>
      <c r="AV211" s="3" t="str">
        <f>HYPERLINK("https://icf.clappia.com/app/GMB253374/submission/AIL94761539/ICF247370-GMB253374-1lh44i0d6kd0i0000000/SIG-20250704_114814jpl0.jpeg", "SIG-20250704_114814jpl0.jpeg")</f>
        <v>SIG-20250704_114814jpl0.jpeg</v>
      </c>
      <c r="AW211" s="1" t="s">
        <v>1234</v>
      </c>
      <c r="AX211" s="3" t="str">
        <f>HYPERLINK("https://icf.clappia.com/app/GMB253374/submission/AIL94761539/ICF247370-GMB253374-5j06f7b7e10g00000000/SIG-20250704_1148155l61.jpeg", "SIG-20250704_1148155l61.jpeg")</f>
        <v>SIG-20250704_1148155l61.jpeg</v>
      </c>
      <c r="AY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1235</v>
      </c>
      <c r="B212" s="2" t="s">
        <v>47</v>
      </c>
      <c r="C212" s="1" t="s">
        <v>269</v>
      </c>
      <c r="D212" s="1" t="s">
        <v>1236</v>
      </c>
      <c r="E212" s="1" t="s">
        <v>1237</v>
      </c>
      <c r="F212" s="1" t="s">
        <v>51</v>
      </c>
      <c r="G212" s="1">
        <v>150.0</v>
      </c>
      <c r="H212" s="1" t="s">
        <v>52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53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54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56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57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f t="shared" si="1"/>
        <v>124</v>
      </c>
      <c r="AM212" s="1">
        <v>150.0</v>
      </c>
      <c r="AN212" s="1">
        <v>162.0</v>
      </c>
      <c r="AO212" s="1">
        <v>114.0</v>
      </c>
      <c r="AP212" s="2">
        <v>11.0</v>
      </c>
      <c r="AQ212" s="1">
        <v>36.0</v>
      </c>
      <c r="AR212" s="1">
        <v>36.0</v>
      </c>
      <c r="AS212" s="1" t="s">
        <v>591</v>
      </c>
      <c r="AT212" s="3" t="str">
        <f>HYPERLINK("https://icf.clappia.com/app/GMB253374/submission/JDR59605335/ICF247370-GMB253374-56adg1dh59i600000000/SIG-20250703_165519bijc.jpeg", "SIG-20250703_165519bijc.jpeg")</f>
        <v>SIG-20250703_165519bijc.jpeg</v>
      </c>
      <c r="AU212" s="1" t="s">
        <v>592</v>
      </c>
      <c r="AV212" s="3" t="str">
        <f>HYPERLINK("https://icf.clappia.com/app/GMB253374/submission/JDR59605335/ICF247370-GMB253374-428ndo70ahi200000000/SIG-20250703_165546m68.jpeg", "SIG-20250703_165546m68.jpeg")</f>
        <v>SIG-20250703_165546m68.jpeg</v>
      </c>
      <c r="AW212" s="1" t="s">
        <v>593</v>
      </c>
      <c r="AX212" s="3" t="str">
        <f>HYPERLINK("https://icf.clappia.com/app/GMB253374/submission/JDR59605335/ICF247370-GMB253374-oheem325935a0000000/SIG-20250703_1656l54h3.jpeg", "SIG-20250703_1656l54h3.jpeg")</f>
        <v>SIG-20250703_1656l54h3.jpeg</v>
      </c>
      <c r="AY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1238</v>
      </c>
      <c r="B213" s="2" t="s">
        <v>47</v>
      </c>
      <c r="C213" s="1" t="s">
        <v>269</v>
      </c>
      <c r="D213" s="1" t="s">
        <v>269</v>
      </c>
      <c r="E213" s="1" t="s">
        <v>1239</v>
      </c>
      <c r="F213" s="1" t="s">
        <v>51</v>
      </c>
      <c r="G213" s="1">
        <v>200.0</v>
      </c>
      <c r="H213" s="1" t="s">
        <v>52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53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54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56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57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f t="shared" si="1"/>
        <v>183</v>
      </c>
      <c r="AM213" s="1">
        <v>200.0</v>
      </c>
      <c r="AN213" s="1">
        <v>212.0</v>
      </c>
      <c r="AO213" s="1">
        <v>177.0</v>
      </c>
      <c r="AP213" s="2">
        <v>11.0</v>
      </c>
      <c r="AQ213" s="1">
        <v>23.0</v>
      </c>
      <c r="AR213" s="1">
        <v>23.0</v>
      </c>
      <c r="AS213" s="1" t="s">
        <v>1240</v>
      </c>
      <c r="AT213" s="3" t="str">
        <f>HYPERLINK("https://icf.clappia.com/app/GMB253374/submission/KYY83221416/ICF247370-GMB253374-298j6791pp6j20000000/SIG-20250703_110617ihd1.jpeg", "SIG-20250703_110617ihd1.jpeg")</f>
        <v>SIG-20250703_110617ihd1.jpeg</v>
      </c>
      <c r="AU213" s="1" t="s">
        <v>1241</v>
      </c>
      <c r="AV213" s="3" t="str">
        <f>HYPERLINK("https://icf.clappia.com/app/GMB253374/submission/KYY83221416/ICF247370-GMB253374-3hf15h149h8m00000000/SIG-20250703_110620h38.jpeg", "SIG-20250703_110620h38.jpeg")</f>
        <v>SIG-20250703_110620h38.jpeg</v>
      </c>
      <c r="AW213" s="1" t="s">
        <v>1242</v>
      </c>
      <c r="AX213" s="3" t="str">
        <f>HYPERLINK("https://icf.clappia.com/app/GMB253374/submission/KYY83221416/ICF247370-GMB253374-5k5nejdeo00e00000000/SIG-20250703_1107l9l34.jpeg", "SIG-20250703_1107l9l34.jpeg")</f>
        <v>SIG-20250703_1107l9l34.jpeg</v>
      </c>
      <c r="AY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1243</v>
      </c>
      <c r="B214" s="2" t="s">
        <v>47</v>
      </c>
      <c r="C214" s="1" t="s">
        <v>1244</v>
      </c>
      <c r="D214" s="1" t="s">
        <v>1244</v>
      </c>
      <c r="E214" s="2" t="s">
        <v>1245</v>
      </c>
      <c r="F214" s="1" t="s">
        <v>51</v>
      </c>
      <c r="G214" s="1">
        <v>150.0</v>
      </c>
      <c r="H214" s="1" t="s">
        <v>52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53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54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56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57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f t="shared" si="1"/>
        <v>150</v>
      </c>
      <c r="AM214" s="1">
        <v>150.0</v>
      </c>
      <c r="AN214" s="1">
        <v>162.0</v>
      </c>
      <c r="AO214" s="1">
        <v>150.0</v>
      </c>
      <c r="AP214" s="2">
        <v>11.0</v>
      </c>
      <c r="AQ214" s="1">
        <v>0.0</v>
      </c>
      <c r="AR214" s="1">
        <v>0.0</v>
      </c>
      <c r="AS214" s="1" t="s">
        <v>1246</v>
      </c>
      <c r="AT214" s="3" t="str">
        <f>HYPERLINK("https://icf.clappia.com/app/GMB253374/submission/RDV85449286/ICF247370-GMB253374-d89omol87jha0000000/SIG-20250704_111417acja.jpeg", "SIG-20250704_111417acja.jpeg")</f>
        <v>SIG-20250704_111417acja.jpeg</v>
      </c>
      <c r="AU214" s="1" t="s">
        <v>1247</v>
      </c>
      <c r="AV214" s="3" t="str">
        <f>HYPERLINK("https://icf.clappia.com/app/GMB253374/submission/RDV85449286/ICF247370-GMB253374-1fbce3185p45g0000000/SIG-20250704_111512d6eh.jpeg", "SIG-20250704_111512d6eh.jpeg")</f>
        <v>SIG-20250704_111512d6eh.jpeg</v>
      </c>
      <c r="AW214" s="1" t="s">
        <v>1248</v>
      </c>
      <c r="AX214" s="3" t="str">
        <f>HYPERLINK("https://icf.clappia.com/app/GMB253374/submission/RDV85449286/ICF247370-GMB253374-12169knob699i0000000/SIG-20250704_11344f592.jpeg", "SIG-20250704_11344f592.jpeg")</f>
        <v>SIG-20250704_11344f592.jpeg</v>
      </c>
      <c r="AY214" s="3" t="str">
        <f>HYPERLINK("https://www.google.com/maps/place/7.95413%2C-11.7414183", "7.95413,-11.7414183")</f>
        <v>7.95413,-11.7414183</v>
      </c>
    </row>
    <row r="215" ht="15.75" customHeight="1">
      <c r="A215" s="1" t="s">
        <v>1249</v>
      </c>
      <c r="B215" s="2" t="s">
        <v>47</v>
      </c>
      <c r="C215" s="1" t="s">
        <v>1250</v>
      </c>
      <c r="D215" s="1" t="s">
        <v>1250</v>
      </c>
      <c r="E215" s="1" t="s">
        <v>1251</v>
      </c>
      <c r="F215" s="1" t="s">
        <v>51</v>
      </c>
      <c r="G215" s="1">
        <v>359.0</v>
      </c>
      <c r="H215" s="1" t="s">
        <v>52</v>
      </c>
      <c r="I215" s="1">
        <v>57.0</v>
      </c>
      <c r="J215" s="1">
        <v>57.0</v>
      </c>
      <c r="K215" s="1">
        <v>57.0</v>
      </c>
      <c r="L215" s="1" t="s">
        <v>55</v>
      </c>
      <c r="M215" s="1" t="s">
        <v>55</v>
      </c>
      <c r="N215" s="1" t="s">
        <v>53</v>
      </c>
      <c r="O215" s="1">
        <v>60.0</v>
      </c>
      <c r="P215" s="1">
        <v>60.0</v>
      </c>
      <c r="Q215" s="1">
        <v>60.0</v>
      </c>
      <c r="R215" s="1" t="s">
        <v>55</v>
      </c>
      <c r="S215" s="1" t="s">
        <v>55</v>
      </c>
      <c r="T215" s="1" t="s">
        <v>54</v>
      </c>
      <c r="U215" s="1">
        <v>88.0</v>
      </c>
      <c r="V215" s="1">
        <v>88.0</v>
      </c>
      <c r="W215" s="1">
        <v>88.0</v>
      </c>
      <c r="X215" s="1" t="s">
        <v>55</v>
      </c>
      <c r="Y215" s="1" t="s">
        <v>55</v>
      </c>
      <c r="Z215" s="1" t="s">
        <v>56</v>
      </c>
      <c r="AA215" s="1">
        <v>74.0</v>
      </c>
      <c r="AB215" s="1">
        <v>74.0</v>
      </c>
      <c r="AC215" s="1">
        <v>74.0</v>
      </c>
      <c r="AD215" s="1" t="s">
        <v>55</v>
      </c>
      <c r="AE215" s="1" t="s">
        <v>55</v>
      </c>
      <c r="AF215" s="1" t="s">
        <v>57</v>
      </c>
      <c r="AG215" s="1">
        <v>80.0</v>
      </c>
      <c r="AH215" s="1">
        <v>80.0</v>
      </c>
      <c r="AI215" s="1">
        <v>80.0</v>
      </c>
      <c r="AJ215" s="1" t="s">
        <v>55</v>
      </c>
      <c r="AK215" s="1" t="s">
        <v>55</v>
      </c>
      <c r="AL215" s="1">
        <f t="shared" si="1"/>
        <v>359</v>
      </c>
      <c r="AM215" s="1">
        <v>359.0</v>
      </c>
      <c r="AN215" s="1">
        <v>371.0</v>
      </c>
      <c r="AO215" s="1">
        <v>359.0</v>
      </c>
      <c r="AP215" s="2">
        <v>11.0</v>
      </c>
      <c r="AQ215" s="1">
        <v>0.0</v>
      </c>
      <c r="AR215" s="1">
        <v>0.0</v>
      </c>
      <c r="AS215" s="1" t="s">
        <v>1252</v>
      </c>
      <c r="AT215" s="3" t="str">
        <f>HYPERLINK("https://icf.clappia.com/app/GMB253374/submission/ECG59733554/ICF247370-GMB253374-45d1k413ifja00000000/SIG-20250704_11351afp23.jpeg", "SIG-20250704_11351afp23.jpeg")</f>
        <v>SIG-20250704_11351afp23.jpeg</v>
      </c>
      <c r="AU215" s="1" t="s">
        <v>1253</v>
      </c>
      <c r="AV215" s="3" t="str">
        <f>HYPERLINK("https://icf.clappia.com/app/GMB253374/submission/ECG59733554/ICF247370-GMB253374-183hmobog7aj20000000/SIG-20250704_113612g69p.jpeg", "SIG-20250704_113612g69p.jpeg")</f>
        <v>SIG-20250704_113612g69p.jpeg</v>
      </c>
      <c r="AW215" s="1" t="s">
        <v>1254</v>
      </c>
      <c r="AX215" s="3" t="str">
        <f>HYPERLINK("https://icf.clappia.com/app/GMB253374/submission/ECG59733554/ICF247370-GMB253374-2b06ojbp5gcee0000000/SIG-20250704_1136d16m6.jpeg", "SIG-20250704_1136d16m6.jpeg")</f>
        <v>SIG-20250704_1136d16m6.jpeg</v>
      </c>
      <c r="AY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1255</v>
      </c>
      <c r="B216" s="2" t="s">
        <v>47</v>
      </c>
      <c r="C216" s="1" t="s">
        <v>1256</v>
      </c>
      <c r="D216" s="1" t="s">
        <v>1257</v>
      </c>
      <c r="E216" s="1" t="s">
        <v>1258</v>
      </c>
      <c r="F216" s="1" t="s">
        <v>51</v>
      </c>
      <c r="G216" s="1">
        <v>269.0</v>
      </c>
      <c r="H216" s="1" t="s">
        <v>52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53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54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56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57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f t="shared" si="1"/>
        <v>269</v>
      </c>
      <c r="AM216" s="1">
        <v>269.0</v>
      </c>
      <c r="AN216" s="1">
        <v>281.0</v>
      </c>
      <c r="AO216" s="1">
        <v>269.0</v>
      </c>
      <c r="AP216" s="2">
        <v>11.0</v>
      </c>
      <c r="AQ216" s="1">
        <v>0.0</v>
      </c>
      <c r="AR216" s="1">
        <v>0.0</v>
      </c>
      <c r="AS216" s="1" t="s">
        <v>1259</v>
      </c>
      <c r="AT216" s="3" t="str">
        <f>HYPERLINK("https://icf.clappia.com/app/GMB253374/submission/KYJ24409206/ICF247370-GMB253374-3jgijljdd7ig00000000/SIG-20250704_105119pk7i.jpeg", "SIG-20250704_105119pk7i.jpeg")</f>
        <v>SIG-20250704_105119pk7i.jpeg</v>
      </c>
      <c r="AU216" s="1" t="s">
        <v>1260</v>
      </c>
      <c r="AV216" s="3" t="str">
        <f>HYPERLINK("https://icf.clappia.com/app/GMB253374/submission/KYJ24409206/ICF247370-GMB253374-3kj67pjc1gdi00000000/SIG-20250704_105210c14p.jpeg", "SIG-20250704_105210c14p.jpeg")</f>
        <v>SIG-20250704_105210c14p.jpeg</v>
      </c>
      <c r="AW216" s="1" t="s">
        <v>1261</v>
      </c>
      <c r="AX216" s="3" t="str">
        <f>HYPERLINK("https://icf.clappia.com/app/GMB253374/submission/KYJ24409206/ICF247370-GMB253374-47ggnlk55h5600000000/SIG-20250704_105211436i.jpeg", "SIG-20250704_105211436i.jpeg")</f>
        <v>SIG-20250704_105211436i.jpeg</v>
      </c>
      <c r="AY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1262</v>
      </c>
      <c r="B217" s="2" t="s">
        <v>47</v>
      </c>
      <c r="C217" s="1" t="s">
        <v>1263</v>
      </c>
      <c r="D217" s="1" t="s">
        <v>1263</v>
      </c>
      <c r="E217" s="2" t="s">
        <v>1264</v>
      </c>
      <c r="F217" s="1" t="s">
        <v>51</v>
      </c>
      <c r="G217" s="1">
        <v>276.0</v>
      </c>
      <c r="H217" s="1" t="s">
        <v>52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53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54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56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57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f t="shared" si="1"/>
        <v>281</v>
      </c>
      <c r="AM217" s="1">
        <v>276.0</v>
      </c>
      <c r="AN217" s="1">
        <v>288.0</v>
      </c>
      <c r="AO217" s="1">
        <v>276.0</v>
      </c>
      <c r="AP217" s="2">
        <v>11.0</v>
      </c>
      <c r="AQ217" s="1">
        <v>0.0</v>
      </c>
      <c r="AR217" s="1">
        <v>0.0</v>
      </c>
      <c r="AS217" s="1" t="s">
        <v>815</v>
      </c>
      <c r="AT217" s="3" t="str">
        <f>HYPERLINK("https://icf.clappia.com/app/GMB253374/submission/RMR97027300/ICF247370-GMB253374-276ppo69864h60000000/SIG-20250704_11308ck6o.jpeg", "SIG-20250704_11308ck6o.jpeg")</f>
        <v>SIG-20250704_11308ck6o.jpeg</v>
      </c>
      <c r="AU217" s="1" t="s">
        <v>816</v>
      </c>
      <c r="AV217" s="3" t="str">
        <f>HYPERLINK("https://icf.clappia.com/app/GMB253374/submission/RMR97027300/ICF247370-GMB253374-27776dph3eb4c0000000/SIG-20250704_1131i1f1d.jpeg", "SIG-20250704_1131i1f1d.jpeg")</f>
        <v>SIG-20250704_1131i1f1d.jpeg</v>
      </c>
      <c r="AW217" s="1" t="s">
        <v>817</v>
      </c>
      <c r="AX217" s="3" t="str">
        <f>HYPERLINK("https://icf.clappia.com/app/GMB253374/submission/RMR97027300/ICF247370-GMB253374-4o0lof7i0akc00000000/SIG-20250704_1131bb105.jpeg", "SIG-20250704_1131bb105.jpeg")</f>
        <v>SIG-20250704_1131bb105.jpeg</v>
      </c>
      <c r="AY217" s="3" t="str">
        <f>HYPERLINK("https://www.google.com/maps/place/9.1569895%2C-11.961181", "9.1569895,-11.961181")</f>
        <v>9.1569895,-11.961181</v>
      </c>
    </row>
    <row r="218" ht="15.75" customHeight="1">
      <c r="A218" s="1" t="s">
        <v>1265</v>
      </c>
      <c r="B218" s="2" t="s">
        <v>47</v>
      </c>
      <c r="C218" s="1" t="s">
        <v>1266</v>
      </c>
      <c r="D218" s="1" t="s">
        <v>1266</v>
      </c>
      <c r="E218" s="1" t="s">
        <v>1267</v>
      </c>
      <c r="F218" s="1" t="s">
        <v>51</v>
      </c>
      <c r="G218" s="1">
        <v>550.0</v>
      </c>
      <c r="H218" s="1" t="s">
        <v>52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53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54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56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57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f t="shared" si="1"/>
        <v>511</v>
      </c>
      <c r="AM218" s="1">
        <v>550.0</v>
      </c>
      <c r="AN218" s="1">
        <v>562.0</v>
      </c>
      <c r="AO218" s="1">
        <v>350.0</v>
      </c>
      <c r="AP218" s="2">
        <v>11.0</v>
      </c>
      <c r="AQ218" s="1">
        <v>200.0</v>
      </c>
      <c r="AR218" s="1">
        <v>200.0</v>
      </c>
      <c r="AS218" s="1" t="s">
        <v>1268</v>
      </c>
      <c r="AT218" s="3" t="str">
        <f>HYPERLINK("https://icf.clappia.com/app/GMB253374/submission/MKE01466305/ICF247370-GMB253374-3jhibo43pabk00000000/SIG-20250704_11278mg9g.jpeg", "SIG-20250704_11278mg9g.jpeg")</f>
        <v>SIG-20250704_11278mg9g.jpeg</v>
      </c>
      <c r="AU218" s="1" t="s">
        <v>1269</v>
      </c>
      <c r="AV218" s="3" t="str">
        <f>HYPERLINK("https://icf.clappia.com/app/GMB253374/submission/MKE01466305/ICF247370-GMB253374-4dmi4gg8p42g00000000/SIG-20250704_1128dpb39.jpeg", "SIG-20250704_1128dpb39.jpeg")</f>
        <v>SIG-20250704_1128dpb39.jpeg</v>
      </c>
      <c r="AW218" s="1" t="s">
        <v>1270</v>
      </c>
      <c r="AX218" s="3" t="str">
        <f>HYPERLINK("https://icf.clappia.com/app/GMB253374/submission/MKE01466305/ICF247370-GMB253374-cmhe6jigo46c0000000/SIG-20250704_11293in7o.jpeg", "SIG-20250704_11293in7o.jpeg")</f>
        <v>SIG-20250704_11293in7o.jpeg</v>
      </c>
      <c r="AY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1271</v>
      </c>
      <c r="B219" s="2" t="s">
        <v>47</v>
      </c>
      <c r="C219" s="1" t="s">
        <v>1266</v>
      </c>
      <c r="D219" s="1" t="s">
        <v>1266</v>
      </c>
      <c r="E219" s="1" t="s">
        <v>1267</v>
      </c>
      <c r="F219" s="1" t="s">
        <v>51</v>
      </c>
      <c r="G219" s="1">
        <v>550.0</v>
      </c>
      <c r="H219" s="1" t="s">
        <v>52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53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54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56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57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f t="shared" si="1"/>
        <v>511</v>
      </c>
      <c r="AM219" s="1">
        <v>550.0</v>
      </c>
      <c r="AN219" s="1">
        <v>562.0</v>
      </c>
      <c r="AO219" s="1">
        <v>350.0</v>
      </c>
      <c r="AP219" s="2">
        <v>11.0</v>
      </c>
      <c r="AQ219" s="1">
        <v>200.0</v>
      </c>
      <c r="AR219" s="1">
        <v>200.0</v>
      </c>
      <c r="AS219" s="1" t="s">
        <v>1272</v>
      </c>
      <c r="AT219" s="3" t="str">
        <f>HYPERLINK("https://icf.clappia.com/app/GMB253374/submission/AMC51105560/ICF247370-GMB253374-394bg6p8p1eg00000000/SIG-20250704_1127dfpd.jpeg", "SIG-20250704_1127dfpd.jpeg")</f>
        <v>SIG-20250704_1127dfpd.jpeg</v>
      </c>
      <c r="AU219" s="1" t="s">
        <v>1269</v>
      </c>
      <c r="AV219" s="3" t="str">
        <f>HYPERLINK("https://icf.clappia.com/app/GMB253374/submission/AMC51105560/ICF247370-GMB253374-35jn6cmcfc1m00000000/SIG-20250704_1125cljd6.jpeg", "SIG-20250704_1125cljd6.jpeg")</f>
        <v>SIG-20250704_1125cljd6.jpeg</v>
      </c>
      <c r="AW219" s="1" t="s">
        <v>1270</v>
      </c>
      <c r="AX219" s="3" t="str">
        <f>HYPERLINK("https://icf.clappia.com/app/GMB253374/submission/AMC51105560/ICF247370-GMB253374-3j5h207kgfge00000000/SIG-20250704_112817eig4.jpeg", "SIG-20250704_112817eig4.jpeg")</f>
        <v>SIG-20250704_112817eig4.jpeg</v>
      </c>
      <c r="AY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1273</v>
      </c>
      <c r="B220" s="2" t="s">
        <v>47</v>
      </c>
      <c r="C220" s="1" t="s">
        <v>1274</v>
      </c>
      <c r="D220" s="1" t="s">
        <v>1274</v>
      </c>
      <c r="E220" s="1" t="s">
        <v>1275</v>
      </c>
      <c r="F220" s="1" t="s">
        <v>51</v>
      </c>
      <c r="G220" s="1">
        <v>252.0</v>
      </c>
      <c r="H220" s="1" t="s">
        <v>52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53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54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56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57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f t="shared" si="1"/>
        <v>242</v>
      </c>
      <c r="AM220" s="1">
        <v>252.0</v>
      </c>
      <c r="AN220" s="1">
        <v>264.0</v>
      </c>
      <c r="AO220" s="1">
        <v>120.0</v>
      </c>
      <c r="AP220" s="2">
        <v>11.0</v>
      </c>
      <c r="AQ220" s="1">
        <v>132.0</v>
      </c>
      <c r="AR220" s="1">
        <v>132.0</v>
      </c>
      <c r="AS220" s="1" t="s">
        <v>1276</v>
      </c>
      <c r="AT220" s="3" t="str">
        <f>HYPERLINK("https://icf.clappia.com/app/GMB253374/submission/XOQ15459052/ICF247370-GMB253374-461136b26bii00000000/SIG-20250704_112680hlf.jpeg", "SIG-20250704_112680hlf.jpeg")</f>
        <v>SIG-20250704_112680hlf.jpeg</v>
      </c>
      <c r="AU220" s="1" t="s">
        <v>1277</v>
      </c>
      <c r="AV220" s="3" t="str">
        <f>HYPERLINK("https://icf.clappia.com/app/GMB253374/submission/XOQ15459052/ICF247370-GMB253374-2ibnjdj29n7800000000/SIG-20250704_112797c24.jpeg", "SIG-20250704_112797c24.jpeg")</f>
        <v>SIG-20250704_112797c24.jpeg</v>
      </c>
      <c r="AW220" s="1" t="s">
        <v>1278</v>
      </c>
      <c r="AX220" s="3" t="str">
        <f>HYPERLINK("https://icf.clappia.com/app/GMB253374/submission/XOQ15459052/ICF247370-GMB253374-4o8gg0m9m92m00000000/SIG-20250704_112853n3h.jpeg", "SIG-20250704_112853n3h.jpeg")</f>
        <v>SIG-20250704_112853n3h.jpeg</v>
      </c>
      <c r="AY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1279</v>
      </c>
      <c r="B221" s="2" t="s">
        <v>47</v>
      </c>
      <c r="C221" s="1" t="s">
        <v>1280</v>
      </c>
      <c r="D221" s="1" t="s">
        <v>1280</v>
      </c>
      <c r="E221" s="1" t="s">
        <v>1281</v>
      </c>
      <c r="F221" s="1" t="s">
        <v>72</v>
      </c>
      <c r="G221" s="1">
        <v>208.0</v>
      </c>
      <c r="H221" s="1" t="s">
        <v>52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53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54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56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57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f t="shared" si="1"/>
        <v>208</v>
      </c>
      <c r="AM221" s="1">
        <v>208.0</v>
      </c>
      <c r="AN221" s="1">
        <v>220.0</v>
      </c>
      <c r="AO221" s="1">
        <v>195.0</v>
      </c>
      <c r="AP221" s="2">
        <v>11.0</v>
      </c>
      <c r="AQ221" s="1">
        <v>13.0</v>
      </c>
      <c r="AR221" s="1">
        <v>13.0</v>
      </c>
      <c r="AS221" s="1" t="s">
        <v>993</v>
      </c>
      <c r="AT221" s="3" t="str">
        <f>HYPERLINK("https://icf.clappia.com/app/GMB253374/submission/ZAT89140118/ICF247370-GMB253374-1bb4bjmhjbico0000000/SIG-20250704_11241571m5.jpeg", "SIG-20250704_11241571m5.jpeg")</f>
        <v>SIG-20250704_11241571m5.jpeg</v>
      </c>
      <c r="AU221" s="1" t="s">
        <v>994</v>
      </c>
      <c r="AV221" s="3" t="str">
        <f>HYPERLINK("https://icf.clappia.com/app/GMB253374/submission/ZAT89140118/ICF247370-GMB253374-31de2g9cae1a00000000/SIG-20250704_11261lh0.jpeg", "SIG-20250704_11261lh0.jpeg")</f>
        <v>SIG-20250704_11261lh0.jpeg</v>
      </c>
      <c r="AW221" s="1" t="s">
        <v>1282</v>
      </c>
      <c r="AX221" s="3" t="str">
        <f>HYPERLINK("https://icf.clappia.com/app/GMB253374/submission/ZAT89140118/ICF247370-GMB253374-4ce17f8693h400000000/SIG-20250704_1125j728a.jpeg", "SIG-20250704_1125j728a.jpeg")</f>
        <v>SIG-20250704_1125j728a.jpeg</v>
      </c>
      <c r="AY221" s="3" t="str">
        <f>HYPERLINK("https://www.google.com/maps/place/7.969505%2C-11.7307867", "7.969505,-11.7307867")</f>
        <v>7.969505,-11.7307867</v>
      </c>
    </row>
    <row r="222" ht="15.75" customHeight="1">
      <c r="A222" s="1" t="s">
        <v>1283</v>
      </c>
      <c r="B222" s="2" t="s">
        <v>47</v>
      </c>
      <c r="C222" s="1" t="s">
        <v>1284</v>
      </c>
      <c r="D222" s="1" t="s">
        <v>1284</v>
      </c>
      <c r="E222" s="1" t="s">
        <v>1285</v>
      </c>
      <c r="F222" s="1" t="s">
        <v>51</v>
      </c>
      <c r="G222" s="1">
        <v>55.0</v>
      </c>
      <c r="H222" s="1" t="s">
        <v>52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53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54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56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57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f t="shared" si="1"/>
        <v>39</v>
      </c>
      <c r="AM222" s="1">
        <v>55.0</v>
      </c>
      <c r="AN222" s="1">
        <v>67.0</v>
      </c>
      <c r="AO222" s="1">
        <v>32.0</v>
      </c>
      <c r="AP222" s="2">
        <v>11.0</v>
      </c>
      <c r="AQ222" s="1">
        <v>23.0</v>
      </c>
      <c r="AR222" s="1">
        <v>23.0</v>
      </c>
      <c r="AS222" s="1" t="s">
        <v>1286</v>
      </c>
      <c r="AT222" s="3" t="str">
        <f>HYPERLINK("https://icf.clappia.com/app/GMB253374/submission/FKG60065414/ICF247370-GMB253374-3l2a2hbfdo0g00000000/SIG-20250704_1121219bb.jpeg", "SIG-20250704_1121219bb.jpeg")</f>
        <v>SIG-20250704_1121219bb.jpeg</v>
      </c>
      <c r="AU222" s="1" t="s">
        <v>1287</v>
      </c>
      <c r="AV222" s="3" t="str">
        <f>HYPERLINK("https://icf.clappia.com/app/GMB253374/submission/FKG60065414/ICF247370-GMB253374-5imioke5m44i00000000/SIG-20250704_112218dkl2.jpeg", "SIG-20250704_112218dkl2.jpeg")</f>
        <v>SIG-20250704_112218dkl2.jpeg</v>
      </c>
      <c r="AW222" s="1" t="s">
        <v>1288</v>
      </c>
      <c r="AX222" s="3" t="str">
        <f>HYPERLINK("https://icf.clappia.com/app/GMB253374/submission/FKG60065414/ICF247370-GMB253374-1gf6lgdpa4iec0000000/SIG-20250704_11231607h2.jpeg", "SIG-20250704_11231607h2.jpeg")</f>
        <v>SIG-20250704_11231607h2.jpeg</v>
      </c>
      <c r="AY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1289</v>
      </c>
      <c r="B223" s="2" t="s">
        <v>47</v>
      </c>
      <c r="C223" s="1" t="s">
        <v>1290</v>
      </c>
      <c r="D223" s="1" t="s">
        <v>1290</v>
      </c>
      <c r="E223" s="1" t="s">
        <v>1291</v>
      </c>
      <c r="F223" s="1" t="s">
        <v>51</v>
      </c>
      <c r="G223" s="1">
        <v>200.0</v>
      </c>
      <c r="H223" s="1" t="s">
        <v>52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53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54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56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57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f t="shared" si="1"/>
        <v>231</v>
      </c>
      <c r="AM223" s="1">
        <v>200.0</v>
      </c>
      <c r="AN223" s="1">
        <v>212.0</v>
      </c>
      <c r="AO223" s="1">
        <v>165.0</v>
      </c>
      <c r="AP223" s="2">
        <v>11.0</v>
      </c>
      <c r="AQ223" s="1">
        <v>35.0</v>
      </c>
      <c r="AR223" s="1">
        <v>35.0</v>
      </c>
      <c r="AS223" s="1" t="s">
        <v>1292</v>
      </c>
      <c r="AT223" s="3" t="str">
        <f>HYPERLINK("https://icf.clappia.com/app/GMB253374/submission/WIK08507254/ICF247370-GMB253374-2o5np2adgedi00000000/SIG-20250704_112410lde8.jpeg", "SIG-20250704_112410lde8.jpeg")</f>
        <v>SIG-20250704_112410lde8.jpeg</v>
      </c>
      <c r="AU223" s="1" t="s">
        <v>1293</v>
      </c>
      <c r="AV223" s="3" t="str">
        <f>HYPERLINK("https://icf.clappia.com/app/GMB253374/submission/WIK08507254/ICF247370-GMB253374-1jm888el2od920000000/SIG-20250704_112317i4k.jpeg", "SIG-20250704_112317i4k.jpeg")</f>
        <v>SIG-20250704_112317i4k.jpeg</v>
      </c>
      <c r="AW223" s="1" t="s">
        <v>1294</v>
      </c>
      <c r="AX223" s="3" t="str">
        <f>HYPERLINK("https://icf.clappia.com/app/GMB253374/submission/WIK08507254/ICF247370-GMB253374-1mjm2h7cjg3jg0000000/SIG-20250704_11241g0pa.jpeg", "SIG-20250704_11241g0pa.jpeg")</f>
        <v>SIG-20250704_11241g0pa.jpeg</v>
      </c>
      <c r="AY223" s="3" t="str">
        <f>HYPERLINK("https://www.google.com/maps/place/9.32894%2C-11.8555533", "9.32894,-11.8555533")</f>
        <v>9.32894,-11.8555533</v>
      </c>
    </row>
    <row r="224" ht="15.75" customHeight="1">
      <c r="A224" s="1" t="s">
        <v>1295</v>
      </c>
      <c r="B224" s="2" t="s">
        <v>47</v>
      </c>
      <c r="C224" s="1" t="s">
        <v>1296</v>
      </c>
      <c r="D224" s="1" t="s">
        <v>1296</v>
      </c>
      <c r="E224" s="1" t="s">
        <v>1297</v>
      </c>
      <c r="F224" s="1" t="s">
        <v>51</v>
      </c>
      <c r="G224" s="1">
        <v>58.0</v>
      </c>
      <c r="H224" s="1" t="s">
        <v>52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53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54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56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57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f t="shared" si="1"/>
        <v>58</v>
      </c>
      <c r="AM224" s="1">
        <v>58.0</v>
      </c>
      <c r="AN224" s="1">
        <v>70.0</v>
      </c>
      <c r="AO224" s="1">
        <v>58.0</v>
      </c>
      <c r="AP224" s="2">
        <v>11.0</v>
      </c>
      <c r="AQ224" s="1">
        <v>0.0</v>
      </c>
      <c r="AR224" s="1">
        <v>0.0</v>
      </c>
      <c r="AS224" s="1" t="s">
        <v>1080</v>
      </c>
      <c r="AT224" s="3" t="str">
        <f>HYPERLINK("https://icf.clappia.com/app/GMB253374/submission/FYV11281833/ICF247370-GMB253374-90hd2f7h6om00000000/SIG-20250704_111513cmne.jpeg", "SIG-20250704_111513cmne.jpeg")</f>
        <v>SIG-20250704_111513cmne.jpeg</v>
      </c>
      <c r="AU224" s="1" t="s">
        <v>1298</v>
      </c>
      <c r="AV224" s="3" t="str">
        <f>HYPERLINK("https://icf.clappia.com/app/GMB253374/submission/FYV11281833/ICF247370-GMB253374-593ef39nol6800000000/SIG-20250704_1115o5a57.jpeg", "SIG-20250704_1115o5a57.jpeg")</f>
        <v>SIG-20250704_1115o5a57.jpeg</v>
      </c>
      <c r="AW224" s="1" t="s">
        <v>1082</v>
      </c>
      <c r="AX224" s="3" t="str">
        <f>HYPERLINK("https://icf.clappia.com/app/GMB253374/submission/FYV11281833/ICF247370-GMB253374-4b464fa2dcna00000000/SIG-20250704_11001aa5fp.jpeg", "SIG-20250704_11001aa5fp.jpeg")</f>
        <v>SIG-20250704_11001aa5fp.jpeg</v>
      </c>
      <c r="AY224" s="3" t="str">
        <f>HYPERLINK("https://www.google.com/maps/place/7.9208343%2C-12.0227444", "7.9208343,-12.0227444")</f>
        <v>7.9208343,-12.0227444</v>
      </c>
    </row>
    <row r="225" ht="15.75" customHeight="1">
      <c r="A225" s="1" t="s">
        <v>1299</v>
      </c>
      <c r="B225" s="2" t="s">
        <v>47</v>
      </c>
      <c r="C225" s="1" t="s">
        <v>1300</v>
      </c>
      <c r="D225" s="1" t="s">
        <v>1300</v>
      </c>
      <c r="E225" s="1" t="s">
        <v>1301</v>
      </c>
      <c r="F225" s="1" t="s">
        <v>51</v>
      </c>
      <c r="G225" s="1">
        <v>100.0</v>
      </c>
      <c r="H225" s="1" t="s">
        <v>52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53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54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56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57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f t="shared" si="1"/>
        <v>100</v>
      </c>
      <c r="AM225" s="1">
        <v>100.0</v>
      </c>
      <c r="AN225" s="1">
        <v>112.0</v>
      </c>
      <c r="AO225" s="1">
        <v>100.0</v>
      </c>
      <c r="AP225" s="2">
        <v>11.0</v>
      </c>
      <c r="AQ225" s="1">
        <v>0.0</v>
      </c>
      <c r="AR225" s="1">
        <v>0.0</v>
      </c>
      <c r="AS225" s="1" t="s">
        <v>1302</v>
      </c>
      <c r="AT225" s="3" t="str">
        <f>HYPERLINK("https://icf.clappia.com/app/GMB253374/submission/MTO20739686/ICF247370-GMB253374-jfam19bkd1360000000/SIG-20250704_1114d912b.jpeg", "SIG-20250704_1114d912b.jpeg")</f>
        <v>SIG-20250704_1114d912b.jpeg</v>
      </c>
      <c r="AU225" s="1" t="s">
        <v>1303</v>
      </c>
      <c r="AV225" s="3" t="str">
        <f>HYPERLINK("https://icf.clappia.com/app/GMB253374/submission/MTO20739686/ICF247370-GMB253374-3787ljid2df200000000/SIG-20250704_111318kinm.jpeg", "SIG-20250704_111318kinm.jpeg")</f>
        <v>SIG-20250704_111318kinm.jpeg</v>
      </c>
      <c r="AW225" s="1" t="s">
        <v>1304</v>
      </c>
      <c r="AX225" s="3" t="str">
        <f>HYPERLINK("https://icf.clappia.com/app/GMB253374/submission/MTO20739686/ICF247370-GMB253374-30jf367j2kb600000000/SIG-20250704_11151a00dg.jpeg", "SIG-20250704_11151a00dg.jpeg")</f>
        <v>SIG-20250704_11151a00dg.jpeg</v>
      </c>
      <c r="AY225" s="3" t="str">
        <f>HYPERLINK("https://www.google.com/maps/place/7.7985%2C-11.864815", "7.7985,-11.864815")</f>
        <v>7.7985,-11.864815</v>
      </c>
    </row>
    <row r="226" ht="15.75" customHeight="1">
      <c r="A226" s="1" t="s">
        <v>1305</v>
      </c>
      <c r="B226" s="2" t="s">
        <v>47</v>
      </c>
      <c r="C226" s="1" t="s">
        <v>1306</v>
      </c>
      <c r="D226" s="1" t="s">
        <v>1306</v>
      </c>
      <c r="E226" s="2" t="s">
        <v>1307</v>
      </c>
      <c r="F226" s="1" t="s">
        <v>51</v>
      </c>
      <c r="G226" s="1">
        <v>129.0</v>
      </c>
      <c r="H226" s="1" t="s">
        <v>52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53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54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56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57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f t="shared" si="1"/>
        <v>254</v>
      </c>
      <c r="AM226" s="1">
        <v>129.0</v>
      </c>
      <c r="AN226" s="1">
        <v>141.0</v>
      </c>
      <c r="AO226" s="1">
        <v>127.0</v>
      </c>
      <c r="AP226" s="2">
        <v>11.0</v>
      </c>
      <c r="AQ226" s="1">
        <v>2.0</v>
      </c>
      <c r="AR226" s="1">
        <v>2.0</v>
      </c>
      <c r="AS226" s="1" t="s">
        <v>1308</v>
      </c>
      <c r="AT226" s="3" t="str">
        <f>HYPERLINK("https://icf.clappia.com/app/GMB253374/submission/JJE64774877/ICF247370-GMB253374-12o7ghhcfk9la0000000/SIG-20250704_1112f00fp.jpeg", "SIG-20250704_1112f00fp.jpeg")</f>
        <v>SIG-20250704_1112f00fp.jpeg</v>
      </c>
      <c r="AU226" s="1" t="s">
        <v>1309</v>
      </c>
      <c r="AV226" s="3" t="str">
        <f>HYPERLINK("https://icf.clappia.com/app/GMB253374/submission/JJE64774877/ICF247370-GMB253374-4cnf71h2ah2g00000000/SIG-20250704_11121a32ba.jpeg", "SIG-20250704_11121a32ba.jpeg")</f>
        <v>SIG-20250704_11121a32ba.jpeg</v>
      </c>
      <c r="AW226" s="1" t="s">
        <v>1309</v>
      </c>
      <c r="AX226" s="3" t="str">
        <f>HYPERLINK("https://icf.clappia.com/app/GMB253374/submission/JJE64774877/ICF247370-GMB253374-5h1j2gkd406c00000000/SIG-20250704_1112123mp8.jpeg", "SIG-20250704_1112123mp8.jpeg")</f>
        <v>SIG-20250704_1112123mp8.jpeg</v>
      </c>
      <c r="AY226" s="3" t="str">
        <f>HYPERLINK("https://www.google.com/maps/place/8.7203264%2C-11.972849", "8.7203264,-11.972849")</f>
        <v>8.7203264,-11.972849</v>
      </c>
    </row>
    <row r="227" ht="15.75" customHeight="1">
      <c r="A227" s="1" t="s">
        <v>1310</v>
      </c>
      <c r="B227" s="2" t="s">
        <v>47</v>
      </c>
      <c r="C227" s="1" t="s">
        <v>1306</v>
      </c>
      <c r="D227" s="1" t="s">
        <v>1306</v>
      </c>
      <c r="E227" s="1" t="s">
        <v>1311</v>
      </c>
      <c r="F227" s="1" t="s">
        <v>72</v>
      </c>
      <c r="G227" s="1">
        <v>25.0</v>
      </c>
      <c r="H227" s="1" t="s">
        <v>52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53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54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56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55</v>
      </c>
      <c r="AF227" s="1" t="s">
        <v>57</v>
      </c>
      <c r="AG227" s="1" t="s">
        <v>55</v>
      </c>
      <c r="AH227" s="1" t="s">
        <v>55</v>
      </c>
      <c r="AI227" s="1" t="s">
        <v>55</v>
      </c>
      <c r="AJ227" s="1" t="s">
        <v>55</v>
      </c>
      <c r="AK227" s="1" t="s">
        <v>55</v>
      </c>
      <c r="AL227" s="1">
        <f t="shared" si="1"/>
        <v>25</v>
      </c>
      <c r="AM227" s="1">
        <v>25.0</v>
      </c>
      <c r="AN227" s="1">
        <v>37.0</v>
      </c>
      <c r="AO227" s="1">
        <v>17.0</v>
      </c>
      <c r="AP227" s="2">
        <v>11.0</v>
      </c>
      <c r="AQ227" s="1">
        <v>8.0</v>
      </c>
      <c r="AR227" s="1">
        <v>8.0</v>
      </c>
      <c r="AS227" s="1" t="s">
        <v>1312</v>
      </c>
      <c r="AT227" s="3" t="str">
        <f>HYPERLINK("https://icf.clappia.com/app/GMB253374/submission/FYV98715146/ICF247370-GMB253374-5n9h7jcaa8oo00000000/SIG-20250704_111135k17.jpeg", "SIG-20250704_111135k17.jpeg")</f>
        <v>SIG-20250704_111135k17.jpeg</v>
      </c>
      <c r="AU227" s="1" t="s">
        <v>1313</v>
      </c>
      <c r="AV227" s="3" t="str">
        <f>HYPERLINK("https://icf.clappia.com/app/GMB253374/submission/FYV98715146/ICF247370-GMB253374-575cneco3ck800000000/SIG-20250704_11121a2hp6.jpeg", "SIG-20250704_11121a2hp6.jpeg")</f>
        <v>SIG-20250704_11121a2hp6.jpeg</v>
      </c>
      <c r="AW227" s="1" t="s">
        <v>1314</v>
      </c>
      <c r="AX227" s="3" t="str">
        <f>HYPERLINK("https://icf.clappia.com/app/GMB253374/submission/FYV98715146/ICF247370-GMB253374-2g6393ec2h6g0000000/SIG-20250704_11125fm8b.jpeg", "SIG-20250704_11125fm8b.jpeg")</f>
        <v>SIG-20250704_11125fm8b.jpeg</v>
      </c>
      <c r="AY227" s="3" t="str">
        <f>HYPERLINK("https://www.google.com/maps/place/7.9475783%2C-11.70177", "7.9475783,-11.70177")</f>
        <v>7.9475783,-11.70177</v>
      </c>
    </row>
    <row r="228" ht="15.75" customHeight="1">
      <c r="A228" s="1" t="s">
        <v>1315</v>
      </c>
      <c r="B228" s="2" t="s">
        <v>47</v>
      </c>
      <c r="C228" s="1" t="s">
        <v>1316</v>
      </c>
      <c r="D228" s="1" t="s">
        <v>1316</v>
      </c>
      <c r="E228" s="1" t="s">
        <v>1317</v>
      </c>
      <c r="F228" s="1" t="s">
        <v>72</v>
      </c>
      <c r="G228" s="1">
        <v>115.0</v>
      </c>
      <c r="H228" s="1" t="s">
        <v>52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53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54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56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57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f t="shared" si="1"/>
        <v>83</v>
      </c>
      <c r="AM228" s="1">
        <v>115.0</v>
      </c>
      <c r="AN228" s="1">
        <v>127.0</v>
      </c>
      <c r="AO228" s="1">
        <v>83.0</v>
      </c>
      <c r="AP228" s="2">
        <v>11.0</v>
      </c>
      <c r="AQ228" s="1">
        <v>32.0</v>
      </c>
      <c r="AR228" s="1">
        <v>32.0</v>
      </c>
      <c r="AS228" s="1" t="s">
        <v>1318</v>
      </c>
      <c r="AT228" s="3" t="str">
        <f>HYPERLINK("https://icf.clappia.com/app/GMB253374/submission/TCM51090780/ICF247370-GMB253374-5bcekh5231mk00000000/SIG-20250704_1110ho6d0.jpeg", "SIG-20250704_1110ho6d0.jpeg")</f>
        <v>SIG-20250704_1110ho6d0.jpeg</v>
      </c>
      <c r="AU228" s="1" t="s">
        <v>1319</v>
      </c>
      <c r="AV228" s="3" t="str">
        <f>HYPERLINK("https://icf.clappia.com/app/GMB253374/submission/TCM51090780/ICF247370-GMB253374-22mn284g963ki0000000/SIG-20250704_111011fon2.jpeg", "SIG-20250704_111011fon2.jpeg")</f>
        <v>SIG-20250704_111011fon2.jpeg</v>
      </c>
      <c r="AW228" s="1" t="s">
        <v>1320</v>
      </c>
      <c r="AX228" s="3" t="str">
        <f>HYPERLINK("https://icf.clappia.com/app/GMB253374/submission/TCM51090780/ICF247370-GMB253374-2b0nfm3lb8ik00000000/SIG-20250704_1111pg7jn.jpeg", "SIG-20250704_1111pg7jn.jpeg")</f>
        <v>SIG-20250704_1111pg7jn.jpeg</v>
      </c>
      <c r="AY228" s="3" t="str">
        <f>HYPERLINK("https://www.google.com/maps/place/7.92919%2C-11.7279967", "7.92919,-11.7279967")</f>
        <v>7.92919,-11.7279967</v>
      </c>
    </row>
    <row r="229" ht="15.75" customHeight="1">
      <c r="A229" s="1" t="s">
        <v>1321</v>
      </c>
      <c r="B229" s="2" t="s">
        <v>47</v>
      </c>
      <c r="C229" s="1" t="s">
        <v>1322</v>
      </c>
      <c r="D229" s="1" t="s">
        <v>1322</v>
      </c>
      <c r="E229" s="1" t="s">
        <v>1323</v>
      </c>
      <c r="F229" s="1" t="s">
        <v>72</v>
      </c>
      <c r="G229" s="1">
        <v>100.0</v>
      </c>
      <c r="H229" s="1" t="s">
        <v>52</v>
      </c>
      <c r="I229" s="1">
        <v>19.0</v>
      </c>
      <c r="J229" s="1" t="s">
        <v>55</v>
      </c>
      <c r="K229" s="1" t="s">
        <v>55</v>
      </c>
      <c r="L229" s="1">
        <v>19.0</v>
      </c>
      <c r="M229" s="1">
        <v>18.0</v>
      </c>
      <c r="N229" s="1" t="s">
        <v>53</v>
      </c>
      <c r="O229" s="1">
        <v>23.0</v>
      </c>
      <c r="P229" s="1" t="s">
        <v>55</v>
      </c>
      <c r="Q229" s="1" t="s">
        <v>55</v>
      </c>
      <c r="R229" s="1">
        <v>23.0</v>
      </c>
      <c r="S229" s="1">
        <v>23.0</v>
      </c>
      <c r="T229" s="1" t="s">
        <v>54</v>
      </c>
      <c r="U229" s="1">
        <v>28.0</v>
      </c>
      <c r="V229" s="1" t="s">
        <v>55</v>
      </c>
      <c r="W229" s="1" t="s">
        <v>55</v>
      </c>
      <c r="X229" s="1">
        <v>28.0</v>
      </c>
      <c r="Y229" s="1">
        <v>28.0</v>
      </c>
      <c r="Z229" s="1" t="s">
        <v>56</v>
      </c>
      <c r="AA229" s="1">
        <v>20.0</v>
      </c>
      <c r="AB229" s="1" t="s">
        <v>55</v>
      </c>
      <c r="AC229" s="1" t="s">
        <v>55</v>
      </c>
      <c r="AD229" s="1">
        <v>20.0</v>
      </c>
      <c r="AE229" s="1">
        <v>20.0</v>
      </c>
      <c r="AF229" s="1" t="s">
        <v>57</v>
      </c>
      <c r="AG229" s="1">
        <v>6.0</v>
      </c>
      <c r="AH229" s="1" t="s">
        <v>55</v>
      </c>
      <c r="AI229" s="1" t="s">
        <v>55</v>
      </c>
      <c r="AJ229" s="1">
        <v>6.0</v>
      </c>
      <c r="AK229" s="1">
        <v>6.0</v>
      </c>
      <c r="AL229" s="1">
        <f t="shared" si="1"/>
        <v>96</v>
      </c>
      <c r="AM229" s="1">
        <v>100.0</v>
      </c>
      <c r="AN229" s="1">
        <v>112.0</v>
      </c>
      <c r="AO229" s="1">
        <v>95.0</v>
      </c>
      <c r="AP229" s="2">
        <v>11.0</v>
      </c>
      <c r="AQ229" s="1">
        <v>5.0</v>
      </c>
      <c r="AR229" s="1">
        <v>5.0</v>
      </c>
      <c r="AS229" s="1" t="s">
        <v>1324</v>
      </c>
      <c r="AT229" s="3" t="str">
        <f>HYPERLINK("https://icf.clappia.com/app/GMB253374/submission/QRJ54284458/ICF247370-GMB253374-4nfi4h1nfb1a00000000/SIG-20250704_11047mm6l.jpeg", "SIG-20250704_11047mm6l.jpeg")</f>
        <v>SIG-20250704_11047mm6l.jpeg</v>
      </c>
      <c r="AU229" s="1" t="s">
        <v>1325</v>
      </c>
      <c r="AV229" s="3" t="str">
        <f>HYPERLINK("https://icf.clappia.com/app/GMB253374/submission/QRJ54284458/ICF247370-GMB253374-261mhf7hm7mmk0000000/SIG-20250704_1106md33f.jpeg", "SIG-20250704_1106md33f.jpeg")</f>
        <v>SIG-20250704_1106md33f.jpeg</v>
      </c>
      <c r="AW229" s="1" t="s">
        <v>1326</v>
      </c>
      <c r="AX229" s="3" t="str">
        <f>HYPERLINK("https://icf.clappia.com/app/GMB253374/submission/QRJ54284458/ICF247370-GMB253374-jlp7klmeibd20000000/SIG-20250704_11076lad3.jpeg", "SIG-20250704_11076lad3.jpeg")</f>
        <v>SIG-20250704_11076lad3.jpeg</v>
      </c>
      <c r="AY229" s="3" t="str">
        <f>HYPERLINK("https://www.google.com/maps/place/7.9564927%2C-11.743121", "7.9564927,-11.743121")</f>
        <v>7.9564927,-11.743121</v>
      </c>
    </row>
    <row r="230" ht="15.75" customHeight="1">
      <c r="A230" s="1" t="s">
        <v>1327</v>
      </c>
      <c r="B230" s="2" t="s">
        <v>47</v>
      </c>
      <c r="C230" s="1" t="s">
        <v>1322</v>
      </c>
      <c r="D230" s="1" t="s">
        <v>1322</v>
      </c>
      <c r="E230" s="1" t="s">
        <v>1328</v>
      </c>
      <c r="F230" s="1" t="s">
        <v>51</v>
      </c>
      <c r="G230" s="1">
        <v>100.0</v>
      </c>
      <c r="H230" s="1" t="s">
        <v>52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53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54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56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57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f t="shared" si="1"/>
        <v>100</v>
      </c>
      <c r="AM230" s="1">
        <v>100.0</v>
      </c>
      <c r="AN230" s="1">
        <v>112.0</v>
      </c>
      <c r="AO230" s="1">
        <v>100.0</v>
      </c>
      <c r="AP230" s="2">
        <v>11.0</v>
      </c>
      <c r="AQ230" s="1">
        <v>0.0</v>
      </c>
      <c r="AR230" s="1">
        <v>0.0</v>
      </c>
      <c r="AS230" s="1" t="s">
        <v>1329</v>
      </c>
      <c r="AT230" s="3" t="str">
        <f>HYPERLINK("https://icf.clappia.com/app/GMB253374/submission/NYP79019389/ICF247370-GMB253374-5l3jblbdeam400000000/SIG-20250704_110018lkmk.jpeg", "SIG-20250704_110018lkmk.jpeg")</f>
        <v>SIG-20250704_110018lkmk.jpeg</v>
      </c>
      <c r="AU230" s="1" t="s">
        <v>1303</v>
      </c>
      <c r="AV230" s="3" t="str">
        <f>HYPERLINK("https://icf.clappia.com/app/GMB253374/submission/NYP79019389/ICF247370-GMB253374-2afla6obokd440000000/SIG-20250704_1059kn86o.jpeg", "SIG-20250704_1059kn86o.jpeg")</f>
        <v>SIG-20250704_1059kn86o.jpeg</v>
      </c>
      <c r="AW230" s="1" t="s">
        <v>1304</v>
      </c>
      <c r="AX230" s="3" t="str">
        <f>HYPERLINK("https://icf.clappia.com/app/GMB253374/submission/NYP79019389/ICF247370-GMB253374-6ad86fikk99200000000/SIG-20250704_11003jbcf.jpeg", "SIG-20250704_11003jbcf.jpeg")</f>
        <v>SIG-20250704_11003jbcf.jpeg</v>
      </c>
      <c r="AY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1330</v>
      </c>
      <c r="B231" s="2" t="s">
        <v>47</v>
      </c>
      <c r="C231" s="1" t="s">
        <v>1331</v>
      </c>
      <c r="D231" s="1" t="s">
        <v>1331</v>
      </c>
      <c r="E231" s="1" t="s">
        <v>1332</v>
      </c>
      <c r="F231" s="1" t="s">
        <v>51</v>
      </c>
      <c r="G231" s="1">
        <v>404.0</v>
      </c>
      <c r="H231" s="1" t="s">
        <v>52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53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54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56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57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f t="shared" si="1"/>
        <v>501</v>
      </c>
      <c r="AM231" s="1">
        <v>404.0</v>
      </c>
      <c r="AN231" s="1">
        <v>416.0</v>
      </c>
      <c r="AO231" s="1">
        <v>364.0</v>
      </c>
      <c r="AP231" s="2">
        <v>11.0</v>
      </c>
      <c r="AQ231" s="1">
        <v>40.0</v>
      </c>
      <c r="AR231" s="1">
        <v>40.0</v>
      </c>
      <c r="AS231" s="1" t="s">
        <v>1333</v>
      </c>
      <c r="AT231" s="3" t="str">
        <f>HYPERLINK("https://icf.clappia.com/app/GMB253374/submission/KLO50175826/ICF247370-GMB253374-2gleom0lk32200000000/SIG-20250630_1353o2njk.jpeg", "SIG-20250630_1353o2njk.jpeg")</f>
        <v>SIG-20250630_1353o2njk.jpeg</v>
      </c>
      <c r="AU231" s="1" t="s">
        <v>1115</v>
      </c>
      <c r="AV231" s="3" t="str">
        <f>HYPERLINK("https://icf.clappia.com/app/GMB253374/submission/KLO50175826/ICF247370-GMB253374-256ghho9h234i0000000/SIG-20250630_135410k8l.jpeg", "SIG-20250630_135410k8l.jpeg")</f>
        <v>SIG-20250630_135410k8l.jpeg</v>
      </c>
      <c r="AW231" s="1" t="s">
        <v>867</v>
      </c>
      <c r="AX231" s="3" t="str">
        <f>HYPERLINK("https://icf.clappia.com/app/GMB253374/submission/KLO50175826/ICF247370-GMB253374-325dfbjcmbda00000000/SIG-20250630_1355kce4c.jpeg", "SIG-20250630_1355kce4c.jpeg")</f>
        <v>SIG-20250630_1355kce4c.jpeg</v>
      </c>
      <c r="AY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1334</v>
      </c>
      <c r="B232" s="2" t="s">
        <v>47</v>
      </c>
      <c r="C232" s="1" t="s">
        <v>1335</v>
      </c>
      <c r="D232" s="1" t="s">
        <v>1335</v>
      </c>
      <c r="E232" s="2" t="s">
        <v>1336</v>
      </c>
      <c r="F232" s="1" t="s">
        <v>72</v>
      </c>
      <c r="G232" s="1">
        <v>300.0</v>
      </c>
      <c r="H232" s="1" t="s">
        <v>52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53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54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56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57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f t="shared" si="1"/>
        <v>163</v>
      </c>
      <c r="AM232" s="1">
        <v>300.0</v>
      </c>
      <c r="AN232" s="1">
        <v>312.0</v>
      </c>
      <c r="AO232" s="1">
        <v>163.0</v>
      </c>
      <c r="AP232" s="2">
        <v>11.0</v>
      </c>
      <c r="AQ232" s="1">
        <v>137.0</v>
      </c>
      <c r="AR232" s="1">
        <v>137.0</v>
      </c>
      <c r="AS232" s="1" t="s">
        <v>1337</v>
      </c>
      <c r="AT232" s="3" t="str">
        <f>HYPERLINK("https://icf.clappia.com/app/GMB253374/submission/IKN79803479/ICF247370-GMB253374-5jd5a6o668o80000000/SIG-20250704_09502pj8n.jpeg", "SIG-20250704_09502pj8n.jpeg")</f>
        <v>SIG-20250704_09502pj8n.jpeg</v>
      </c>
      <c r="AU232" s="1" t="s">
        <v>1338</v>
      </c>
      <c r="AV232" s="3" t="str">
        <f>HYPERLINK("https://icf.clappia.com/app/GMB253374/submission/IKN79803479/ICF247370-GMB253374-24fjib5eo66ec0000000/SIG-20250704_1049pem63.jpeg", "SIG-20250704_1049pem63.jpeg")</f>
        <v>SIG-20250704_1049pem63.jpeg</v>
      </c>
      <c r="AW232" s="1" t="s">
        <v>1339</v>
      </c>
      <c r="AX232" s="3" t="str">
        <f>HYPERLINK("https://icf.clappia.com/app/GMB253374/submission/IKN79803479/ICF247370-GMB253374-34cf36be6p0800000000/SIG-20250704_104917505e.jpeg", "SIG-20250704_104917505e.jpeg")</f>
        <v>SIG-20250704_104917505e.jpeg</v>
      </c>
      <c r="AY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1340</v>
      </c>
      <c r="B233" s="2" t="s">
        <v>47</v>
      </c>
      <c r="C233" s="1" t="s">
        <v>1341</v>
      </c>
      <c r="D233" s="1" t="s">
        <v>1341</v>
      </c>
      <c r="E233" s="1" t="s">
        <v>1342</v>
      </c>
      <c r="F233" s="1" t="s">
        <v>51</v>
      </c>
      <c r="G233" s="1">
        <v>350.0</v>
      </c>
      <c r="H233" s="1" t="s">
        <v>52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53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54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56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57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f t="shared" si="1"/>
        <v>226</v>
      </c>
      <c r="AM233" s="1">
        <v>350.0</v>
      </c>
      <c r="AN233" s="1">
        <v>362.0</v>
      </c>
      <c r="AO233" s="1">
        <v>212.0</v>
      </c>
      <c r="AP233" s="2">
        <v>11.0</v>
      </c>
      <c r="AQ233" s="1">
        <v>138.0</v>
      </c>
      <c r="AR233" s="1">
        <v>138.0</v>
      </c>
      <c r="AS233" s="1" t="s">
        <v>1343</v>
      </c>
      <c r="AT233" s="3" t="str">
        <f>HYPERLINK("https://icf.clappia.com/app/GMB253374/submission/DGI00141557/ICF247370-GMB253374-57gnj706b6oa00000000/SIG-20250704_1047136i3i.jpeg", "SIG-20250704_1047136i3i.jpeg")</f>
        <v>SIG-20250704_1047136i3i.jpeg</v>
      </c>
      <c r="AU233" s="1" t="s">
        <v>1344</v>
      </c>
      <c r="AV233" s="3" t="str">
        <f>HYPERLINK("https://icf.clappia.com/app/GMB253374/submission/DGI00141557/ICF247370-GMB253374-2ekm8an1mjek00000000/SIG-20250704_0703noh40.jpeg", "SIG-20250704_0703noh40.jpeg")</f>
        <v>SIG-20250704_0703noh40.jpeg</v>
      </c>
      <c r="AW233" s="1" t="s">
        <v>1345</v>
      </c>
      <c r="AX233" s="3" t="str">
        <f>HYPERLINK("https://icf.clappia.com/app/GMB253374/submission/DGI00141557/ICF247370-GMB253374-5765mm25gk0g00000000/SIG-20250704_1047d5gj3.jpeg", "SIG-20250704_1047d5gj3.jpeg")</f>
        <v>SIG-20250704_1047d5gj3.jpeg</v>
      </c>
      <c r="AY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1346</v>
      </c>
      <c r="B234" s="2" t="s">
        <v>47</v>
      </c>
      <c r="C234" s="1" t="s">
        <v>1347</v>
      </c>
      <c r="D234" s="1" t="s">
        <v>1348</v>
      </c>
      <c r="E234" s="1" t="s">
        <v>1349</v>
      </c>
      <c r="F234" s="1" t="s">
        <v>51</v>
      </c>
      <c r="G234" s="1">
        <v>102.0</v>
      </c>
      <c r="H234" s="1" t="s">
        <v>52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53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54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56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57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f t="shared" si="1"/>
        <v>102</v>
      </c>
      <c r="AM234" s="1">
        <v>102.0</v>
      </c>
      <c r="AN234" s="1">
        <v>114.0</v>
      </c>
      <c r="AO234" s="1">
        <v>102.0</v>
      </c>
      <c r="AP234" s="2">
        <v>11.0</v>
      </c>
      <c r="AQ234" s="1">
        <v>0.0</v>
      </c>
      <c r="AR234" s="1">
        <v>0.0</v>
      </c>
      <c r="AS234" s="1" t="s">
        <v>1350</v>
      </c>
      <c r="AT234" s="3" t="str">
        <f>HYPERLINK("https://icf.clappia.com/app/GMB253374/submission/FSK62212402/ICF247370-GMB253374-51770g81g95600000000/SIG-20250704_1037lhg7l.jpeg", "SIG-20250704_1037lhg7l.jpeg")</f>
        <v>SIG-20250704_1037lhg7l.jpeg</v>
      </c>
      <c r="AU234" s="1" t="s">
        <v>1351</v>
      </c>
      <c r="AV234" s="3" t="str">
        <f>HYPERLINK("https://icf.clappia.com/app/GMB253374/submission/FSK62212402/ICF247370-GMB253374-46ool8a2bpfg00000000/SIG-20250704_1039118p9i.jpeg", "SIG-20250704_1039118p9i.jpeg")</f>
        <v>SIG-20250704_1039118p9i.jpeg</v>
      </c>
      <c r="AW234" s="1" t="s">
        <v>1352</v>
      </c>
      <c r="AX234" s="3" t="str">
        <f>HYPERLINK("https://icf.clappia.com/app/GMB253374/submission/FSK62212402/ICF247370-GMB253374-5ccning7ogmc00000000/SIG-20250704_104018i8h3.jpeg", "SIG-20250704_104018i8h3.jpeg")</f>
        <v>SIG-20250704_104018i8h3.jpeg</v>
      </c>
      <c r="AY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1353</v>
      </c>
      <c r="B235" s="2" t="s">
        <v>47</v>
      </c>
      <c r="C235" s="1" t="s">
        <v>1354</v>
      </c>
      <c r="D235" s="1" t="s">
        <v>1354</v>
      </c>
      <c r="E235" s="1" t="s">
        <v>1355</v>
      </c>
      <c r="F235" s="1" t="s">
        <v>51</v>
      </c>
      <c r="G235" s="1">
        <v>50.0</v>
      </c>
      <c r="H235" s="1" t="s">
        <v>52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53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54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56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57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f t="shared" si="1"/>
        <v>50</v>
      </c>
      <c r="AM235" s="1">
        <v>50.0</v>
      </c>
      <c r="AN235" s="1">
        <v>62.0</v>
      </c>
      <c r="AO235" s="1">
        <v>50.0</v>
      </c>
      <c r="AP235" s="2">
        <v>11.0</v>
      </c>
      <c r="AQ235" s="1">
        <v>0.0</v>
      </c>
      <c r="AR235" s="1">
        <v>0.0</v>
      </c>
      <c r="AS235" s="1" t="s">
        <v>1356</v>
      </c>
      <c r="AT235" s="3" t="str">
        <f>HYPERLINK("https://icf.clappia.com/app/GMB253374/submission/RWW15365735/ICF247370-GMB253374-4nkghibk3pmm00000000/SIG-20250704_1034k8oi6.jpeg", "SIG-20250704_1034k8oi6.jpeg")</f>
        <v>SIG-20250704_1034k8oi6.jpeg</v>
      </c>
      <c r="AU235" s="1" t="s">
        <v>1357</v>
      </c>
      <c r="AV235" s="3" t="str">
        <f>HYPERLINK("https://icf.clappia.com/app/GMB253374/submission/RWW15365735/ICF247370-GMB253374-3oa48de19e1400000000/SIG-20250704_10351ah805.jpeg", "SIG-20250704_10351ah805.jpeg")</f>
        <v>SIG-20250704_10351ah805.jpeg</v>
      </c>
      <c r="AW235" s="1" t="s">
        <v>1358</v>
      </c>
      <c r="AX235" s="3" t="str">
        <f>HYPERLINK("https://icf.clappia.com/app/GMB253374/submission/RWW15365735/ICF247370-GMB253374-5gpgbcp2oli000000000/SIG-20250704_1035aje03.jpeg", "SIG-20250704_1035aje03.jpeg")</f>
        <v>SIG-20250704_1035aje03.jpeg</v>
      </c>
      <c r="AY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1359</v>
      </c>
      <c r="B236" s="2" t="s">
        <v>47</v>
      </c>
      <c r="C236" s="1" t="s">
        <v>1354</v>
      </c>
      <c r="D236" s="1" t="s">
        <v>1354</v>
      </c>
      <c r="E236" s="1" t="s">
        <v>1360</v>
      </c>
      <c r="F236" s="1" t="s">
        <v>51</v>
      </c>
      <c r="G236" s="1">
        <v>372.0</v>
      </c>
      <c r="H236" s="1" t="s">
        <v>52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53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54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56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57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f t="shared" si="1"/>
        <v>335</v>
      </c>
      <c r="AM236" s="1">
        <v>372.0</v>
      </c>
      <c r="AN236" s="1">
        <v>384.0</v>
      </c>
      <c r="AO236" s="1">
        <v>323.0</v>
      </c>
      <c r="AP236" s="2">
        <v>11.0</v>
      </c>
      <c r="AQ236" s="1">
        <v>49.0</v>
      </c>
      <c r="AR236" s="1">
        <v>49.0</v>
      </c>
      <c r="AS236" s="1" t="s">
        <v>1361</v>
      </c>
      <c r="AT236" s="3" t="str">
        <f>HYPERLINK("https://icf.clappia.com/app/GMB253374/submission/NMZ49261266/ICF247370-GMB253374-1meo239cepj7m0000000/SIG-20250701_1541hbbg8.jpeg", "SIG-20250701_1541hbbg8.jpeg")</f>
        <v>SIG-20250701_1541hbbg8.jpeg</v>
      </c>
      <c r="AU236" s="1" t="s">
        <v>1362</v>
      </c>
      <c r="AV236" s="3" t="str">
        <f>HYPERLINK("https://icf.clappia.com/app/GMB253374/submission/NMZ49261266/ICF247370-GMB253374-1g7e51ikhilnm0000000/SIG-20250701_1541fb63c.jpeg", "SIG-20250701_1541fb63c.jpeg")</f>
        <v>SIG-20250701_1541fb63c.jpeg</v>
      </c>
      <c r="AW236" s="1" t="s">
        <v>1363</v>
      </c>
      <c r="AX236" s="3" t="str">
        <f>HYPERLINK("https://icf.clappia.com/app/GMB253374/submission/NMZ49261266/ICF247370-GMB253374-1f9j639bfee080000000/SIG-20250701_154110ai26.jpeg", "SIG-20250701_154110ai26.jpeg")</f>
        <v>SIG-20250701_154110ai26.jpeg</v>
      </c>
      <c r="AY236" s="3" t="str">
        <f>HYPERLINK("https://www.google.com/maps/place/8.70287%2C-12.14166", "8.70287,-12.14166")</f>
        <v>8.70287,-12.14166</v>
      </c>
    </row>
    <row r="237" ht="15.75" customHeight="1">
      <c r="A237" s="1" t="s">
        <v>1364</v>
      </c>
      <c r="B237" s="2" t="s">
        <v>47</v>
      </c>
      <c r="C237" s="1" t="s">
        <v>1365</v>
      </c>
      <c r="D237" s="1" t="s">
        <v>1365</v>
      </c>
      <c r="E237" s="1" t="s">
        <v>1366</v>
      </c>
      <c r="F237" s="1" t="s">
        <v>51</v>
      </c>
      <c r="G237" s="1">
        <v>100.0</v>
      </c>
      <c r="H237" s="1" t="s">
        <v>52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53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54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56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57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f t="shared" si="1"/>
        <v>98</v>
      </c>
      <c r="AM237" s="1">
        <v>100.0</v>
      </c>
      <c r="AN237" s="1">
        <v>112.0</v>
      </c>
      <c r="AO237" s="1">
        <v>60.0</v>
      </c>
      <c r="AP237" s="2">
        <v>11.0</v>
      </c>
      <c r="AQ237" s="1">
        <v>40.0</v>
      </c>
      <c r="AR237" s="1">
        <v>40.0</v>
      </c>
      <c r="AS237" s="1" t="s">
        <v>987</v>
      </c>
      <c r="AT237" s="3" t="str">
        <f>HYPERLINK("https://icf.clappia.com/app/GMB253374/submission/NCN03903349/ICF247370-GMB253374-2e05kc75jiao00000000/SIG-20250704_103123f6.jpeg", "SIG-20250704_103123f6.jpeg")</f>
        <v>SIG-20250704_103123f6.jpeg</v>
      </c>
      <c r="AU237" s="1" t="s">
        <v>1367</v>
      </c>
      <c r="AV237" s="3" t="str">
        <f>HYPERLINK("https://icf.clappia.com/app/GMB253374/submission/NCN03903349/ICF247370-GMB253374-4io745namhb400000000/SIG-20250704_103243383.jpeg", "SIG-20250704_103243383.jpeg")</f>
        <v>SIG-20250704_103243383.jpeg</v>
      </c>
      <c r="AW237" s="1" t="s">
        <v>1368</v>
      </c>
      <c r="AX237" s="3" t="str">
        <f>HYPERLINK("https://icf.clappia.com/app/GMB253374/submission/NCN03903349/ICF247370-GMB253374-5fk91hhoec8600000000/SIG-20250704_1032alma5.jpeg", "SIG-20250704_1032alma5.jpeg")</f>
        <v>SIG-20250704_1032alma5.jpeg</v>
      </c>
      <c r="AY237" s="3" t="str">
        <f>HYPERLINK("https://www.google.com/maps/place/9.15716%2C-11.9615117", "9.15716,-11.9615117")</f>
        <v>9.15716,-11.9615117</v>
      </c>
    </row>
    <row r="238" ht="15.75" customHeight="1">
      <c r="A238" s="1" t="s">
        <v>1369</v>
      </c>
      <c r="B238" s="2" t="s">
        <v>47</v>
      </c>
      <c r="C238" s="1" t="s">
        <v>1370</v>
      </c>
      <c r="D238" s="1" t="s">
        <v>1370</v>
      </c>
      <c r="E238" s="1" t="s">
        <v>1371</v>
      </c>
      <c r="F238" s="1" t="s">
        <v>51</v>
      </c>
      <c r="G238" s="1">
        <v>450.0</v>
      </c>
      <c r="H238" s="1" t="s">
        <v>52</v>
      </c>
      <c r="I238" s="1">
        <v>76.0</v>
      </c>
      <c r="J238" s="1">
        <v>76.0</v>
      </c>
      <c r="K238" s="1">
        <v>22.0</v>
      </c>
      <c r="L238" s="1" t="s">
        <v>55</v>
      </c>
      <c r="M238" s="1" t="s">
        <v>55</v>
      </c>
      <c r="N238" s="1" t="s">
        <v>53</v>
      </c>
      <c r="O238" s="1">
        <v>81.0</v>
      </c>
      <c r="P238" s="1">
        <v>81.0</v>
      </c>
      <c r="Q238" s="1">
        <v>33.0</v>
      </c>
      <c r="R238" s="1" t="s">
        <v>55</v>
      </c>
      <c r="S238" s="1" t="s">
        <v>55</v>
      </c>
      <c r="T238" s="1" t="s">
        <v>54</v>
      </c>
      <c r="U238" s="1">
        <v>100.0</v>
      </c>
      <c r="V238" s="1">
        <v>100.0</v>
      </c>
      <c r="W238" s="1">
        <v>37.0</v>
      </c>
      <c r="X238" s="1" t="s">
        <v>55</v>
      </c>
      <c r="Y238" s="1" t="s">
        <v>55</v>
      </c>
      <c r="Z238" s="1" t="s">
        <v>56</v>
      </c>
      <c r="AA238" s="1">
        <v>99.0</v>
      </c>
      <c r="AB238" s="1">
        <v>99.0</v>
      </c>
      <c r="AC238" s="1">
        <v>40.0</v>
      </c>
      <c r="AD238" s="1" t="s">
        <v>55</v>
      </c>
      <c r="AE238" s="1" t="s">
        <v>55</v>
      </c>
      <c r="AF238" s="1" t="s">
        <v>57</v>
      </c>
      <c r="AG238" s="1">
        <v>94.0</v>
      </c>
      <c r="AH238" s="1">
        <v>94.0</v>
      </c>
      <c r="AI238" s="1">
        <v>53.0</v>
      </c>
      <c r="AJ238" s="1" t="s">
        <v>55</v>
      </c>
      <c r="AK238" s="1" t="s">
        <v>55</v>
      </c>
      <c r="AL238" s="1">
        <f t="shared" si="1"/>
        <v>450</v>
      </c>
      <c r="AM238" s="1">
        <v>450.0</v>
      </c>
      <c r="AN238" s="1">
        <v>462.0</v>
      </c>
      <c r="AO238" s="1">
        <v>185.0</v>
      </c>
      <c r="AP238" s="2">
        <v>11.0</v>
      </c>
      <c r="AQ238" s="1">
        <v>265.0</v>
      </c>
      <c r="AR238" s="1">
        <v>265.0</v>
      </c>
      <c r="AS238" s="1" t="s">
        <v>1252</v>
      </c>
      <c r="AT238" s="3" t="str">
        <f>HYPERLINK("https://icf.clappia.com/app/GMB253374/submission/EBN80965165/ICF247370-GMB253374-52eg4g32m94k00000000/SIG-20250704_10274eihl.jpeg", "SIG-20250704_10274eihl.jpeg")</f>
        <v>SIG-20250704_10274eihl.jpeg</v>
      </c>
      <c r="AU238" s="1" t="s">
        <v>1253</v>
      </c>
      <c r="AV238" s="3" t="str">
        <f>HYPERLINK("https://icf.clappia.com/app/GMB253374/submission/EBN80965165/ICF247370-GMB253374-3cdj4jb6f7ag00000000/SIG-20250704_102411ll0e.jpeg", "SIG-20250704_102411ll0e.jpeg")</f>
        <v>SIG-20250704_102411ll0e.jpeg</v>
      </c>
      <c r="AW238" s="1" t="s">
        <v>1254</v>
      </c>
      <c r="AX238" s="3" t="str">
        <f>HYPERLINK("https://icf.clappia.com/app/GMB253374/submission/EBN80965165/ICF247370-GMB253374-48j5ej4g97c800000000/SIG-20250704_10261081bp.jpeg", "SIG-20250704_10261081bp.jpeg")</f>
        <v>SIG-20250704_10261081bp.jpeg</v>
      </c>
      <c r="AY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1372</v>
      </c>
      <c r="B239" s="2" t="s">
        <v>47</v>
      </c>
      <c r="C239" s="1" t="s">
        <v>1373</v>
      </c>
      <c r="D239" s="1" t="s">
        <v>1373</v>
      </c>
      <c r="E239" s="1" t="s">
        <v>1374</v>
      </c>
      <c r="F239" s="1" t="s">
        <v>51</v>
      </c>
      <c r="G239" s="1">
        <v>300.0</v>
      </c>
      <c r="H239" s="1" t="s">
        <v>52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53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54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56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57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f t="shared" si="1"/>
        <v>290</v>
      </c>
      <c r="AM239" s="1">
        <v>300.0</v>
      </c>
      <c r="AN239" s="1">
        <v>312.0</v>
      </c>
      <c r="AO239" s="1">
        <v>290.0</v>
      </c>
      <c r="AP239" s="2">
        <v>11.0</v>
      </c>
      <c r="AQ239" s="1">
        <v>10.0</v>
      </c>
      <c r="AR239" s="1">
        <v>10.0</v>
      </c>
      <c r="AS239" s="1" t="s">
        <v>1375</v>
      </c>
      <c r="AT239" s="3" t="str">
        <f>HYPERLINK("https://icf.clappia.com/app/GMB253374/submission/CJR37600992/ICF247370-GMB253374-67aa9pem5pe000000000/SIG-20250704_1016p19mp.jpeg", "SIG-20250704_1016p19mp.jpeg")</f>
        <v>SIG-20250704_1016p19mp.jpeg</v>
      </c>
      <c r="AU239" s="1" t="s">
        <v>1376</v>
      </c>
      <c r="AV239" s="3" t="str">
        <f>HYPERLINK("https://icf.clappia.com/app/GMB253374/submission/CJR37600992/ICF247370-GMB253374-4pg7b32gmbok00000000/SIG-20250704_101619ajm2.jpeg", "SIG-20250704_101619ajm2.jpeg")</f>
        <v>SIG-20250704_101619ajm2.jpeg</v>
      </c>
      <c r="AW239" s="1" t="s">
        <v>1377</v>
      </c>
      <c r="AX239" s="3" t="str">
        <f>HYPERLINK("https://icf.clappia.com/app/GMB253374/submission/CJR37600992/ICF247370-GMB253374-2cfha0aolnn800000000/SIG-20250704_1017aj00a.jpeg", "SIG-20250704_1017aj00a.jpeg")</f>
        <v>SIG-20250704_1017aj00a.jpeg</v>
      </c>
      <c r="AY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1378</v>
      </c>
      <c r="B240" s="2" t="s">
        <v>47</v>
      </c>
      <c r="C240" s="1" t="s">
        <v>1373</v>
      </c>
      <c r="D240" s="1" t="s">
        <v>1373</v>
      </c>
      <c r="E240" s="1" t="s">
        <v>1379</v>
      </c>
      <c r="F240" s="1" t="s">
        <v>51</v>
      </c>
      <c r="G240" s="1">
        <v>300.0</v>
      </c>
      <c r="H240" s="1" t="s">
        <v>52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53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54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56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57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f t="shared" si="1"/>
        <v>267</v>
      </c>
      <c r="AM240" s="1">
        <v>300.0</v>
      </c>
      <c r="AN240" s="1">
        <v>312.0</v>
      </c>
      <c r="AO240" s="1">
        <v>260.0</v>
      </c>
      <c r="AP240" s="2">
        <v>11.0</v>
      </c>
      <c r="AQ240" s="1">
        <v>40.0</v>
      </c>
      <c r="AR240" s="1">
        <v>40.0</v>
      </c>
      <c r="AS240" s="1" t="s">
        <v>1380</v>
      </c>
      <c r="AT240" s="3" t="str">
        <f>HYPERLINK("https://icf.clappia.com/app/GMB253374/submission/MAL60214989/ICF247370-GMB253374-51pnklgaa63a00000000/SIG-20250704_10106j1hj.jpeg", "SIG-20250704_10106j1hj.jpeg")</f>
        <v>SIG-20250704_10106j1hj.jpeg</v>
      </c>
      <c r="AU240" s="1" t="s">
        <v>1381</v>
      </c>
      <c r="AV240" s="3" t="str">
        <f>HYPERLINK("https://icf.clappia.com/app/GMB253374/submission/MAL60214989/ICF247370-GMB253374-1icmm4leh5li00000000/SIG-20250704_10141718d7.jpeg", "SIG-20250704_10141718d7.jpeg")</f>
        <v>SIG-20250704_10141718d7.jpeg</v>
      </c>
      <c r="AW240" s="1" t="s">
        <v>1382</v>
      </c>
      <c r="AX240" s="3" t="str">
        <f>HYPERLINK("https://icf.clappia.com/app/GMB253374/submission/MAL60214989/ICF247370-GMB253374-523p3893gnle00000000/SIG-20250704_1011b75i8.jpeg", "SIG-20250704_1011b75i8.jpeg")</f>
        <v>SIG-20250704_1011b75i8.jpeg</v>
      </c>
      <c r="AY240" s="3" t="str">
        <f>HYPERLINK("https://www.google.com/maps/place/8.678725%2C-12.2411483", "8.678725,-12.2411483")</f>
        <v>8.678725,-12.2411483</v>
      </c>
    </row>
    <row r="241" ht="15.75" customHeight="1">
      <c r="A241" s="1" t="s">
        <v>1383</v>
      </c>
      <c r="B241" s="2" t="s">
        <v>47</v>
      </c>
      <c r="C241" s="1" t="s">
        <v>1384</v>
      </c>
      <c r="D241" s="1" t="s">
        <v>1385</v>
      </c>
      <c r="E241" s="1" t="s">
        <v>1386</v>
      </c>
      <c r="F241" s="1" t="s">
        <v>51</v>
      </c>
      <c r="G241" s="1">
        <v>393.0</v>
      </c>
      <c r="H241" s="1" t="s">
        <v>52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53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54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56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57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f t="shared" si="1"/>
        <v>337</v>
      </c>
      <c r="AM241" s="1">
        <v>393.0</v>
      </c>
      <c r="AN241" s="1">
        <v>405.0</v>
      </c>
      <c r="AO241" s="1">
        <v>305.0</v>
      </c>
      <c r="AP241" s="2">
        <v>11.0</v>
      </c>
      <c r="AQ241" s="1">
        <v>88.0</v>
      </c>
      <c r="AR241" s="1">
        <v>88.0</v>
      </c>
      <c r="AS241" s="1" t="s">
        <v>1387</v>
      </c>
      <c r="AT241" s="3" t="str">
        <f>HYPERLINK("https://icf.clappia.com/app/GMB253374/submission/YYQ62498498/ICF247370-GMB253374-mnmo6ilm0a560000000/SIG-20250702_1115ed4h.jpeg", "SIG-20250702_1115ed4h.jpeg")</f>
        <v>SIG-20250702_1115ed4h.jpeg</v>
      </c>
      <c r="AU241" s="1" t="s">
        <v>1388</v>
      </c>
      <c r="AV241" s="3" t="str">
        <f>HYPERLINK("https://icf.clappia.com/app/GMB253374/submission/YYQ62498498/ICF247370-GMB253374-3528ie4ccoje00000000/SIG-20250702_111513h2a5.jpeg", "SIG-20250702_111513h2a5.jpeg")</f>
        <v>SIG-20250702_111513h2a5.jpeg</v>
      </c>
      <c r="AW241" s="1" t="s">
        <v>1389</v>
      </c>
      <c r="AX241" s="3" t="str">
        <f>HYPERLINK("https://icf.clappia.com/app/GMB253374/submission/YYQ62498498/ICF247370-GMB253374-1976no1bip07i0000000/SIG-20250702_1116emhno.jpeg", "SIG-20250702_1116emhno.jpeg")</f>
        <v>SIG-20250702_1116emhno.jpeg</v>
      </c>
      <c r="AY241" s="3" t="str">
        <f>HYPERLINK("https://www.google.com/maps/place/7.94392%2C-11.7546767", "7.94392,-11.7546767")</f>
        <v>7.94392,-11.7546767</v>
      </c>
    </row>
    <row r="242" ht="15.75" customHeight="1">
      <c r="A242" s="1" t="s">
        <v>1390</v>
      </c>
      <c r="B242" s="2" t="s">
        <v>47</v>
      </c>
      <c r="C242" s="1" t="s">
        <v>1391</v>
      </c>
      <c r="D242" s="1" t="s">
        <v>1391</v>
      </c>
      <c r="E242" s="1" t="s">
        <v>1392</v>
      </c>
      <c r="F242" s="1" t="s">
        <v>51</v>
      </c>
      <c r="G242" s="1">
        <v>175.0</v>
      </c>
      <c r="H242" s="1" t="s">
        <v>52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53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54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56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57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f t="shared" si="1"/>
        <v>175</v>
      </c>
      <c r="AM242" s="1">
        <v>175.0</v>
      </c>
      <c r="AN242" s="1">
        <v>187.0</v>
      </c>
      <c r="AO242" s="1">
        <v>175.0</v>
      </c>
      <c r="AP242" s="2">
        <v>11.0</v>
      </c>
      <c r="AQ242" s="1">
        <v>0.0</v>
      </c>
      <c r="AR242" s="1">
        <v>0.0</v>
      </c>
      <c r="AS242" s="1" t="s">
        <v>1393</v>
      </c>
      <c r="AT242" s="3" t="str">
        <f>HYPERLINK("https://icf.clappia.com/app/GMB253374/submission/SRS12522982/ICF247370-GMB253374-ab7d4a8ok8g00000000/SIG-20250704_100414f7eg.jpeg", "SIG-20250704_100414f7eg.jpeg")</f>
        <v>SIG-20250704_100414f7eg.jpeg</v>
      </c>
      <c r="AU242" s="1" t="s">
        <v>1394</v>
      </c>
      <c r="AV242" s="3" t="str">
        <f>HYPERLINK("https://icf.clappia.com/app/GMB253374/submission/SRS12522982/ICF247370-GMB253374-5om53o6n9bi800000000/SIG-20250704_10046fmgp.jpeg", "SIG-20250704_10046fmgp.jpeg")</f>
        <v>SIG-20250704_10046fmgp.jpeg</v>
      </c>
      <c r="AW242" s="1" t="s">
        <v>1395</v>
      </c>
      <c r="AX242" s="3" t="str">
        <f>HYPERLINK("https://icf.clappia.com/app/GMB253374/submission/SRS12522982/ICF247370-GMB253374-4iakjf577ek40000000/SIG-20250704_1005bc95h.jpeg", "SIG-20250704_1005bc95h.jpeg")</f>
        <v>SIG-20250704_1005bc95h.jpeg</v>
      </c>
      <c r="AY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1396</v>
      </c>
      <c r="B243" s="2" t="s">
        <v>47</v>
      </c>
      <c r="C243" s="1" t="s">
        <v>1397</v>
      </c>
      <c r="D243" s="1" t="s">
        <v>1397</v>
      </c>
      <c r="E243" s="1" t="s">
        <v>1398</v>
      </c>
      <c r="F243" s="1" t="s">
        <v>51</v>
      </c>
      <c r="G243" s="1">
        <v>299.0</v>
      </c>
      <c r="H243" s="1" t="s">
        <v>52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53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54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56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57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f t="shared" si="1"/>
        <v>298</v>
      </c>
      <c r="AM243" s="1">
        <v>299.0</v>
      </c>
      <c r="AN243" s="1">
        <v>311.0</v>
      </c>
      <c r="AO243" s="1">
        <v>298.0</v>
      </c>
      <c r="AP243" s="2">
        <v>11.0</v>
      </c>
      <c r="AQ243" s="1">
        <v>1.0</v>
      </c>
      <c r="AR243" s="1">
        <v>1.0</v>
      </c>
      <c r="AS243" s="1" t="s">
        <v>1399</v>
      </c>
      <c r="AT243" s="3" t="str">
        <f>HYPERLINK("https://icf.clappia.com/app/GMB253374/submission/VMQ96733101/ICF247370-GMB253374-5l7enaplh9de00000000/SIG-20250704_1002ho83i.jpeg", "SIG-20250704_1002ho83i.jpeg")</f>
        <v>SIG-20250704_1002ho83i.jpeg</v>
      </c>
      <c r="AU243" s="1" t="s">
        <v>1067</v>
      </c>
      <c r="AV243" s="3" t="str">
        <f>HYPERLINK("https://icf.clappia.com/app/GMB253374/submission/VMQ96733101/ICF247370-GMB253374-2094hf309d9a00000000/SIG-20250704_1002hm6bk.jpeg", "SIG-20250704_1002hm6bk.jpeg")</f>
        <v>SIG-20250704_1002hm6bk.jpeg</v>
      </c>
      <c r="AW243" s="1" t="s">
        <v>1400</v>
      </c>
      <c r="AX243" s="3" t="str">
        <f>HYPERLINK("https://icf.clappia.com/app/GMB253374/submission/VMQ96733101/ICF247370-GMB253374-je1iaoe8ehg40000000/SIG-20250704_095917pdif.jpeg", "SIG-20250704_095917pdif.jpeg")</f>
        <v>SIG-20250704_095917pdif.jpeg</v>
      </c>
      <c r="AY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1401</v>
      </c>
      <c r="B244" s="2" t="s">
        <v>47</v>
      </c>
      <c r="C244" s="1" t="s">
        <v>1402</v>
      </c>
      <c r="D244" s="1" t="s">
        <v>1402</v>
      </c>
      <c r="E244" s="1" t="s">
        <v>1403</v>
      </c>
      <c r="F244" s="1" t="s">
        <v>51</v>
      </c>
      <c r="G244" s="1">
        <v>425.0</v>
      </c>
      <c r="H244" s="1" t="s">
        <v>52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53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54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56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57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f t="shared" si="1"/>
        <v>423</v>
      </c>
      <c r="AM244" s="1">
        <v>425.0</v>
      </c>
      <c r="AN244" s="1">
        <v>437.0</v>
      </c>
      <c r="AO244" s="1">
        <v>405.0</v>
      </c>
      <c r="AP244" s="2">
        <v>11.0</v>
      </c>
      <c r="AQ244" s="1">
        <v>20.0</v>
      </c>
      <c r="AR244" s="1">
        <v>20.0</v>
      </c>
      <c r="AS244" s="1" t="s">
        <v>1404</v>
      </c>
      <c r="AT244" s="3" t="str">
        <f>HYPERLINK("https://icf.clappia.com/app/GMB253374/submission/ZOX41453840/ICF247370-GMB253374-1p7p39ng7ka8o0000000/SIG-20250703_1106b4f1b.jpeg", "SIG-20250703_1106b4f1b.jpeg")</f>
        <v>SIG-20250703_1106b4f1b.jpeg</v>
      </c>
      <c r="AU244" s="1" t="s">
        <v>1405</v>
      </c>
      <c r="AV244" s="3" t="str">
        <f>HYPERLINK("https://icf.clappia.com/app/GMB253374/submission/ZOX41453840/ICF247370-GMB253374-4p20bk8m09h200000000/SIG-20250703_1107ceg20.jpeg", "SIG-20250703_1107ceg20.jpeg")</f>
        <v>SIG-20250703_1107ceg20.jpeg</v>
      </c>
      <c r="AW244" s="1" t="s">
        <v>1406</v>
      </c>
      <c r="AX244" s="3" t="str">
        <f>HYPERLINK("https://icf.clappia.com/app/GMB253374/submission/ZOX41453840/ICF247370-GMB253374-68okp14c2mkg00000000/SIG-20250703_110719i63c.jpeg", "SIG-20250703_110719i63c.jpeg")</f>
        <v>SIG-20250703_110719i63c.jpeg</v>
      </c>
      <c r="AY244" s="3" t="str">
        <f>HYPERLINK("https://www.google.com/maps/place/8.6640017%2C-12.21279", "8.6640017,-12.21279")</f>
        <v>8.6640017,-12.21279</v>
      </c>
    </row>
    <row r="245" ht="15.75" customHeight="1">
      <c r="A245" s="1" t="s">
        <v>1407</v>
      </c>
      <c r="B245" s="2" t="s">
        <v>47</v>
      </c>
      <c r="C245" s="1" t="s">
        <v>1408</v>
      </c>
      <c r="D245" s="1" t="s">
        <v>1408</v>
      </c>
      <c r="E245" s="1" t="s">
        <v>1409</v>
      </c>
      <c r="F245" s="1" t="s">
        <v>72</v>
      </c>
      <c r="G245" s="1">
        <v>109.0</v>
      </c>
      <c r="H245" s="1" t="s">
        <v>52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53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54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56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57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f t="shared" si="1"/>
        <v>51</v>
      </c>
      <c r="AM245" s="1">
        <v>109.0</v>
      </c>
      <c r="AN245" s="1">
        <v>121.0</v>
      </c>
      <c r="AO245" s="1">
        <v>51.0</v>
      </c>
      <c r="AP245" s="2">
        <v>11.0</v>
      </c>
      <c r="AQ245" s="1">
        <v>58.0</v>
      </c>
      <c r="AR245" s="1">
        <v>58.0</v>
      </c>
      <c r="AS245" s="1" t="s">
        <v>1318</v>
      </c>
      <c r="AT245" s="3" t="str">
        <f>HYPERLINK("https://icf.clappia.com/app/GMB253374/submission/GGX77987719/ICF247370-GMB253374-2p44ihd7hk3o00000000/SIG-20250704_094314017e.jpeg", "SIG-20250704_094314017e.jpeg")</f>
        <v>SIG-20250704_094314017e.jpeg</v>
      </c>
      <c r="AU245" s="1" t="s">
        <v>1319</v>
      </c>
      <c r="AV245" s="3" t="str">
        <f>HYPERLINK("https://icf.clappia.com/app/GMB253374/submission/GGX77987719/ICF247370-GMB253374-36dkdk8bplbi00000000/SIG-20250704_09459gmj2.jpeg", "SIG-20250704_09459gmj2.jpeg")</f>
        <v>SIG-20250704_09459gmj2.jpeg</v>
      </c>
      <c r="AW245" s="1" t="s">
        <v>1320</v>
      </c>
      <c r="AX245" s="3" t="str">
        <f>HYPERLINK("https://icf.clappia.com/app/GMB253374/submission/GGX77987719/ICF247370-GMB253374-acblk7j2gfhi0000000/SIG-20250704_0946oho40.jpeg", "SIG-20250704_0946oho40.jpeg")</f>
        <v>SIG-20250704_0946oho40.jpeg</v>
      </c>
      <c r="AY245" s="3" t="str">
        <f>HYPERLINK("https://www.google.com/maps/place/7.93006%2C-11.7226517", "7.93006,-11.7226517")</f>
        <v>7.93006,-11.7226517</v>
      </c>
    </row>
    <row r="246" ht="15.75" customHeight="1">
      <c r="A246" s="1" t="s">
        <v>1410</v>
      </c>
      <c r="B246" s="2" t="s">
        <v>47</v>
      </c>
      <c r="C246" s="1" t="s">
        <v>1408</v>
      </c>
      <c r="D246" s="1" t="s">
        <v>1408</v>
      </c>
      <c r="E246" s="1" t="s">
        <v>1411</v>
      </c>
      <c r="F246" s="1" t="s">
        <v>51</v>
      </c>
      <c r="G246" s="1">
        <v>53.0</v>
      </c>
      <c r="H246" s="1" t="s">
        <v>52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53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54</v>
      </c>
      <c r="U246" s="1">
        <v>3.0</v>
      </c>
      <c r="V246" s="1" t="s">
        <v>55</v>
      </c>
      <c r="W246" s="1" t="s">
        <v>55</v>
      </c>
      <c r="X246" s="1">
        <v>3.0</v>
      </c>
      <c r="Y246" s="1">
        <v>3.0</v>
      </c>
      <c r="Z246" s="1" t="s">
        <v>56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57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f t="shared" si="1"/>
        <v>65</v>
      </c>
      <c r="AM246" s="1">
        <v>53.0</v>
      </c>
      <c r="AN246" s="1">
        <v>65.0</v>
      </c>
      <c r="AO246" s="1">
        <v>53.0</v>
      </c>
      <c r="AP246" s="2">
        <v>11.0</v>
      </c>
      <c r="AQ246" s="1">
        <v>0.0</v>
      </c>
      <c r="AR246" s="1">
        <v>0.0</v>
      </c>
      <c r="AS246" s="1" t="s">
        <v>1276</v>
      </c>
      <c r="AT246" s="3" t="str">
        <f>HYPERLINK("https://icf.clappia.com/app/GMB253374/submission/CXR44656830/ICF247370-GMB253374-2kfnbg9k3p4e00000000/SIG-20250704_09396lp1.jpeg", "SIG-20250704_09396lp1.jpeg")</f>
        <v>SIG-20250704_09396lp1.jpeg</v>
      </c>
      <c r="AU246" s="1" t="s">
        <v>1277</v>
      </c>
      <c r="AV246" s="3" t="str">
        <f>HYPERLINK("https://icf.clappia.com/app/GMB253374/submission/CXR44656830/ICF247370-GMB253374-5fhnik8ep5d200000000/SIG-20250704_0939155oc7.jpeg", "SIG-20250704_0939155oc7.jpeg")</f>
        <v>SIG-20250704_0939155oc7.jpeg</v>
      </c>
      <c r="AW246" s="1" t="s">
        <v>1278</v>
      </c>
      <c r="AX246" s="3" t="str">
        <f>HYPERLINK("https://icf.clappia.com/app/GMB253374/submission/CXR44656830/ICF247370-GMB253374-691gi7i32j1200000000/SIG-20250704_09401a5cnf.jpeg", "SIG-20250704_09401a5cnf.jpeg")</f>
        <v>SIG-20250704_09401a5cnf.jpeg</v>
      </c>
      <c r="AY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1412</v>
      </c>
      <c r="B247" s="2" t="s">
        <v>47</v>
      </c>
      <c r="C247" s="1" t="s">
        <v>1413</v>
      </c>
      <c r="D247" s="1" t="s">
        <v>1413</v>
      </c>
      <c r="E247" s="1" t="s">
        <v>1414</v>
      </c>
      <c r="F247" s="1" t="s">
        <v>51</v>
      </c>
      <c r="G247" s="1">
        <v>225.0</v>
      </c>
      <c r="H247" s="1" t="s">
        <v>52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53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54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56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57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f t="shared" si="1"/>
        <v>225</v>
      </c>
      <c r="AM247" s="1">
        <v>225.0</v>
      </c>
      <c r="AN247" s="1">
        <v>237.0</v>
      </c>
      <c r="AO247" s="1">
        <v>225.0</v>
      </c>
      <c r="AP247" s="2">
        <v>11.0</v>
      </c>
      <c r="AQ247" s="1">
        <v>0.0</v>
      </c>
      <c r="AR247" s="1">
        <v>0.0</v>
      </c>
      <c r="AS247" s="1" t="s">
        <v>1415</v>
      </c>
      <c r="AT247" s="3" t="str">
        <f>HYPERLINK("https://icf.clappia.com/app/GMB253374/submission/ZCY40555849/ICF247370-GMB253374-465029hbbdpg00000000/SIG-20250702_06592e2j6.jpeg", "SIG-20250702_06592e2j6.jpeg")</f>
        <v>SIG-20250702_06592e2j6.jpeg</v>
      </c>
      <c r="AU247" s="1" t="s">
        <v>1416</v>
      </c>
      <c r="AV247" s="3" t="str">
        <f>HYPERLINK("https://icf.clappia.com/app/GMB253374/submission/ZCY40555849/ICF247370-GMB253374-35k0hpa34o3c0000000/SIG-20250704_09402illo.jpeg", "SIG-20250704_09402illo.jpeg")</f>
        <v>SIG-20250704_09402illo.jpeg</v>
      </c>
      <c r="AW247" s="1" t="s">
        <v>1417</v>
      </c>
      <c r="AX247" s="3" t="str">
        <f>HYPERLINK("https://icf.clappia.com/app/GMB253374/submission/ZCY40555849/ICF247370-GMB253374-1d6ode4ndbh0k0000000/SIG-20250704_0941djccg.jpeg", "SIG-20250704_0941djccg.jpeg")</f>
        <v>SIG-20250704_0941djccg.jpeg</v>
      </c>
      <c r="AY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1418</v>
      </c>
      <c r="B248" s="2" t="s">
        <v>47</v>
      </c>
      <c r="C248" s="1" t="s">
        <v>1419</v>
      </c>
      <c r="D248" s="1" t="s">
        <v>1419</v>
      </c>
      <c r="E248" s="1" t="s">
        <v>1420</v>
      </c>
      <c r="F248" s="1" t="s">
        <v>51</v>
      </c>
      <c r="G248" s="1">
        <v>200.0</v>
      </c>
      <c r="H248" s="1" t="s">
        <v>52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53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54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56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57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f t="shared" si="1"/>
        <v>157</v>
      </c>
      <c r="AM248" s="1">
        <v>200.0</v>
      </c>
      <c r="AN248" s="1">
        <v>212.0</v>
      </c>
      <c r="AO248" s="1">
        <v>157.0</v>
      </c>
      <c r="AP248" s="2">
        <v>11.0</v>
      </c>
      <c r="AQ248" s="1">
        <v>43.0</v>
      </c>
      <c r="AR248" s="1">
        <v>43.0</v>
      </c>
      <c r="AS248" s="1" t="s">
        <v>1421</v>
      </c>
      <c r="AT248" s="3" t="str">
        <f>HYPERLINK("https://icf.clappia.com/app/GMB253374/submission/FJX59285328/ICF247370-GMB253374-27b318l1n04g00000000/SIG-20250704_0935h6kcb.jpeg", "SIG-20250704_0935h6kcb.jpeg")</f>
        <v>SIG-20250704_0935h6kcb.jpeg</v>
      </c>
      <c r="AU248" s="1" t="s">
        <v>798</v>
      </c>
      <c r="AV248" s="3" t="str">
        <f>HYPERLINK("https://icf.clappia.com/app/GMB253374/submission/FJX59285328/ICF247370-GMB253374-8d1pg8pbi09a0000000/SIG-20250704_0936e7ob0.jpeg", "SIG-20250704_0936e7ob0.jpeg")</f>
        <v>SIG-20250704_0936e7ob0.jpeg</v>
      </c>
      <c r="AW248" s="1" t="s">
        <v>1422</v>
      </c>
      <c r="AX248" s="3" t="str">
        <f>HYPERLINK("https://icf.clappia.com/app/GMB253374/submission/FJX59285328/ICF247370-GMB253374-5bge3dbamf6e00000000/SIG-20250704_0938dgd9g.jpeg", "SIG-20250704_0938dgd9g.jpeg")</f>
        <v>SIG-20250704_0938dgd9g.jpeg</v>
      </c>
      <c r="AY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1423</v>
      </c>
      <c r="B249" s="2" t="s">
        <v>47</v>
      </c>
      <c r="C249" s="1" t="s">
        <v>1424</v>
      </c>
      <c r="D249" s="1" t="s">
        <v>1424</v>
      </c>
      <c r="E249" s="1" t="s">
        <v>1425</v>
      </c>
      <c r="F249" s="1" t="s">
        <v>51</v>
      </c>
      <c r="G249" s="1">
        <v>200.0</v>
      </c>
      <c r="H249" s="1" t="s">
        <v>52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53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54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56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57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f t="shared" si="1"/>
        <v>250</v>
      </c>
      <c r="AM249" s="1">
        <v>200.0</v>
      </c>
      <c r="AN249" s="1">
        <v>212.0</v>
      </c>
      <c r="AO249" s="1">
        <v>200.0</v>
      </c>
      <c r="AP249" s="2">
        <v>11.0</v>
      </c>
      <c r="AQ249" s="1">
        <v>0.0</v>
      </c>
      <c r="AR249" s="1">
        <v>0.0</v>
      </c>
      <c r="AS249" s="1" t="s">
        <v>1426</v>
      </c>
      <c r="AT249" s="3" t="str">
        <f>HYPERLINK("https://icf.clappia.com/app/GMB253374/submission/BVW21278923/ICF247370-GMB253374-5en840on0fpe00000000/SIG-20250703_1045109fm8.jpeg", "SIG-20250703_1045109fm8.jpeg")</f>
        <v>SIG-20250703_1045109fm8.jpeg</v>
      </c>
      <c r="AU249" s="1" t="s">
        <v>1427</v>
      </c>
      <c r="AV249" s="3" t="str">
        <f>HYPERLINK("https://icf.clappia.com/app/GMB253374/submission/BVW21278923/ICF247370-GMB253374-dbh3le2nbl6g0000000/SIG-20250703_1046ga50f.jpeg", "SIG-20250703_1046ga50f.jpeg")</f>
        <v>SIG-20250703_1046ga50f.jpeg</v>
      </c>
      <c r="AW249" s="1" t="s">
        <v>1428</v>
      </c>
      <c r="AX249" s="3" t="str">
        <f>HYPERLINK("https://icf.clappia.com/app/GMB253374/submission/BVW21278923/ICF247370-GMB253374-3db7i3p2h5lg00000000/SIG-20250703_104719nk70.jpeg", "SIG-20250703_104719nk70.jpeg")</f>
        <v>SIG-20250703_104719nk70.jpeg</v>
      </c>
      <c r="AY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1429</v>
      </c>
      <c r="B250" s="2" t="s">
        <v>47</v>
      </c>
      <c r="C250" s="1" t="s">
        <v>1430</v>
      </c>
      <c r="D250" s="1" t="s">
        <v>1430</v>
      </c>
      <c r="E250" s="1" t="s">
        <v>1431</v>
      </c>
      <c r="F250" s="1" t="s">
        <v>51</v>
      </c>
      <c r="G250" s="1">
        <v>283.0</v>
      </c>
      <c r="H250" s="1" t="s">
        <v>52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53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54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56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57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f t="shared" si="1"/>
        <v>266</v>
      </c>
      <c r="AM250" s="1">
        <v>283.0</v>
      </c>
      <c r="AN250" s="1">
        <v>295.0</v>
      </c>
      <c r="AO250" s="1">
        <v>258.0</v>
      </c>
      <c r="AP250" s="2">
        <v>11.0</v>
      </c>
      <c r="AQ250" s="1">
        <v>25.0</v>
      </c>
      <c r="AR250" s="1">
        <v>25.0</v>
      </c>
      <c r="AS250" s="1" t="s">
        <v>1432</v>
      </c>
      <c r="AT250" s="3" t="str">
        <f>HYPERLINK("https://icf.clappia.com/app/GMB253374/submission/JOK59848845/ICF247370-GMB253374-2mo5f3b5jhg600000000/SIG-20250704_09249lci.jpeg", "SIG-20250704_09249lci.jpeg")</f>
        <v>SIG-20250704_09249lci.jpeg</v>
      </c>
      <c r="AU250" s="1" t="s">
        <v>1433</v>
      </c>
      <c r="AV250" s="3" t="str">
        <f>HYPERLINK("https://icf.clappia.com/app/GMB253374/submission/JOK59848845/ICF247370-GMB253374-7jgh1hp1oik40000000/SIG-20250704_0924pgfj5.jpeg", "SIG-20250704_0924pgfj5.jpeg")</f>
        <v>SIG-20250704_0924pgfj5.jpeg</v>
      </c>
      <c r="AW250" s="1" t="s">
        <v>1434</v>
      </c>
      <c r="AX250" s="3" t="str">
        <f>HYPERLINK("https://icf.clappia.com/app/GMB253374/submission/JOK59848845/ICF247370-GMB253374-9eo6cg9a905e0000000/SIG-20250704_0924md5fp.jpeg", "SIG-20250704_0924md5fp.jpeg")</f>
        <v>SIG-20250704_0924md5fp.jpeg</v>
      </c>
      <c r="AY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1435</v>
      </c>
      <c r="B251" s="2" t="s">
        <v>47</v>
      </c>
      <c r="C251" s="1" t="s">
        <v>1436</v>
      </c>
      <c r="D251" s="1" t="s">
        <v>1436</v>
      </c>
      <c r="E251" s="2" t="s">
        <v>1437</v>
      </c>
      <c r="F251" s="1" t="s">
        <v>51</v>
      </c>
      <c r="G251" s="1">
        <v>141.0</v>
      </c>
      <c r="H251" s="1" t="s">
        <v>52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53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54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56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57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f t="shared" si="1"/>
        <v>265</v>
      </c>
      <c r="AM251" s="1">
        <v>141.0</v>
      </c>
      <c r="AN251" s="1">
        <v>153.0</v>
      </c>
      <c r="AO251" s="1">
        <v>141.0</v>
      </c>
      <c r="AP251" s="2">
        <v>11.0</v>
      </c>
      <c r="AQ251" s="1">
        <v>0.0</v>
      </c>
      <c r="AR251" s="1">
        <v>0.0</v>
      </c>
      <c r="AS251" s="1" t="s">
        <v>1309</v>
      </c>
      <c r="AT251" s="3" t="str">
        <f>HYPERLINK("https://icf.clappia.com/app/GMB253374/submission/KUJ95356487/ICF247370-GMB253374-22g90c5lp82f20000000/SIG-20250704_09209i2oi.jpeg", "SIG-20250704_09209i2oi.jpeg")</f>
        <v>SIG-20250704_09209i2oi.jpeg</v>
      </c>
      <c r="AU251" s="1" t="s">
        <v>1438</v>
      </c>
      <c r="AV251" s="3" t="str">
        <f>HYPERLINK("https://icf.clappia.com/app/GMB253374/submission/KUJ95356487/ICF247370-GMB253374-4a1klg5pn0h200000000/SIG-20250704_0921762o3.jpeg", "SIG-20250704_0921762o3.jpeg")</f>
        <v>SIG-20250704_0921762o3.jpeg</v>
      </c>
      <c r="AW251" s="1" t="s">
        <v>1439</v>
      </c>
      <c r="AX251" s="3" t="str">
        <f>HYPERLINK("https://icf.clappia.com/app/GMB253374/submission/KUJ95356487/ICF247370-GMB253374-3o1jl7l9418000000000/SIG-20250704_0921158e1o.jpeg", "SIG-20250704_0921158e1o.jpeg")</f>
        <v>SIG-20250704_0921158e1o.jpeg</v>
      </c>
      <c r="AY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1440</v>
      </c>
      <c r="B252" s="2" t="s">
        <v>47</v>
      </c>
      <c r="C252" s="1" t="s">
        <v>1441</v>
      </c>
      <c r="D252" s="1" t="s">
        <v>1441</v>
      </c>
      <c r="E252" s="1" t="s">
        <v>1442</v>
      </c>
      <c r="F252" s="1" t="s">
        <v>51</v>
      </c>
      <c r="G252" s="1">
        <v>120.0</v>
      </c>
      <c r="H252" s="1" t="s">
        <v>52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53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54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56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57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f t="shared" si="1"/>
        <v>120</v>
      </c>
      <c r="AM252" s="1">
        <v>120.0</v>
      </c>
      <c r="AN252" s="1">
        <v>132.0</v>
      </c>
      <c r="AO252" s="1">
        <v>120.0</v>
      </c>
      <c r="AP252" s="2">
        <v>11.0</v>
      </c>
      <c r="AQ252" s="1">
        <v>0.0</v>
      </c>
      <c r="AR252" s="1">
        <v>0.0</v>
      </c>
      <c r="AS252" s="1" t="s">
        <v>1443</v>
      </c>
      <c r="AT252" s="3" t="str">
        <f>HYPERLINK("https://icf.clappia.com/app/GMB253374/submission/UZI18513491/ICF247370-GMB253374-3h9cia0c320o00000000/SIG-20250703_1159133eod.jpeg", "SIG-20250703_1159133eod.jpeg")</f>
        <v>SIG-20250703_1159133eod.jpeg</v>
      </c>
      <c r="AU252" s="1" t="s">
        <v>1444</v>
      </c>
      <c r="AV252" s="3" t="str">
        <f>HYPERLINK("https://icf.clappia.com/app/GMB253374/submission/UZI18513491/ICF247370-GMB253374-4m1ehglhfn2400000000/SIG-20250703_1201f077h.jpeg", "SIG-20250703_1201f077h.jpeg")</f>
        <v>SIG-20250703_1201f077h.jpeg</v>
      </c>
      <c r="AW252" s="1" t="s">
        <v>1445</v>
      </c>
      <c r="AX252" s="3" t="str">
        <f>HYPERLINK("https://icf.clappia.com/app/GMB253374/submission/UZI18513491/ICF247370-GMB253374-5308ij17hoca00000000/SIG-20250703_1202a1n12.jpeg", "SIG-20250703_1202a1n12.jpeg")</f>
        <v>SIG-20250703_1202a1n12.jpeg</v>
      </c>
      <c r="AY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1446</v>
      </c>
      <c r="B253" s="2" t="s">
        <v>47</v>
      </c>
      <c r="C253" s="1" t="s">
        <v>1447</v>
      </c>
      <c r="D253" s="1" t="s">
        <v>1448</v>
      </c>
      <c r="E253" s="1" t="s">
        <v>1449</v>
      </c>
      <c r="F253" s="1" t="s">
        <v>51</v>
      </c>
      <c r="G253" s="1">
        <v>74.0</v>
      </c>
      <c r="H253" s="1" t="s">
        <v>52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53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54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56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57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f t="shared" si="1"/>
        <v>73</v>
      </c>
      <c r="AM253" s="1">
        <v>74.0</v>
      </c>
      <c r="AN253" s="1">
        <v>86.0</v>
      </c>
      <c r="AO253" s="1">
        <v>73.0</v>
      </c>
      <c r="AP253" s="2">
        <v>11.0</v>
      </c>
      <c r="AQ253" s="1">
        <v>1.0</v>
      </c>
      <c r="AR253" s="1">
        <v>1.0</v>
      </c>
      <c r="AS253" s="1" t="s">
        <v>1450</v>
      </c>
      <c r="AT253" s="3" t="str">
        <f>HYPERLINK("https://icf.clappia.com/app/GMB253374/submission/MEG66519861/ICF247370-GMB253374-2771a183c9cg80000000/SIG-20250703_10455fhn2.jpeg", "SIG-20250703_10455fhn2.jpeg")</f>
        <v>SIG-20250703_10455fhn2.jpeg</v>
      </c>
      <c r="AU253" s="1" t="s">
        <v>1451</v>
      </c>
      <c r="AV253" s="3" t="str">
        <f>HYPERLINK("https://icf.clappia.com/app/GMB253374/submission/MEG66519861/ICF247370-GMB253374-356hcn8jc2p800000000/SIG-20250703_1046191k3g.jpeg", "SIG-20250703_1046191k3g.jpeg")</f>
        <v>SIG-20250703_1046191k3g.jpeg</v>
      </c>
      <c r="AW253" s="1" t="s">
        <v>1452</v>
      </c>
      <c r="AX253" s="3" t="str">
        <f>HYPERLINK("https://icf.clappia.com/app/GMB253374/submission/MEG66519861/ICF247370-GMB253374-21ec1m25le9n60000000/SIG-20250703_1046nk8of.jpeg", "SIG-20250703_1046nk8of.jpeg")</f>
        <v>SIG-20250703_1046nk8of.jpeg</v>
      </c>
      <c r="AY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1453</v>
      </c>
      <c r="B254" s="2" t="s">
        <v>47</v>
      </c>
      <c r="C254" s="1" t="s">
        <v>1454</v>
      </c>
      <c r="D254" s="1" t="s">
        <v>1454</v>
      </c>
      <c r="E254" s="1" t="s">
        <v>1455</v>
      </c>
      <c r="F254" s="1" t="s">
        <v>51</v>
      </c>
      <c r="G254" s="1">
        <v>286.0</v>
      </c>
      <c r="H254" s="1" t="s">
        <v>52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53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54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56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57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f t="shared" si="1"/>
        <v>267</v>
      </c>
      <c r="AM254" s="1">
        <v>286.0</v>
      </c>
      <c r="AN254" s="1">
        <v>298.0</v>
      </c>
      <c r="AO254" s="1">
        <v>260.0</v>
      </c>
      <c r="AP254" s="2">
        <v>11.0</v>
      </c>
      <c r="AQ254" s="1">
        <v>26.0</v>
      </c>
      <c r="AR254" s="1">
        <v>26.0</v>
      </c>
      <c r="AS254" s="1" t="s">
        <v>1456</v>
      </c>
      <c r="AT254" s="3" t="str">
        <f>HYPERLINK("https://icf.clappia.com/app/GMB253374/submission/YUQ08340681/ICF247370-GMB253374-1n35c3h5alg3a0000000/SIG-20250704_090117m3dl.jpeg", "SIG-20250704_090117m3dl.jpeg")</f>
        <v>SIG-20250704_090117m3dl.jpeg</v>
      </c>
      <c r="AU254" s="1" t="s">
        <v>1457</v>
      </c>
      <c r="AV254" s="3" t="str">
        <f>HYPERLINK("https://icf.clappia.com/app/GMB253374/submission/YUQ08340681/ICF247370-GMB253374-34k48i2fj4bc00000000/SIG-20250704_0902elcj6.jpeg", "SIG-20250704_0902elcj6.jpeg")</f>
        <v>SIG-20250704_0902elcj6.jpeg</v>
      </c>
      <c r="AW254" s="1" t="s">
        <v>1458</v>
      </c>
      <c r="AX254" s="3" t="str">
        <f>HYPERLINK("https://icf.clappia.com/app/GMB253374/submission/YUQ08340681/ICF247370-GMB253374-1jko858j560ko0000000/SIG-20250704_09024edep.jpeg", "SIG-20250704_09024edep.jpeg")</f>
        <v>SIG-20250704_09024edep.jpeg</v>
      </c>
      <c r="AY254" s="3" t="str">
        <f>HYPERLINK("https://www.google.com/maps/place/8.70317%2C-12.1413267", "8.70317,-12.1413267")</f>
        <v>8.70317,-12.1413267</v>
      </c>
    </row>
    <row r="255" ht="15.75" customHeight="1">
      <c r="A255" s="1" t="s">
        <v>1459</v>
      </c>
      <c r="B255" s="2" t="s">
        <v>47</v>
      </c>
      <c r="C255" s="1" t="s">
        <v>1460</v>
      </c>
      <c r="D255" s="1" t="s">
        <v>1460</v>
      </c>
      <c r="E255" s="2" t="s">
        <v>1461</v>
      </c>
      <c r="F255" s="1" t="s">
        <v>72</v>
      </c>
      <c r="G255" s="1">
        <v>150.0</v>
      </c>
      <c r="H255" s="1" t="s">
        <v>52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53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54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56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57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f t="shared" si="1"/>
        <v>148</v>
      </c>
      <c r="AM255" s="1">
        <v>150.0</v>
      </c>
      <c r="AN255" s="1">
        <v>162.0</v>
      </c>
      <c r="AO255" s="1">
        <v>148.0</v>
      </c>
      <c r="AP255" s="2">
        <v>11.0</v>
      </c>
      <c r="AQ255" s="1">
        <v>2.0</v>
      </c>
      <c r="AR255" s="1">
        <v>2.0</v>
      </c>
      <c r="AS255" s="1" t="s">
        <v>1462</v>
      </c>
      <c r="AT255" s="3" t="str">
        <f>HYPERLINK("https://icf.clappia.com/app/GMB253374/submission/BNE85327911/ICF247370-GMB253374-5cgdi9hbo7m20000000/SIG-20250703_123913eb5l.jpeg", "SIG-20250703_123913eb5l.jpeg")</f>
        <v>SIG-20250703_123913eb5l.jpeg</v>
      </c>
      <c r="AU255" s="1" t="s">
        <v>1463</v>
      </c>
      <c r="AV255" s="3" t="str">
        <f>HYPERLINK("https://icf.clappia.com/app/GMB253374/submission/BNE85327911/ICF247370-GMB253374-38g8052glhpc00000000/SIG-20250703_12381940ap.jpeg", "SIG-20250703_12381940ap.jpeg")</f>
        <v>SIG-20250703_12381940ap.jpeg</v>
      </c>
      <c r="AW255" s="1" t="s">
        <v>1464</v>
      </c>
      <c r="AX255" s="3" t="str">
        <f>HYPERLINK("https://icf.clappia.com/app/GMB253374/submission/BNE85327911/ICF247370-GMB253374-1mmgb13id9ha00000000/SIG-20250703_12393gc6e.jpeg", "SIG-20250703_12393gc6e.jpeg")</f>
        <v>SIG-20250703_12393gc6e.jpeg</v>
      </c>
      <c r="AY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1465</v>
      </c>
      <c r="B256" s="2" t="s">
        <v>47</v>
      </c>
      <c r="C256" s="1" t="s">
        <v>1466</v>
      </c>
      <c r="D256" s="1" t="s">
        <v>1467</v>
      </c>
      <c r="E256" s="1" t="s">
        <v>1468</v>
      </c>
      <c r="F256" s="1" t="s">
        <v>72</v>
      </c>
      <c r="G256" s="1">
        <v>79.0</v>
      </c>
      <c r="H256" s="1" t="s">
        <v>52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53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54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56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57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f t="shared" si="1"/>
        <v>26</v>
      </c>
      <c r="AM256" s="1">
        <v>79.0</v>
      </c>
      <c r="AN256" s="1">
        <v>91.0</v>
      </c>
      <c r="AO256" s="1">
        <v>23.0</v>
      </c>
      <c r="AP256" s="2">
        <v>11.0</v>
      </c>
      <c r="AQ256" s="1">
        <v>56.0</v>
      </c>
      <c r="AR256" s="1">
        <v>56.0</v>
      </c>
      <c r="AS256" s="1" t="s">
        <v>1469</v>
      </c>
      <c r="AT256" s="3" t="str">
        <f>HYPERLINK("https://icf.clappia.com/app/GMB253374/submission/YPA76756950/ICF247370-GMB253374-4f53mc80b7pk00000000/SIG-20250701_1303a02nb.jpeg", "SIG-20250701_1303a02nb.jpeg")</f>
        <v>SIG-20250701_1303a02nb.jpeg</v>
      </c>
      <c r="AU256" s="1" t="s">
        <v>1470</v>
      </c>
      <c r="AV256" s="3" t="str">
        <f>HYPERLINK("https://icf.clappia.com/app/GMB253374/submission/YPA76756950/ICF247370-GMB253374-36oddod787k800000000/SIG-20250701_13039321j.jpeg", "SIG-20250701_13039321j.jpeg")</f>
        <v>SIG-20250701_13039321j.jpeg</v>
      </c>
      <c r="AW256" s="1" t="s">
        <v>1471</v>
      </c>
      <c r="AX256" s="3" t="str">
        <f>HYPERLINK("https://icf.clappia.com/app/GMB253374/submission/YPA76756950/ICF247370-GMB253374-5p87h5k2728a00000000/SIG-20250701_1304841if.jpeg", "SIG-20250701_1304841if.jpeg")</f>
        <v>SIG-20250701_1304841if.jpeg</v>
      </c>
      <c r="AY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1472</v>
      </c>
      <c r="B257" s="2" t="s">
        <v>47</v>
      </c>
      <c r="C257" s="1" t="s">
        <v>1473</v>
      </c>
      <c r="D257" s="1" t="s">
        <v>1473</v>
      </c>
      <c r="E257" s="1" t="s">
        <v>1474</v>
      </c>
      <c r="F257" s="1" t="s">
        <v>51</v>
      </c>
      <c r="G257" s="1">
        <v>70.0</v>
      </c>
      <c r="H257" s="1" t="s">
        <v>52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53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54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56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57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f t="shared" si="1"/>
        <v>70</v>
      </c>
      <c r="AM257" s="1">
        <v>70.0</v>
      </c>
      <c r="AN257" s="1">
        <v>82.0</v>
      </c>
      <c r="AO257" s="1">
        <v>70.0</v>
      </c>
      <c r="AP257" s="2">
        <v>11.0</v>
      </c>
      <c r="AQ257" s="1">
        <v>0.0</v>
      </c>
      <c r="AR257" s="1">
        <v>0.0</v>
      </c>
      <c r="AS257" s="1" t="s">
        <v>1475</v>
      </c>
      <c r="AT257" s="3" t="str">
        <f>HYPERLINK("https://icf.clappia.com/app/GMB253374/submission/MXP58675583/ICF247370-GMB253374-1icbimkb42bg40000000/SIG-20250704_0647bg2h5.jpeg", "SIG-20250704_0647bg2h5.jpeg")</f>
        <v>SIG-20250704_0647bg2h5.jpeg</v>
      </c>
      <c r="AU257" s="1" t="s">
        <v>1476</v>
      </c>
      <c r="AV257" s="3" t="str">
        <f>HYPERLINK("https://icf.clappia.com/app/GMB253374/submission/MXP58675583/ICF247370-GMB253374-483681nc134c00000000/SIG-20250704_06482ak5m.jpeg", "SIG-20250704_06482ak5m.jpeg")</f>
        <v>SIG-20250704_06482ak5m.jpeg</v>
      </c>
      <c r="AW257" s="1" t="s">
        <v>1477</v>
      </c>
      <c r="AX257" s="3" t="str">
        <f>HYPERLINK("https://icf.clappia.com/app/GMB253374/submission/MXP58675583/ICF247370-GMB253374-332fhpime35400000000/SIG-20250704_0649o7poi.jpeg", "SIG-20250704_0649o7poi.jpeg")</f>
        <v>SIG-20250704_0649o7poi.jpeg</v>
      </c>
      <c r="AY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1478</v>
      </c>
      <c r="B258" s="2" t="s">
        <v>47</v>
      </c>
      <c r="C258" s="1" t="s">
        <v>1479</v>
      </c>
      <c r="D258" s="1" t="s">
        <v>1479</v>
      </c>
      <c r="E258" s="1" t="s">
        <v>1480</v>
      </c>
      <c r="F258" s="1" t="s">
        <v>51</v>
      </c>
      <c r="G258" s="1">
        <v>212.0</v>
      </c>
      <c r="H258" s="1" t="s">
        <v>52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53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54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56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57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f t="shared" si="1"/>
        <v>212</v>
      </c>
      <c r="AM258" s="1">
        <v>212.0</v>
      </c>
      <c r="AN258" s="1">
        <v>224.0</v>
      </c>
      <c r="AO258" s="1">
        <v>207.0</v>
      </c>
      <c r="AP258" s="2">
        <v>11.0</v>
      </c>
      <c r="AQ258" s="1">
        <v>5.0</v>
      </c>
      <c r="AR258" s="1">
        <v>5.0</v>
      </c>
      <c r="AS258" s="1" t="s">
        <v>1481</v>
      </c>
      <c r="AT258" s="3" t="str">
        <f>HYPERLINK("https://icf.clappia.com/app/GMB253374/submission/RAD26504080/ICF247370-GMB253374-4k9762g1ae2000000000/SIG-20250703_20449426k.jpeg", "SIG-20250703_20449426k.jpeg")</f>
        <v>SIG-20250703_20449426k.jpeg</v>
      </c>
      <c r="AU258" s="1" t="s">
        <v>1482</v>
      </c>
      <c r="AV258" s="3" t="str">
        <f>HYPERLINK("https://icf.clappia.com/app/GMB253374/submission/RAD26504080/ICF247370-GMB253374-52g0697e60240000000/SIG-20250703_20438nkfe.jpeg", "SIG-20250703_20438nkfe.jpeg")</f>
        <v>SIG-20250703_20438nkfe.jpeg</v>
      </c>
      <c r="AW258" s="1" t="s">
        <v>1483</v>
      </c>
      <c r="AX258" s="3" t="str">
        <f>HYPERLINK("https://icf.clappia.com/app/GMB253374/submission/RAD26504080/ICF247370-GMB253374-5a031pb4co4400000000/SIG-20250703_204419l412.jpeg", "SIG-20250703_204419l412.jpeg")</f>
        <v>SIG-20250703_204419l412.jpeg</v>
      </c>
      <c r="AY258" s="3" t="str">
        <f>HYPERLINK("https://www.google.com/maps/place/9.121005%2C-12.1112567", "9.121005,-12.1112567")</f>
        <v>9.121005,-12.1112567</v>
      </c>
    </row>
    <row r="259" ht="15.75" customHeight="1">
      <c r="A259" s="1" t="s">
        <v>1484</v>
      </c>
      <c r="B259" s="2" t="s">
        <v>47</v>
      </c>
      <c r="C259" s="1" t="s">
        <v>1485</v>
      </c>
      <c r="D259" s="1" t="s">
        <v>1485</v>
      </c>
      <c r="E259" s="1" t="s">
        <v>1486</v>
      </c>
      <c r="F259" s="1" t="s">
        <v>51</v>
      </c>
      <c r="G259" s="1">
        <v>350.0</v>
      </c>
      <c r="H259" s="1" t="s">
        <v>52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53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54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56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57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f t="shared" si="1"/>
        <v>313</v>
      </c>
      <c r="AM259" s="1">
        <v>350.0</v>
      </c>
      <c r="AN259" s="1">
        <v>362.0</v>
      </c>
      <c r="AO259" s="1">
        <v>313.0</v>
      </c>
      <c r="AP259" s="2">
        <v>11.0</v>
      </c>
      <c r="AQ259" s="1">
        <v>37.0</v>
      </c>
      <c r="AR259" s="1">
        <v>37.0</v>
      </c>
      <c r="AS259" s="1" t="s">
        <v>1487</v>
      </c>
      <c r="AT259" s="3" t="str">
        <f>HYPERLINK("https://icf.clappia.com/app/GMB253374/submission/FYQ00687942/ICF247370-GMB253374-4me6mnom17hg00000000/SIG-20250703_202710j33f.jpeg", "SIG-20250703_202710j33f.jpeg")</f>
        <v>SIG-20250703_202710j33f.jpeg</v>
      </c>
      <c r="AU259" s="1" t="s">
        <v>1488</v>
      </c>
      <c r="AV259" s="3" t="str">
        <f>HYPERLINK("https://icf.clappia.com/app/GMB253374/submission/FYQ00687942/ICF247370-GMB253374-3ehkmo8g803800000000/SIG-20250703_20273o902.jpeg", "SIG-20250703_20273o902.jpeg")</f>
        <v>SIG-20250703_20273o902.jpeg</v>
      </c>
      <c r="AW259" s="1" t="s">
        <v>1489</v>
      </c>
      <c r="AX259" s="3" t="str">
        <f>HYPERLINK("https://icf.clappia.com/app/GMB253374/submission/FYQ00687942/ICF247370-GMB253374-1if3o3n5m1fh2000000/SIG-20250703_2028ha15.jpeg", "SIG-20250703_2028ha15.jpeg")</f>
        <v>SIG-20250703_2028ha15.jpeg</v>
      </c>
      <c r="AY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1490</v>
      </c>
      <c r="B260" s="2" t="s">
        <v>47</v>
      </c>
      <c r="C260" s="1" t="s">
        <v>1491</v>
      </c>
      <c r="D260" s="1" t="s">
        <v>1491</v>
      </c>
      <c r="E260" s="1" t="s">
        <v>1492</v>
      </c>
      <c r="F260" s="1" t="s">
        <v>51</v>
      </c>
      <c r="G260" s="1">
        <v>180.0</v>
      </c>
      <c r="H260" s="1" t="s">
        <v>52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53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54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56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57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f t="shared" si="1"/>
        <v>174</v>
      </c>
      <c r="AM260" s="1">
        <v>180.0</v>
      </c>
      <c r="AN260" s="1">
        <v>192.0</v>
      </c>
      <c r="AO260" s="1">
        <v>168.0</v>
      </c>
      <c r="AP260" s="2">
        <v>11.0</v>
      </c>
      <c r="AQ260" s="1">
        <v>12.0</v>
      </c>
      <c r="AR260" s="1">
        <v>12.0</v>
      </c>
      <c r="AS260" s="1" t="s">
        <v>1493</v>
      </c>
      <c r="AT260" s="3" t="str">
        <f>HYPERLINK("https://icf.clappia.com/app/GMB253374/submission/MGU12946357/ICF247370-GMB253374-2g384e8nib6800000000/SIG-20250703_19538fjcl.jpeg", "SIG-20250703_19538fjcl.jpeg")</f>
        <v>SIG-20250703_19538fjcl.jpeg</v>
      </c>
      <c r="AU260" s="1" t="s">
        <v>1494</v>
      </c>
      <c r="AV260" s="3" t="str">
        <f>HYPERLINK("https://icf.clappia.com/app/GMB253374/submission/MGU12946357/ICF247370-GMB253374-3o0fcne3o40200000000/SIG-20250703_195411loen.jpeg", "SIG-20250703_195411loen.jpeg")</f>
        <v>SIG-20250703_195411loen.jpeg</v>
      </c>
      <c r="AW260" s="1" t="s">
        <v>1495</v>
      </c>
      <c r="AX260" s="3" t="str">
        <f>HYPERLINK("https://icf.clappia.com/app/GMB253374/submission/MGU12946357/ICF247370-GMB253374-ld8edpmf14ba0000000/SIG-20250703_1954g60i.jpeg", "SIG-20250703_1954g60i.jpeg")</f>
        <v>SIG-20250703_1954g60i.jpeg</v>
      </c>
      <c r="AY260" s="3" t="str">
        <f>HYPERLINK("https://www.google.com/maps/place/8.32304%2C-11.7341767", "8.32304,-11.7341767")</f>
        <v>8.32304,-11.7341767</v>
      </c>
    </row>
    <row r="261" ht="15.75" customHeight="1">
      <c r="A261" s="1" t="s">
        <v>1496</v>
      </c>
      <c r="B261" s="2" t="s">
        <v>47</v>
      </c>
      <c r="C261" s="1" t="s">
        <v>1497</v>
      </c>
      <c r="D261" s="1" t="s">
        <v>1498</v>
      </c>
      <c r="E261" s="1" t="s">
        <v>1499</v>
      </c>
      <c r="F261" s="1" t="s">
        <v>51</v>
      </c>
      <c r="G261" s="1">
        <v>86.0</v>
      </c>
      <c r="H261" s="1" t="s">
        <v>52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53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54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56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57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f t="shared" si="1"/>
        <v>66</v>
      </c>
      <c r="AM261" s="1">
        <v>86.0</v>
      </c>
      <c r="AN261" s="1">
        <v>98.0</v>
      </c>
      <c r="AO261" s="1">
        <v>39.0</v>
      </c>
      <c r="AP261" s="2">
        <v>11.0</v>
      </c>
      <c r="AQ261" s="1">
        <v>47.0</v>
      </c>
      <c r="AR261" s="1">
        <v>47.0</v>
      </c>
      <c r="AS261" s="1" t="s">
        <v>1500</v>
      </c>
      <c r="AT261" s="3" t="str">
        <f>HYPERLINK("https://icf.clappia.com/app/GMB253374/submission/EAC05769865/ICF247370-GMB253374-80pkdg0cbj2c0000000/SIG-20250703_1648mo2fo.jpeg", "SIG-20250703_1648mo2fo.jpeg")</f>
        <v>SIG-20250703_1648mo2fo.jpeg</v>
      </c>
      <c r="AU261" s="1" t="s">
        <v>1501</v>
      </c>
      <c r="AV261" s="3" t="str">
        <f>HYPERLINK("https://icf.clappia.com/app/GMB253374/submission/EAC05769865/ICF247370-GMB253374-1ghog17h2e9ng0000000/SIG-20250703_16492clbf.jpeg", "SIG-20250703_16492clbf.jpeg")</f>
        <v>SIG-20250703_16492clbf.jpeg</v>
      </c>
      <c r="AW261" s="1" t="s">
        <v>1502</v>
      </c>
      <c r="AX261" s="3" t="str">
        <f>HYPERLINK("https://icf.clappia.com/app/GMB253374/submission/EAC05769865/ICF247370-GMB253374-245p3m9388poc0000000/SIG-20250703_1649go99g.jpeg", "SIG-20250703_1649go99g.jpeg")</f>
        <v>SIG-20250703_1649go99g.jpeg</v>
      </c>
      <c r="AY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1503</v>
      </c>
      <c r="B262" s="2" t="s">
        <v>47</v>
      </c>
      <c r="C262" s="1" t="s">
        <v>1504</v>
      </c>
      <c r="D262" s="1" t="s">
        <v>1504</v>
      </c>
      <c r="E262" s="1" t="s">
        <v>1505</v>
      </c>
      <c r="F262" s="1" t="s">
        <v>51</v>
      </c>
      <c r="G262" s="1">
        <v>68.0</v>
      </c>
      <c r="H262" s="1" t="s">
        <v>52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53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54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56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57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f t="shared" si="1"/>
        <v>252</v>
      </c>
      <c r="AM262" s="1">
        <v>68.0</v>
      </c>
      <c r="AN262" s="1">
        <v>80.0</v>
      </c>
      <c r="AO262" s="1">
        <v>68.0</v>
      </c>
      <c r="AP262" s="2">
        <v>11.0</v>
      </c>
      <c r="AQ262" s="1">
        <v>0.0</v>
      </c>
      <c r="AR262" s="1">
        <v>0.0</v>
      </c>
      <c r="AS262" s="1" t="s">
        <v>1506</v>
      </c>
      <c r="AT262" s="3" t="str">
        <f>HYPERLINK("https://icf.clappia.com/app/GMB253374/submission/LLR59416010/ICF247370-GMB253374-o4go5587k0bo0000000/SIG-20250703_1927ebk6d.jpeg", "SIG-20250703_1927ebk6d.jpeg")</f>
        <v>SIG-20250703_1927ebk6d.jpeg</v>
      </c>
      <c r="AU262" s="1" t="s">
        <v>1507</v>
      </c>
      <c r="AV262" s="3" t="str">
        <f>HYPERLINK("https://icf.clappia.com/app/GMB253374/submission/LLR59416010/ICF247370-GMB253374-27016d2b3lpjg0000000/SIG-20250703_19281aha8e.jpeg", "SIG-20250703_19281aha8e.jpeg")</f>
        <v>SIG-20250703_19281aha8e.jpeg</v>
      </c>
      <c r="AW262" s="1" t="s">
        <v>1508</v>
      </c>
      <c r="AX262" s="3" t="str">
        <f>HYPERLINK("https://icf.clappia.com/app/GMB253374/submission/LLR59416010/ICF247370-GMB253374-42kcapge1ca200000000/SIG-20250703_19298e0hf.jpeg", "SIG-20250703_19298e0hf.jpeg")</f>
        <v>SIG-20250703_19298e0hf.jpeg</v>
      </c>
      <c r="AY262" s="3" t="str">
        <f>HYPERLINK("https://www.google.com/maps/place/8.3218367%2C-11.73492", "8.3218367,-11.73492")</f>
        <v>8.3218367,-11.73492</v>
      </c>
    </row>
    <row r="263" ht="15.75" customHeight="1">
      <c r="A263" s="1" t="s">
        <v>1509</v>
      </c>
      <c r="B263" s="2" t="s">
        <v>47</v>
      </c>
      <c r="C263" s="1" t="s">
        <v>1510</v>
      </c>
      <c r="D263" s="1" t="s">
        <v>1510</v>
      </c>
      <c r="E263" s="1" t="s">
        <v>1511</v>
      </c>
      <c r="F263" s="1" t="s">
        <v>51</v>
      </c>
      <c r="G263" s="1">
        <v>193.0</v>
      </c>
      <c r="H263" s="1" t="s">
        <v>52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53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54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56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57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f t="shared" si="1"/>
        <v>99</v>
      </c>
      <c r="AM263" s="1">
        <v>193.0</v>
      </c>
      <c r="AN263" s="1">
        <v>205.0</v>
      </c>
      <c r="AO263" s="1">
        <v>66.0</v>
      </c>
      <c r="AP263" s="2">
        <v>11.0</v>
      </c>
      <c r="AQ263" s="1">
        <v>127.0</v>
      </c>
      <c r="AR263" s="1">
        <v>127.0</v>
      </c>
      <c r="AS263" s="1" t="s">
        <v>1500</v>
      </c>
      <c r="AT263" s="3" t="str">
        <f>HYPERLINK("https://icf.clappia.com/app/GMB253374/submission/ANL66704774/ICF247370-GMB253374-8einfcpnehn60000000/SIG-20250703_1631khelb.jpeg", "SIG-20250703_1631khelb.jpeg")</f>
        <v>SIG-20250703_1631khelb.jpeg</v>
      </c>
      <c r="AU263" s="1" t="s">
        <v>1501</v>
      </c>
      <c r="AV263" s="3" t="str">
        <f>HYPERLINK("https://icf.clappia.com/app/GMB253374/submission/ANL66704774/ICF247370-GMB253374-3b4l5pod18ho00000000/SIG-20250703_16321aa71g.jpeg", "SIG-20250703_16321aa71g.jpeg")</f>
        <v>SIG-20250703_16321aa71g.jpeg</v>
      </c>
      <c r="AW263" s="1" t="s">
        <v>1512</v>
      </c>
      <c r="AX263" s="3" t="str">
        <f>HYPERLINK("https://icf.clappia.com/app/GMB253374/submission/ANL66704774/ICF247370-GMB253374-5lb0l9emhlha00000000/SIG-20250703_163211gf5l.jpeg", "SIG-20250703_163211gf5l.jpeg")</f>
        <v>SIG-20250703_163211gf5l.jpeg</v>
      </c>
      <c r="AY263" s="3" t="str">
        <f>HYPERLINK("https://www.google.com/maps/place/8.1926833%2C-11.742215", "8.1926833,-11.742215")</f>
        <v>8.1926833,-11.742215</v>
      </c>
    </row>
    <row r="264" ht="15.75" customHeight="1">
      <c r="A264" s="1" t="s">
        <v>1513</v>
      </c>
      <c r="B264" s="2" t="s">
        <v>47</v>
      </c>
      <c r="C264" s="1" t="s">
        <v>1514</v>
      </c>
      <c r="D264" s="1" t="s">
        <v>1515</v>
      </c>
      <c r="E264" s="1" t="s">
        <v>1516</v>
      </c>
      <c r="F264" s="1" t="s">
        <v>51</v>
      </c>
      <c r="G264" s="1">
        <v>389.0</v>
      </c>
      <c r="H264" s="1" t="s">
        <v>52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53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54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56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57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f t="shared" si="1"/>
        <v>389</v>
      </c>
      <c r="AM264" s="1">
        <v>389.0</v>
      </c>
      <c r="AN264" s="1">
        <v>401.0</v>
      </c>
      <c r="AO264" s="1">
        <v>380.0</v>
      </c>
      <c r="AP264" s="2">
        <v>11.0</v>
      </c>
      <c r="AQ264" s="1">
        <v>9.0</v>
      </c>
      <c r="AR264" s="1">
        <v>9.0</v>
      </c>
      <c r="AS264" s="1" t="s">
        <v>1434</v>
      </c>
      <c r="AT264" s="3" t="str">
        <f>HYPERLINK("https://icf.clappia.com/app/GMB253374/submission/LKH47624455/ICF247370-GMB253374-le0poh7dfbh20000000/SIG-20250703_1916afmj7.jpeg", "SIG-20250703_1916afmj7.jpeg")</f>
        <v>SIG-20250703_1916afmj7.jpeg</v>
      </c>
      <c r="AU264" s="1" t="s">
        <v>1432</v>
      </c>
      <c r="AV264" s="3" t="str">
        <f>HYPERLINK("https://icf.clappia.com/app/GMB253374/submission/LKH47624455/ICF247370-GMB253374-3hpi1l6fc0ie00000000/SIG-20250703_1917742fc.jpeg", "SIG-20250703_1917742fc.jpeg")</f>
        <v>SIG-20250703_1917742fc.jpeg</v>
      </c>
      <c r="AW264" s="1" t="s">
        <v>1433</v>
      </c>
      <c r="AX264" s="3" t="str">
        <f>HYPERLINK("https://icf.clappia.com/app/GMB253374/submission/LKH47624455/ICF247370-GMB253374-51khi7pk2kgc00000000/SIG-20250703_1917lmp91.jpeg", "SIG-20250703_1917lmp91.jpeg")</f>
        <v>SIG-20250703_1917lmp91.jpeg</v>
      </c>
      <c r="AY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1517</v>
      </c>
      <c r="B265" s="2" t="s">
        <v>47</v>
      </c>
      <c r="C265" s="1" t="s">
        <v>1518</v>
      </c>
      <c r="D265" s="1" t="s">
        <v>1518</v>
      </c>
      <c r="E265" s="1" t="s">
        <v>1519</v>
      </c>
      <c r="F265" s="1" t="s">
        <v>51</v>
      </c>
      <c r="G265" s="1">
        <v>132.0</v>
      </c>
      <c r="H265" s="1" t="s">
        <v>52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53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54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56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57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f t="shared" si="1"/>
        <v>122</v>
      </c>
      <c r="AM265" s="1">
        <v>132.0</v>
      </c>
      <c r="AN265" s="1">
        <v>144.0</v>
      </c>
      <c r="AO265" s="1">
        <v>113.0</v>
      </c>
      <c r="AP265" s="2">
        <v>11.0</v>
      </c>
      <c r="AQ265" s="1">
        <v>19.0</v>
      </c>
      <c r="AR265" s="1">
        <v>19.0</v>
      </c>
      <c r="AS265" s="1" t="s">
        <v>1520</v>
      </c>
      <c r="AT265" s="3" t="str">
        <f>HYPERLINK("https://icf.clappia.com/app/GMB253374/submission/SNV92680816/ICF247370-GMB253374-59ea44o0cooe00000000/SIG-20250703_1415od3hc.jpeg", "SIG-20250703_1415od3hc.jpeg")</f>
        <v>SIG-20250703_1415od3hc.jpeg</v>
      </c>
      <c r="AU265" s="1" t="s">
        <v>1521</v>
      </c>
      <c r="AV265" s="3" t="str">
        <f>HYPERLINK("https://icf.clappia.com/app/GMB253374/submission/SNV92680816/ICF247370-GMB253374-5fkgnmcnoha600000000/SIG-20250703_141619c6fk.jpeg", "SIG-20250703_141619c6fk.jpeg")</f>
        <v>SIG-20250703_141619c6fk.jpeg</v>
      </c>
      <c r="AW265" s="1" t="s">
        <v>1522</v>
      </c>
      <c r="AX265" s="3" t="str">
        <f>HYPERLINK("https://icf.clappia.com/app/GMB253374/submission/SNV92680816/ICF247370-GMB253374-4n3iog0hmnh800000000/SIG-20250703_1416l5m31.jpeg", "SIG-20250703_1416l5m31.jpeg")</f>
        <v>SIG-20250703_1416l5m31.jpeg</v>
      </c>
      <c r="AY265" s="3" t="str">
        <f>HYPERLINK("https://www.google.com/maps/place/8.216435%2C-11.601755", "8.216435,-11.601755")</f>
        <v>8.216435,-11.601755</v>
      </c>
    </row>
    <row r="266" ht="15.75" customHeight="1">
      <c r="A266" s="1" t="s">
        <v>1523</v>
      </c>
      <c r="B266" s="2" t="s">
        <v>47</v>
      </c>
      <c r="C266" s="1" t="s">
        <v>1524</v>
      </c>
      <c r="D266" s="1" t="s">
        <v>1524</v>
      </c>
      <c r="E266" s="1" t="s">
        <v>1525</v>
      </c>
      <c r="F266" s="1" t="s">
        <v>51</v>
      </c>
      <c r="G266" s="1">
        <v>190.0</v>
      </c>
      <c r="H266" s="1" t="s">
        <v>52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53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54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56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57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f t="shared" si="1"/>
        <v>208</v>
      </c>
      <c r="AM266" s="1">
        <v>190.0</v>
      </c>
      <c r="AN266" s="1">
        <v>202.0</v>
      </c>
      <c r="AO266" s="1">
        <v>189.0</v>
      </c>
      <c r="AP266" s="2">
        <v>11.0</v>
      </c>
      <c r="AQ266" s="1">
        <v>1.0</v>
      </c>
      <c r="AR266" s="1">
        <v>1.0</v>
      </c>
      <c r="AS266" s="1" t="s">
        <v>1493</v>
      </c>
      <c r="AT266" s="3" t="str">
        <f>HYPERLINK("https://icf.clappia.com/app/GMB253374/submission/BFD13448304/ICF247370-GMB253374-4jf0n5cloe8400000000/SIG-20250702_212335kh4.jpeg", "SIG-20250702_212335kh4.jpeg")</f>
        <v>SIG-20250702_212335kh4.jpeg</v>
      </c>
      <c r="AU266" s="1" t="s">
        <v>1494</v>
      </c>
      <c r="AV266" s="3" t="str">
        <f>HYPERLINK("https://icf.clappia.com/app/GMB253374/submission/BFD13448304/ICF247370-GMB253374-6a4chp0o7i280000000/SIG-20250702_211316nhb3.jpeg", "SIG-20250702_211316nhb3.jpeg")</f>
        <v>SIG-20250702_211316nhb3.jpeg</v>
      </c>
      <c r="AW266" s="1" t="s">
        <v>1495</v>
      </c>
      <c r="AX266" s="3" t="str">
        <f>HYPERLINK("https://icf.clappia.com/app/GMB253374/submission/BFD13448304/ICF247370-GMB253374-4c3oonk7ai2i00000000/SIG-20250702_2124fd1fh.jpeg", "SIG-20250702_2124fd1fh.jpeg")</f>
        <v>SIG-20250702_2124fd1fh.jpeg</v>
      </c>
      <c r="AY266" s="3" t="str">
        <f>HYPERLINK("https://www.google.com/maps/place/8.321155%2C-11.7347833", "8.321155,-11.7347833")</f>
        <v>8.321155,-11.7347833</v>
      </c>
    </row>
    <row r="267" ht="15.75" customHeight="1">
      <c r="A267" s="1" t="s">
        <v>1526</v>
      </c>
      <c r="B267" s="2" t="s">
        <v>47</v>
      </c>
      <c r="C267" s="1" t="s">
        <v>1527</v>
      </c>
      <c r="D267" s="1" t="s">
        <v>1527</v>
      </c>
      <c r="E267" s="1" t="s">
        <v>1528</v>
      </c>
      <c r="F267" s="1" t="s">
        <v>51</v>
      </c>
      <c r="G267" s="1">
        <v>277.0</v>
      </c>
      <c r="H267" s="1" t="s">
        <v>52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53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54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56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57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f t="shared" si="1"/>
        <v>277</v>
      </c>
      <c r="AM267" s="1">
        <v>277.0</v>
      </c>
      <c r="AN267" s="1">
        <v>289.0</v>
      </c>
      <c r="AO267" s="1">
        <v>277.0</v>
      </c>
      <c r="AP267" s="2">
        <v>11.0</v>
      </c>
      <c r="AQ267" s="1">
        <v>0.0</v>
      </c>
      <c r="AR267" s="1">
        <v>0.0</v>
      </c>
      <c r="AS267" s="1" t="s">
        <v>1529</v>
      </c>
      <c r="AT267" s="3" t="str">
        <f>HYPERLINK("https://icf.clappia.com/app/GMB253374/submission/VZK06948969/ICF247370-GMB253374-4l4fk155i6pg00000000/SIG-20250703_18487pb8k.jpeg", "SIG-20250703_18487pb8k.jpeg")</f>
        <v>SIG-20250703_18487pb8k.jpeg</v>
      </c>
      <c r="AU267" s="1" t="s">
        <v>1530</v>
      </c>
      <c r="AV267" s="3" t="str">
        <f>HYPERLINK("https://icf.clappia.com/app/GMB253374/submission/VZK06948969/ICF247370-GMB253374-4oa79i51b38c00000000/SIG-20250703_18498fed9.jpeg", "SIG-20250703_18498fed9.jpeg")</f>
        <v>SIG-20250703_18498fed9.jpeg</v>
      </c>
      <c r="AW267" s="1" t="s">
        <v>1531</v>
      </c>
      <c r="AX267" s="3" t="str">
        <f>HYPERLINK("https://icf.clappia.com/app/GMB253374/submission/VZK06948969/ICF247370-GMB253374-3nhb3ic767p20000000/SIG-20250703_18493h7gf.jpeg", "SIG-20250703_18493h7gf.jpeg")</f>
        <v>SIG-20250703_18493h7gf.jpeg</v>
      </c>
      <c r="AY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1532</v>
      </c>
      <c r="B268" s="2" t="s">
        <v>47</v>
      </c>
      <c r="C268" s="1" t="s">
        <v>1533</v>
      </c>
      <c r="D268" s="1" t="s">
        <v>1533</v>
      </c>
      <c r="E268" s="1" t="s">
        <v>1534</v>
      </c>
      <c r="F268" s="1" t="s">
        <v>51</v>
      </c>
      <c r="G268" s="1">
        <v>274.0</v>
      </c>
      <c r="H268" s="1" t="s">
        <v>52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53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54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56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57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f t="shared" si="1"/>
        <v>274</v>
      </c>
      <c r="AM268" s="1">
        <v>274.0</v>
      </c>
      <c r="AN268" s="1">
        <v>286.0</v>
      </c>
      <c r="AO268" s="1">
        <v>270.0</v>
      </c>
      <c r="AP268" s="2">
        <v>11.0</v>
      </c>
      <c r="AQ268" s="1">
        <v>4.0</v>
      </c>
      <c r="AR268" s="1">
        <v>4.0</v>
      </c>
      <c r="AS268" s="1" t="s">
        <v>1535</v>
      </c>
      <c r="AT268" s="3" t="str">
        <f>HYPERLINK("https://icf.clappia.com/app/GMB253374/submission/KKD70726504/ICF247370-GMB253374-58b6gad4gfp200000000/SIG-20250703_1015eoi4g.jpeg", "SIG-20250703_1015eoi4g.jpeg")</f>
        <v>SIG-20250703_1015eoi4g.jpeg</v>
      </c>
      <c r="AU268" s="1" t="s">
        <v>1536</v>
      </c>
      <c r="AV268" s="3" t="str">
        <f>HYPERLINK("https://icf.clappia.com/app/GMB253374/submission/KKD70726504/ICF247370-GMB253374-3f7f807becf600000000/SIG-20250703_10162nn7b.jpeg", "SIG-20250703_10162nn7b.jpeg")</f>
        <v>SIG-20250703_10162nn7b.jpeg</v>
      </c>
      <c r="AW268" s="1" t="s">
        <v>1537</v>
      </c>
      <c r="AX268" s="3" t="str">
        <f>HYPERLINK("https://icf.clappia.com/app/GMB253374/submission/KKD70726504/ICF247370-GMB253374-1o411166h4mn20000000/SIG-20250703_1018g00k3.jpeg", "SIG-20250703_1018g00k3.jpeg")</f>
        <v>SIG-20250703_1018g00k3.jpeg</v>
      </c>
      <c r="AY268" s="3" t="str">
        <f>HYPERLINK("https://www.google.com/maps/place/8.661735%2C-12.2437283", "8.661735,-12.2437283")</f>
        <v>8.661735,-12.2437283</v>
      </c>
    </row>
    <row r="269" ht="15.75" customHeight="1">
      <c r="A269" s="1" t="s">
        <v>1538</v>
      </c>
      <c r="B269" s="2" t="s">
        <v>47</v>
      </c>
      <c r="C269" s="1" t="s">
        <v>1539</v>
      </c>
      <c r="D269" s="1" t="s">
        <v>1539</v>
      </c>
      <c r="E269" s="1" t="s">
        <v>1540</v>
      </c>
      <c r="F269" s="1" t="s">
        <v>51</v>
      </c>
      <c r="G269" s="1">
        <v>200.0</v>
      </c>
      <c r="H269" s="1" t="s">
        <v>52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53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54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56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57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f t="shared" si="1"/>
        <v>200</v>
      </c>
      <c r="AM269" s="1">
        <v>200.0</v>
      </c>
      <c r="AN269" s="1">
        <v>212.0</v>
      </c>
      <c r="AO269" s="1">
        <v>200.0</v>
      </c>
      <c r="AP269" s="2">
        <v>11.0</v>
      </c>
      <c r="AQ269" s="1">
        <v>0.0</v>
      </c>
      <c r="AR269" s="1">
        <v>0.0</v>
      </c>
      <c r="AS269" s="1" t="s">
        <v>1329</v>
      </c>
      <c r="AT269" s="3" t="str">
        <f>HYPERLINK("https://icf.clappia.com/app/GMB253374/submission/JAM54477946/ICF247370-GMB253374-b488m2iah33e0000000/SIG-20250703_181817e6gl.jpeg", "SIG-20250703_181817e6gl.jpeg")</f>
        <v>SIG-20250703_181817e6gl.jpeg</v>
      </c>
      <c r="AU269" s="1" t="s">
        <v>1303</v>
      </c>
      <c r="AV269" s="3" t="str">
        <f>HYPERLINK("https://icf.clappia.com/app/GMB253374/submission/JAM54477946/ICF247370-GMB253374-28mmfj1fa6cic0000000/SIG-20250703_1807jie60.jpeg", "SIG-20250703_1807jie60.jpeg")</f>
        <v>SIG-20250703_1807jie60.jpeg</v>
      </c>
      <c r="AW269" s="1" t="s">
        <v>1304</v>
      </c>
      <c r="AX269" s="3" t="str">
        <f>HYPERLINK("https://icf.clappia.com/app/GMB253374/submission/JAM54477946/ICF247370-GMB253374-4nnn43d6f6f200000000/SIG-20250703_1807gm6c0.jpeg", "SIG-20250703_1807gm6c0.jpeg")</f>
        <v>SIG-20250703_1807gm6c0.jpeg</v>
      </c>
      <c r="AY269" s="3" t="str">
        <f>HYPERLINK("https://www.google.com/maps/place/7.7960833%2C-11.8707", "7.7960833,-11.8707")</f>
        <v>7.7960833,-11.8707</v>
      </c>
    </row>
    <row r="270" ht="15.75" customHeight="1">
      <c r="A270" s="1" t="s">
        <v>1541</v>
      </c>
      <c r="B270" s="2" t="s">
        <v>47</v>
      </c>
      <c r="C270" s="1" t="s">
        <v>1542</v>
      </c>
      <c r="D270" s="1" t="s">
        <v>1542</v>
      </c>
      <c r="E270" s="1" t="s">
        <v>1543</v>
      </c>
      <c r="F270" s="1" t="s">
        <v>51</v>
      </c>
      <c r="G270" s="1">
        <v>150.0</v>
      </c>
      <c r="H270" s="1" t="s">
        <v>52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53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54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56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57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f t="shared" si="1"/>
        <v>123</v>
      </c>
      <c r="AM270" s="1">
        <v>150.0</v>
      </c>
      <c r="AN270" s="1">
        <v>162.0</v>
      </c>
      <c r="AO270" s="1">
        <v>94.0</v>
      </c>
      <c r="AP270" s="2">
        <v>11.0</v>
      </c>
      <c r="AQ270" s="1">
        <v>56.0</v>
      </c>
      <c r="AR270" s="1">
        <v>56.0</v>
      </c>
      <c r="AS270" s="1" t="s">
        <v>1544</v>
      </c>
      <c r="AT270" s="3" t="str">
        <f>HYPERLINK("https://icf.clappia.com/app/GMB253374/submission/GXY00368861/ICF247370-GMB253374-6afd9e1ho0be00000000/SIG-20250703_165413o6n5.jpeg", "SIG-20250703_165413o6n5.jpeg")</f>
        <v>SIG-20250703_165413o6n5.jpeg</v>
      </c>
      <c r="AU270" s="1" t="s">
        <v>1545</v>
      </c>
      <c r="AV270" s="3" t="str">
        <f>HYPERLINK("https://icf.clappia.com/app/GMB253374/submission/GXY00368861/ICF247370-GMB253374-1mk20814f28m40000000/SIG-20250703_165417d4ab.jpeg", "SIG-20250703_165417d4ab.jpeg")</f>
        <v>SIG-20250703_165417d4ab.jpeg</v>
      </c>
      <c r="AW270" s="1" t="s">
        <v>1546</v>
      </c>
      <c r="AX270" s="3" t="str">
        <f>HYPERLINK("https://icf.clappia.com/app/GMB253374/submission/GXY00368861/ICF247370-GMB253374-3k6ff9de2f4o00000000/SIG-20250703_16551af7d1.jpeg", "SIG-20250703_16551af7d1.jpeg")</f>
        <v>SIG-20250703_16551af7d1.jpeg</v>
      </c>
      <c r="AY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1547</v>
      </c>
      <c r="B271" s="2" t="s">
        <v>47</v>
      </c>
      <c r="C271" s="1" t="s">
        <v>1548</v>
      </c>
      <c r="D271" s="1" t="s">
        <v>1548</v>
      </c>
      <c r="E271" s="1" t="s">
        <v>1549</v>
      </c>
      <c r="F271" s="1" t="s">
        <v>51</v>
      </c>
      <c r="G271" s="1">
        <v>149.0</v>
      </c>
      <c r="H271" s="1" t="s">
        <v>52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53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54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56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57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f t="shared" si="1"/>
        <v>149</v>
      </c>
      <c r="AM271" s="1">
        <v>149.0</v>
      </c>
      <c r="AN271" s="1">
        <v>161.0</v>
      </c>
      <c r="AO271" s="1">
        <v>149.0</v>
      </c>
      <c r="AP271" s="2">
        <v>11.0</v>
      </c>
      <c r="AQ271" s="1">
        <v>0.0</v>
      </c>
      <c r="AR271" s="1">
        <v>0.0</v>
      </c>
      <c r="AS271" s="1" t="s">
        <v>1550</v>
      </c>
      <c r="AT271" s="3" t="str">
        <f>HYPERLINK("https://icf.clappia.com/app/GMB253374/submission/UMC60194629/ICF247370-GMB253374-4fm9407p7fei00000000/SIG-20250703_1643o00f.jpeg", "SIG-20250703_1643o00f.jpeg")</f>
        <v>SIG-20250703_1643o00f.jpeg</v>
      </c>
      <c r="AU271" s="1" t="s">
        <v>1551</v>
      </c>
      <c r="AV271" s="3" t="str">
        <f>HYPERLINK("https://icf.clappia.com/app/GMB253374/submission/UMC60194629/ICF247370-GMB253374-48enk7a42lo400000000/SIG-20250703_164417ek4m.jpeg", "SIG-20250703_164417ek4m.jpeg")</f>
        <v>SIG-20250703_164417ek4m.jpeg</v>
      </c>
      <c r="AW271" s="1" t="s">
        <v>1552</v>
      </c>
      <c r="AX271" s="3" t="str">
        <f>HYPERLINK("https://icf.clappia.com/app/GMB253374/submission/UMC60194629/ICF247370-GMB253374-1adma535ajmhm0000000/SIG-20250703_164417idgb.jpeg", "SIG-20250703_164417idgb.jpeg")</f>
        <v>SIG-20250703_164417idgb.jpeg</v>
      </c>
      <c r="AY271" s="3" t="str">
        <f>HYPERLINK("https://www.google.com/maps/place/9.026405%2C-11.9880917", "9.026405,-11.9880917")</f>
        <v>9.026405,-11.9880917</v>
      </c>
    </row>
    <row r="272" ht="15.75" customHeight="1">
      <c r="A272" s="1" t="s">
        <v>1553</v>
      </c>
      <c r="B272" s="2" t="s">
        <v>47</v>
      </c>
      <c r="C272" s="1" t="s">
        <v>1554</v>
      </c>
      <c r="D272" s="1" t="s">
        <v>1554</v>
      </c>
      <c r="E272" s="1" t="s">
        <v>1555</v>
      </c>
      <c r="F272" s="1" t="s">
        <v>51</v>
      </c>
      <c r="G272" s="1">
        <v>50.0</v>
      </c>
      <c r="H272" s="1" t="s">
        <v>52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53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54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56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57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f t="shared" si="1"/>
        <v>51</v>
      </c>
      <c r="AM272" s="1">
        <v>50.0</v>
      </c>
      <c r="AN272" s="1">
        <v>62.0</v>
      </c>
      <c r="AO272" s="1">
        <v>43.0</v>
      </c>
      <c r="AP272" s="2">
        <v>11.0</v>
      </c>
      <c r="AQ272" s="1">
        <v>7.0</v>
      </c>
      <c r="AR272" s="1">
        <v>7.0</v>
      </c>
      <c r="AS272" s="1" t="s">
        <v>1556</v>
      </c>
      <c r="AT272" s="3" t="str">
        <f>HYPERLINK("https://icf.clappia.com/app/GMB253374/submission/HPT73844557/ICF247370-GMB253374-6866751bdpee00000000/SIG-20250703_1638h26jn.jpeg", "SIG-20250703_1638h26jn.jpeg")</f>
        <v>SIG-20250703_1638h26jn.jpeg</v>
      </c>
      <c r="AU272" s="1" t="s">
        <v>1557</v>
      </c>
      <c r="AV272" s="3" t="str">
        <f>HYPERLINK("https://icf.clappia.com/app/GMB253374/submission/HPT73844557/ICF247370-GMB253374-1n034d80diaae0000000/SIG-20250703_1640iel4.jpeg", "SIG-20250703_1640iel4.jpeg")</f>
        <v>SIG-20250703_1640iel4.jpeg</v>
      </c>
      <c r="AW272" s="1" t="s">
        <v>1558</v>
      </c>
      <c r="AX272" s="3" t="str">
        <f>HYPERLINK("https://icf.clappia.com/app/GMB253374/submission/HPT73844557/ICF247370-GMB253374-hm4nga3iaoo00000000/SIG-20250703_164016oonf.jpeg", "SIG-20250703_164016oonf.jpeg")</f>
        <v>SIG-20250703_164016oonf.jpeg</v>
      </c>
      <c r="AY272" s="3" t="str">
        <f>HYPERLINK("https://www.google.com/maps/place/9.268515%2C-11.9737167", "9.268515,-11.9737167")</f>
        <v>9.268515,-11.9737167</v>
      </c>
    </row>
    <row r="273" ht="15.75" customHeight="1">
      <c r="A273" s="1" t="s">
        <v>1559</v>
      </c>
      <c r="B273" s="2" t="s">
        <v>47</v>
      </c>
      <c r="C273" s="1" t="s">
        <v>1560</v>
      </c>
      <c r="D273" s="1" t="s">
        <v>1561</v>
      </c>
      <c r="E273" s="1" t="s">
        <v>1562</v>
      </c>
      <c r="F273" s="1" t="s">
        <v>51</v>
      </c>
      <c r="G273" s="1">
        <v>210.0</v>
      </c>
      <c r="H273" s="1" t="s">
        <v>52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53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54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56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57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f t="shared" si="1"/>
        <v>134</v>
      </c>
      <c r="AM273" s="1">
        <v>210.0</v>
      </c>
      <c r="AN273" s="1">
        <v>222.0</v>
      </c>
      <c r="AO273" s="1">
        <v>105.0</v>
      </c>
      <c r="AP273" s="2">
        <v>11.0</v>
      </c>
      <c r="AQ273" s="1">
        <v>105.0</v>
      </c>
      <c r="AR273" s="1">
        <v>105.0</v>
      </c>
      <c r="AS273" s="1" t="s">
        <v>1500</v>
      </c>
      <c r="AT273" s="3" t="str">
        <f>HYPERLINK("https://icf.clappia.com/app/GMB253374/submission/ZIQ54945976/ICF247370-GMB253374-3hfn0a26h72i00000000/SIG-20250703_134611kdco.jpeg", "SIG-20250703_134611kdco.jpeg")</f>
        <v>SIG-20250703_134611kdco.jpeg</v>
      </c>
      <c r="AU273" s="1" t="s">
        <v>1501</v>
      </c>
      <c r="AV273" s="3" t="str">
        <f>HYPERLINK("https://icf.clappia.com/app/GMB253374/submission/ZIQ54945976/ICF247370-GMB253374-4mik5ifdp2d600000000/SIG-20250703_1347a4d7p.jpeg", "SIG-20250703_1347a4d7p.jpeg")</f>
        <v>SIG-20250703_1347a4d7p.jpeg</v>
      </c>
      <c r="AW273" s="1" t="s">
        <v>1512</v>
      </c>
      <c r="AX273" s="3" t="str">
        <f>HYPERLINK("https://icf.clappia.com/app/GMB253374/submission/ZIQ54945976/ICF247370-GMB253374-1735lia2d8h1i0000000/SIG-20250703_1349dafe5.jpeg", "SIG-20250703_1349dafe5.jpeg")</f>
        <v>SIG-20250703_1349dafe5.jpeg</v>
      </c>
      <c r="AY273" s="3" t="str">
        <f>HYPERLINK("https://www.google.com/maps/place/8.19395%2C-11.7192217", "8.19395,-11.7192217")</f>
        <v>8.19395,-11.7192217</v>
      </c>
    </row>
    <row r="274" ht="15.75" customHeight="1">
      <c r="A274" s="1" t="s">
        <v>1563</v>
      </c>
      <c r="B274" s="2" t="s">
        <v>47</v>
      </c>
      <c r="C274" s="1" t="s">
        <v>1564</v>
      </c>
      <c r="D274" s="1" t="s">
        <v>1564</v>
      </c>
      <c r="E274" s="1" t="s">
        <v>1565</v>
      </c>
      <c r="F274" s="1" t="s">
        <v>51</v>
      </c>
      <c r="G274" s="1">
        <v>150.0</v>
      </c>
      <c r="H274" s="1" t="s">
        <v>52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53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1" t="s">
        <v>54</v>
      </c>
      <c r="U274" s="1" t="s">
        <v>55</v>
      </c>
      <c r="V274" s="1" t="s">
        <v>55</v>
      </c>
      <c r="W274" s="1" t="s">
        <v>55</v>
      </c>
      <c r="X274" s="1" t="s">
        <v>55</v>
      </c>
      <c r="Y274" s="1" t="s">
        <v>55</v>
      </c>
      <c r="Z274" s="1" t="s">
        <v>56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57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f t="shared" si="1"/>
        <v>115</v>
      </c>
      <c r="AM274" s="1">
        <v>150.0</v>
      </c>
      <c r="AN274" s="1">
        <v>162.0</v>
      </c>
      <c r="AO274" s="1">
        <v>109.0</v>
      </c>
      <c r="AP274" s="2">
        <v>11.0</v>
      </c>
      <c r="AQ274" s="1">
        <v>41.0</v>
      </c>
      <c r="AR274" s="1">
        <v>41.0</v>
      </c>
      <c r="AS274" s="1" t="s">
        <v>1566</v>
      </c>
      <c r="AT274" s="3" t="str">
        <f>HYPERLINK("https://icf.clappia.com/app/GMB253374/submission/RWB53594442/ICF247370-GMB253374-e7in73k5lm8o0000000/SIG-20250702_153719l9go.jpeg", "SIG-20250702_153719l9go.jpeg")</f>
        <v>SIG-20250702_153719l9go.jpeg</v>
      </c>
      <c r="AU274" s="1" t="s">
        <v>1567</v>
      </c>
      <c r="AV274" s="3" t="str">
        <f>HYPERLINK("https://icf.clappia.com/app/GMB253374/submission/RWB53594442/ICF247370-GMB253374-pmljdi2d36ac0000000/SIG-20250703_1212198pai.jpeg", "SIG-20250703_1212198pai.jpeg")</f>
        <v>SIG-20250703_1212198pai.jpeg</v>
      </c>
      <c r="AW274" s="1" t="s">
        <v>1568</v>
      </c>
      <c r="AX274" s="3" t="str">
        <f>HYPERLINK("https://icf.clappia.com/app/GMB253374/submission/RWB53594442/ICF247370-GMB253374-18n26j8n1hh1a0000000/SIG-20250703_12131486co.jpeg", "SIG-20250703_12131486co.jpeg")</f>
        <v>SIG-20250703_12131486co.jpeg</v>
      </c>
      <c r="AY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1569</v>
      </c>
      <c r="B275" s="2" t="s">
        <v>47</v>
      </c>
      <c r="C275" s="1" t="s">
        <v>1570</v>
      </c>
      <c r="D275" s="1" t="s">
        <v>1570</v>
      </c>
      <c r="E275" s="1" t="s">
        <v>1571</v>
      </c>
      <c r="F275" s="1" t="s">
        <v>51</v>
      </c>
      <c r="G275" s="1">
        <v>165.0</v>
      </c>
      <c r="H275" s="1" t="s">
        <v>52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53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54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56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57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f t="shared" si="1"/>
        <v>100</v>
      </c>
      <c r="AM275" s="1">
        <v>165.0</v>
      </c>
      <c r="AN275" s="1">
        <v>177.0</v>
      </c>
      <c r="AO275" s="1">
        <v>100.0</v>
      </c>
      <c r="AP275" s="2">
        <v>11.0</v>
      </c>
      <c r="AQ275" s="1">
        <v>65.0</v>
      </c>
      <c r="AR275" s="1">
        <v>65.0</v>
      </c>
      <c r="AS275" s="1" t="s">
        <v>1572</v>
      </c>
      <c r="AT275" s="3" t="str">
        <f>HYPERLINK("https://icf.clappia.com/app/GMB253374/submission/RKB67493879/ICF247370-GMB253374-apc6jkb70i4g0000000/SIG-20250703_16162djco.jpeg", "SIG-20250703_16162djco.jpeg")</f>
        <v>SIG-20250703_16162djco.jpeg</v>
      </c>
      <c r="AU275" s="1" t="s">
        <v>1573</v>
      </c>
      <c r="AV275" s="3" t="str">
        <f>HYPERLINK("https://icf.clappia.com/app/GMB253374/submission/RKB67493879/ICF247370-GMB253374-39hhe1jg3ifc00000000/SIG-20250703_16168dk2g.jpeg", "SIG-20250703_16168dk2g.jpeg")</f>
        <v>SIG-20250703_16168dk2g.jpeg</v>
      </c>
      <c r="AW275" s="1" t="s">
        <v>1574</v>
      </c>
      <c r="AX275" s="3" t="str">
        <f>HYPERLINK("https://icf.clappia.com/app/GMB253374/submission/RKB67493879/ICF247370-GMB253374-5mhci2b32ce000000000/SIG-20250703_1510npb98.jpeg", "SIG-20250703_1510npb98.jpeg")</f>
        <v>SIG-20250703_1510npb98.jpeg</v>
      </c>
      <c r="AY275" s="3" t="str">
        <f>HYPERLINK("https://www.google.com/maps/place/7.907655%2C-11.9814483", "7.907655,-11.9814483")</f>
        <v>7.907655,-11.9814483</v>
      </c>
    </row>
    <row r="276" ht="15.75" customHeight="1">
      <c r="A276" s="1" t="s">
        <v>1575</v>
      </c>
      <c r="B276" s="2" t="s">
        <v>47</v>
      </c>
      <c r="C276" s="1" t="s">
        <v>1576</v>
      </c>
      <c r="D276" s="1" t="s">
        <v>1576</v>
      </c>
      <c r="E276" s="1" t="s">
        <v>1577</v>
      </c>
      <c r="F276" s="1" t="s">
        <v>72</v>
      </c>
      <c r="G276" s="1">
        <v>200.0</v>
      </c>
      <c r="H276" s="1" t="s">
        <v>52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53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54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56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57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f t="shared" si="1"/>
        <v>233</v>
      </c>
      <c r="AM276" s="1">
        <v>200.0</v>
      </c>
      <c r="AN276" s="1">
        <v>212.0</v>
      </c>
      <c r="AO276" s="1">
        <v>200.0</v>
      </c>
      <c r="AP276" s="2">
        <v>11.0</v>
      </c>
      <c r="AQ276" s="1">
        <v>0.0</v>
      </c>
      <c r="AR276" s="1">
        <v>0.0</v>
      </c>
      <c r="AS276" s="1" t="s">
        <v>1324</v>
      </c>
      <c r="AT276" s="3" t="str">
        <f>HYPERLINK("https://icf.clappia.com/app/GMB253374/submission/WBE41958313/ICF247370-GMB253374-54ncge3p7e0c00000000/SIG-20250703_11308ha7b.jpeg", "SIG-20250703_11308ha7b.jpeg")</f>
        <v>SIG-20250703_11308ha7b.jpeg</v>
      </c>
      <c r="AU276" s="1" t="s">
        <v>1325</v>
      </c>
      <c r="AV276" s="3" t="str">
        <f>HYPERLINK("https://icf.clappia.com/app/GMB253374/submission/WBE41958313/ICF247370-GMB253374-1nbofhkeg6cpm0000000/SIG-20250703_113299jnk.jpeg", "SIG-20250703_113299jnk.jpeg")</f>
        <v>SIG-20250703_113299jnk.jpeg</v>
      </c>
      <c r="AW276" s="1" t="s">
        <v>1326</v>
      </c>
      <c r="AX276" s="3" t="str">
        <f>HYPERLINK("https://icf.clappia.com/app/GMB253374/submission/WBE41958313/ICF247370-GMB253374-1pgdf8c5oial60000000/SIG-20250703_11331218pc.jpeg", "SIG-20250703_11331218pc.jpeg")</f>
        <v>SIG-20250703_11331218pc.jpeg</v>
      </c>
      <c r="AY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1578</v>
      </c>
      <c r="B277" s="2" t="s">
        <v>47</v>
      </c>
      <c r="C277" s="1" t="s">
        <v>1579</v>
      </c>
      <c r="D277" s="1" t="s">
        <v>1579</v>
      </c>
      <c r="E277" s="1" t="s">
        <v>1580</v>
      </c>
      <c r="F277" s="1" t="s">
        <v>51</v>
      </c>
      <c r="G277" s="1">
        <v>255.0</v>
      </c>
      <c r="H277" s="1" t="s">
        <v>52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53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54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56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57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f t="shared" si="1"/>
        <v>255</v>
      </c>
      <c r="AM277" s="1">
        <v>255.0</v>
      </c>
      <c r="AN277" s="1">
        <v>267.0</v>
      </c>
      <c r="AO277" s="1">
        <v>255.0</v>
      </c>
      <c r="AP277" s="2">
        <v>11.0</v>
      </c>
      <c r="AQ277" s="1">
        <v>0.0</v>
      </c>
      <c r="AR277" s="1">
        <v>0.0</v>
      </c>
      <c r="AS277" s="1" t="s">
        <v>1581</v>
      </c>
      <c r="AT277" s="3" t="str">
        <f>HYPERLINK("https://icf.clappia.com/app/GMB253374/submission/OHJ76254660/ICF247370-GMB253374-3ffmb5cogk1800000000/SIG-20250703_1609mn8ih.jpeg", "SIG-20250703_1609mn8ih.jpeg")</f>
        <v>SIG-20250703_1609mn8ih.jpeg</v>
      </c>
      <c r="AU277" s="1" t="s">
        <v>1582</v>
      </c>
      <c r="AV277" s="3" t="str">
        <f>HYPERLINK("https://icf.clappia.com/app/GMB253374/submission/OHJ76254660/ICF247370-GMB253374-329nfa768cik00000000/SIG-20250703_1610n60k1.jpeg", "SIG-20250703_1610n60k1.jpeg")</f>
        <v>SIG-20250703_1610n60k1.jpeg</v>
      </c>
      <c r="AW277" s="1" t="s">
        <v>1583</v>
      </c>
      <c r="AX277" s="3" t="str">
        <f>HYPERLINK("https://icf.clappia.com/app/GMB253374/submission/OHJ76254660/ICF247370-GMB253374-6bf23hod05m80000000/SIG-20250703_16111955m4.jpeg", "SIG-20250703_16111955m4.jpeg")</f>
        <v>SIG-20250703_16111955m4.jpeg</v>
      </c>
      <c r="AY277" s="3" t="str">
        <f t="shared" ref="AY277:AY278" si="6">HYPERLINK("https://www.google.com/maps/place/7.9370002%2C-11.4894692", "7.9370002,-11.4894692")</f>
        <v>7.9370002,-11.4894692</v>
      </c>
    </row>
    <row r="278" ht="15.75" customHeight="1">
      <c r="A278" s="1" t="s">
        <v>1584</v>
      </c>
      <c r="B278" s="2" t="s">
        <v>47</v>
      </c>
      <c r="C278" s="1" t="s">
        <v>1585</v>
      </c>
      <c r="D278" s="1" t="s">
        <v>1585</v>
      </c>
      <c r="E278" s="1" t="s">
        <v>1586</v>
      </c>
      <c r="F278" s="1" t="s">
        <v>51</v>
      </c>
      <c r="G278" s="1">
        <v>211.0</v>
      </c>
      <c r="H278" s="1" t="s">
        <v>52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53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54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56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57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f t="shared" si="1"/>
        <v>211</v>
      </c>
      <c r="AM278" s="1">
        <v>211.0</v>
      </c>
      <c r="AN278" s="1">
        <v>223.0</v>
      </c>
      <c r="AO278" s="1">
        <v>211.0</v>
      </c>
      <c r="AP278" s="2">
        <v>11.0</v>
      </c>
      <c r="AQ278" s="1">
        <v>0.0</v>
      </c>
      <c r="AR278" s="1">
        <v>0.0</v>
      </c>
      <c r="AS278" s="1" t="s">
        <v>1587</v>
      </c>
      <c r="AT278" s="3" t="str">
        <f>HYPERLINK("https://icf.clappia.com/app/GMB253374/submission/XFY25346495/ICF247370-GMB253374-1ieooa7e2o7ci0000000/SIG-20250703_15513f21d.jpeg", "SIG-20250703_15513f21d.jpeg")</f>
        <v>SIG-20250703_15513f21d.jpeg</v>
      </c>
      <c r="AU278" s="1" t="s">
        <v>1588</v>
      </c>
      <c r="AV278" s="3" t="str">
        <f>HYPERLINK("https://icf.clappia.com/app/GMB253374/submission/XFY25346495/ICF247370-GMB253374-61p91bi499mk00000000/SIG-20250703_15534c556.jpeg", "SIG-20250703_15534c556.jpeg")</f>
        <v>SIG-20250703_15534c556.jpeg</v>
      </c>
      <c r="AW278" s="1" t="s">
        <v>1589</v>
      </c>
      <c r="AX278" s="3" t="str">
        <f>HYPERLINK("https://icf.clappia.com/app/GMB253374/submission/XFY25346495/ICF247370-GMB253374-3e862omgl11m00000000/SIG-20250703_15539eo73.jpeg", "SIG-20250703_15539eo73.jpeg")</f>
        <v>SIG-20250703_15539eo73.jpeg</v>
      </c>
      <c r="AY278" s="3" t="str">
        <f t="shared" si="6"/>
        <v>7.9370002,-11.4894692</v>
      </c>
    </row>
    <row r="279" ht="15.75" customHeight="1">
      <c r="A279" s="1" t="s">
        <v>1590</v>
      </c>
      <c r="B279" s="2" t="s">
        <v>47</v>
      </c>
      <c r="C279" s="1" t="s">
        <v>1591</v>
      </c>
      <c r="D279" s="1" t="s">
        <v>1591</v>
      </c>
      <c r="E279" s="1" t="s">
        <v>1592</v>
      </c>
      <c r="F279" s="1" t="s">
        <v>51</v>
      </c>
      <c r="G279" s="1">
        <v>50.0</v>
      </c>
      <c r="H279" s="1" t="s">
        <v>52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53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54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56</v>
      </c>
      <c r="AA279" s="1">
        <v>2.0</v>
      </c>
      <c r="AB279" s="1">
        <v>2.0</v>
      </c>
      <c r="AC279" s="1">
        <v>2.0</v>
      </c>
      <c r="AD279" s="1" t="s">
        <v>55</v>
      </c>
      <c r="AE279" s="1" t="s">
        <v>55</v>
      </c>
      <c r="AF279" s="1" t="s">
        <v>57</v>
      </c>
      <c r="AG279" s="1" t="s">
        <v>55</v>
      </c>
      <c r="AH279" s="1" t="s">
        <v>55</v>
      </c>
      <c r="AI279" s="1" t="s">
        <v>55</v>
      </c>
      <c r="AJ279" s="1" t="s">
        <v>55</v>
      </c>
      <c r="AK279" s="1" t="s">
        <v>55</v>
      </c>
      <c r="AL279" s="1">
        <f t="shared" si="1"/>
        <v>50</v>
      </c>
      <c r="AM279" s="1">
        <v>50.0</v>
      </c>
      <c r="AN279" s="1">
        <v>62.0</v>
      </c>
      <c r="AO279" s="1">
        <v>50.0</v>
      </c>
      <c r="AP279" s="2">
        <v>11.0</v>
      </c>
      <c r="AQ279" s="1">
        <v>0.0</v>
      </c>
      <c r="AR279" s="1">
        <v>0.0</v>
      </c>
      <c r="AS279" s="1" t="s">
        <v>1593</v>
      </c>
      <c r="AT279" s="3" t="str">
        <f>HYPERLINK("https://icf.clappia.com/app/GMB253374/submission/IRX42358800/ICF247370-GMB253374-4363ak5459ho00000000/SIG-20250703_1541nlnnl.jpeg", "SIG-20250703_1541nlnnl.jpeg")</f>
        <v>SIG-20250703_1541nlnnl.jpeg</v>
      </c>
      <c r="AU279" s="1" t="s">
        <v>1594</v>
      </c>
      <c r="AV279" s="3" t="str">
        <f>HYPERLINK("https://icf.clappia.com/app/GMB253374/submission/IRX42358800/ICF247370-GMB253374-5g0hg54ejo0a00000000/SIG-20250703_154216b168.jpeg", "SIG-20250703_154216b168.jpeg")</f>
        <v>SIG-20250703_154216b168.jpeg</v>
      </c>
      <c r="AW279" s="1" t="s">
        <v>1595</v>
      </c>
      <c r="AX279" s="3" t="str">
        <f>HYPERLINK("https://icf.clappia.com/app/GMB253374/submission/IRX42358800/ICF247370-GMB253374-5ofmcn8g2ik80000000/SIG-20250703_1549hjof9.jpeg", "SIG-20250703_1549hjof9.jpeg")</f>
        <v>SIG-20250703_1549hjof9.jpeg</v>
      </c>
      <c r="AY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1596</v>
      </c>
      <c r="B280" s="2" t="s">
        <v>47</v>
      </c>
      <c r="C280" s="1" t="s">
        <v>1597</v>
      </c>
      <c r="D280" s="1" t="s">
        <v>1597</v>
      </c>
      <c r="E280" s="1" t="s">
        <v>1598</v>
      </c>
      <c r="F280" s="1" t="s">
        <v>51</v>
      </c>
      <c r="G280" s="1">
        <v>252.0</v>
      </c>
      <c r="H280" s="1" t="s">
        <v>52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53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54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56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57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f t="shared" si="1"/>
        <v>262</v>
      </c>
      <c r="AM280" s="1">
        <v>252.0</v>
      </c>
      <c r="AN280" s="1">
        <v>264.0</v>
      </c>
      <c r="AO280" s="1">
        <v>191.0</v>
      </c>
      <c r="AP280" s="2">
        <v>11.0</v>
      </c>
      <c r="AQ280" s="1">
        <v>61.0</v>
      </c>
      <c r="AR280" s="1">
        <v>61.0</v>
      </c>
      <c r="AS280" s="1" t="s">
        <v>1049</v>
      </c>
      <c r="AT280" s="3" t="str">
        <f>HYPERLINK("https://icf.clappia.com/app/GMB253374/submission/ZAD12762795/ICF247370-GMB253374-11lec6boknl7e0000000/SIG-20250703_10333p04e.jpeg", "SIG-20250703_10333p04e.jpeg")</f>
        <v>SIG-20250703_10333p04e.jpeg</v>
      </c>
      <c r="AU280" s="1" t="s">
        <v>1599</v>
      </c>
      <c r="AV280" s="3" t="str">
        <f>HYPERLINK("https://icf.clappia.com/app/GMB253374/submission/ZAD12762795/ICF247370-GMB253374-4f4m6jpahf2400000000/SIG-20250703_1514ngef7.jpeg", "SIG-20250703_1514ngef7.jpeg")</f>
        <v>SIG-20250703_1514ngef7.jpeg</v>
      </c>
      <c r="AW280" s="1" t="s">
        <v>1050</v>
      </c>
      <c r="AX280" s="3" t="str">
        <f>HYPERLINK("https://icf.clappia.com/app/GMB253374/submission/ZAD12762795/ICF247370-GMB253374-5a4o39e153pm00000000/SIG-20250703_1546lc3dm.jpeg", "SIG-20250703_1546lc3dm.jpeg")</f>
        <v>SIG-20250703_1546lc3dm.jpeg</v>
      </c>
      <c r="AY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1600</v>
      </c>
      <c r="B281" s="2" t="s">
        <v>47</v>
      </c>
      <c r="C281" s="1" t="s">
        <v>1601</v>
      </c>
      <c r="D281" s="1" t="s">
        <v>1601</v>
      </c>
      <c r="E281" s="1" t="s">
        <v>1602</v>
      </c>
      <c r="F281" s="1" t="s">
        <v>51</v>
      </c>
      <c r="G281" s="1">
        <v>237.0</v>
      </c>
      <c r="H281" s="1" t="s">
        <v>52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53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54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56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57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f t="shared" si="1"/>
        <v>237</v>
      </c>
      <c r="AM281" s="1">
        <v>237.0</v>
      </c>
      <c r="AN281" s="1">
        <v>249.0</v>
      </c>
      <c r="AO281" s="1">
        <v>230.0</v>
      </c>
      <c r="AP281" s="2">
        <v>11.0</v>
      </c>
      <c r="AQ281" s="1">
        <v>7.0</v>
      </c>
      <c r="AR281" s="1">
        <v>7.0</v>
      </c>
      <c r="AS281" s="1" t="s">
        <v>1124</v>
      </c>
      <c r="AT281" s="3" t="str">
        <f>HYPERLINK("https://icf.clappia.com/app/GMB253374/submission/SUR44131460/ICF247370-GMB253374-19fjgma361l200000000/SIG-20250703_153468hn2.jpeg", "SIG-20250703_153468hn2.jpeg")</f>
        <v>SIG-20250703_153468hn2.jpeg</v>
      </c>
      <c r="AU281" s="1" t="s">
        <v>1125</v>
      </c>
      <c r="AV281" s="3" t="str">
        <f>HYPERLINK("https://icf.clappia.com/app/GMB253374/submission/SUR44131460/ICF247370-GMB253374-fk44b4maen6g0000000/SIG-20250703_1534lhceh.jpeg", "SIG-20250703_1534lhceh.jpeg")</f>
        <v>SIG-20250703_1534lhceh.jpeg</v>
      </c>
      <c r="AW281" s="1" t="s">
        <v>1126</v>
      </c>
      <c r="AX281" s="3" t="str">
        <f>HYPERLINK("https://icf.clappia.com/app/GMB253374/submission/SUR44131460/ICF247370-GMB253374-e4i10e0g4ke40000000/SIG-20250703_1535b9kme.jpeg", "SIG-20250703_1535b9kme.jpeg")</f>
        <v>SIG-20250703_1535b9kme.jpeg</v>
      </c>
      <c r="AY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1603</v>
      </c>
      <c r="B282" s="2" t="s">
        <v>47</v>
      </c>
      <c r="C282" s="1" t="s">
        <v>1604</v>
      </c>
      <c r="D282" s="1" t="s">
        <v>1604</v>
      </c>
      <c r="E282" s="1" t="s">
        <v>1605</v>
      </c>
      <c r="F282" s="1" t="s">
        <v>51</v>
      </c>
      <c r="G282" s="1">
        <v>107.0</v>
      </c>
      <c r="H282" s="1" t="s">
        <v>52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53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54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56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57</v>
      </c>
      <c r="AG282" s="1">
        <v>1.0</v>
      </c>
      <c r="AH282" s="1" t="s">
        <v>55</v>
      </c>
      <c r="AI282" s="1" t="s">
        <v>55</v>
      </c>
      <c r="AJ282" s="1">
        <v>1.0</v>
      </c>
      <c r="AK282" s="1">
        <v>1.0</v>
      </c>
      <c r="AL282" s="1">
        <f t="shared" si="1"/>
        <v>44</v>
      </c>
      <c r="AM282" s="1">
        <v>107.0</v>
      </c>
      <c r="AN282" s="1">
        <v>119.0</v>
      </c>
      <c r="AO282" s="1">
        <v>42.0</v>
      </c>
      <c r="AP282" s="2">
        <v>11.0</v>
      </c>
      <c r="AQ282" s="1">
        <v>65.0</v>
      </c>
      <c r="AR282" s="1">
        <v>65.0</v>
      </c>
      <c r="AS282" s="1" t="s">
        <v>1500</v>
      </c>
      <c r="AT282" s="3" t="str">
        <f>HYPERLINK("https://icf.clappia.com/app/GMB253374/submission/MUC62870706/ICF247370-GMB253374-3ifmgafepl6i00000000/SIG-20250703_1428g94kp.jpeg", "SIG-20250703_1428g94kp.jpeg")</f>
        <v>SIG-20250703_1428g94kp.jpeg</v>
      </c>
      <c r="AU282" s="1" t="s">
        <v>1501</v>
      </c>
      <c r="AV282" s="3" t="str">
        <f>HYPERLINK("https://icf.clappia.com/app/GMB253374/submission/MUC62870706/ICF247370-GMB253374-1m58483ip742e0000000/SIG-20250703_1430163mg1.jpeg", "SIG-20250703_1430163mg1.jpeg")</f>
        <v>SIG-20250703_1430163mg1.jpeg</v>
      </c>
      <c r="AW282" s="1" t="s">
        <v>1502</v>
      </c>
      <c r="AX282" s="3" t="str">
        <f>HYPERLINK("https://icf.clappia.com/app/GMB253374/submission/MUC62870706/ICF247370-GMB253374-53bjg9a0l4fi00000000/SIG-20250703_143114g2b0.jpeg", "SIG-20250703_143114g2b0.jpeg")</f>
        <v>SIG-20250703_143114g2b0.jpeg</v>
      </c>
      <c r="AY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1606</v>
      </c>
      <c r="B283" s="2" t="s">
        <v>47</v>
      </c>
      <c r="C283" s="1" t="s">
        <v>1607</v>
      </c>
      <c r="D283" s="1" t="s">
        <v>1607</v>
      </c>
      <c r="E283" s="1" t="s">
        <v>1608</v>
      </c>
      <c r="F283" s="1" t="s">
        <v>51</v>
      </c>
      <c r="G283" s="1">
        <v>169.0</v>
      </c>
      <c r="H283" s="1" t="s">
        <v>52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53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54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56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57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f t="shared" si="1"/>
        <v>169</v>
      </c>
      <c r="AM283" s="1">
        <v>169.0</v>
      </c>
      <c r="AN283" s="1">
        <v>181.0</v>
      </c>
      <c r="AO283" s="1">
        <v>164.0</v>
      </c>
      <c r="AP283" s="2">
        <v>11.0</v>
      </c>
      <c r="AQ283" s="1">
        <v>5.0</v>
      </c>
      <c r="AR283" s="1">
        <v>5.0</v>
      </c>
      <c r="AS283" s="1" t="s">
        <v>1609</v>
      </c>
      <c r="AT283" s="3" t="str">
        <f>HYPERLINK("https://icf.clappia.com/app/GMB253374/submission/MZW67387390/ICF247370-GMB253374-1ca6f5056ed5a0000000/SIG-20250703_0924mfl3o.jpeg", "SIG-20250703_0924mfl3o.jpeg")</f>
        <v>SIG-20250703_0924mfl3o.jpeg</v>
      </c>
      <c r="AU283" s="1" t="s">
        <v>1610</v>
      </c>
      <c r="AV283" s="3" t="str">
        <f>HYPERLINK("https://icf.clappia.com/app/GMB253374/submission/MZW67387390/ICF247370-GMB253374-5jpe8cjm9hm600000000/SIG-20250703_152042504.jpeg", "SIG-20250703_152042504.jpeg")</f>
        <v>SIG-20250703_152042504.jpeg</v>
      </c>
      <c r="AW283" s="1" t="s">
        <v>1611</v>
      </c>
      <c r="AX283" s="3" t="str">
        <f>HYPERLINK("https://icf.clappia.com/app/GMB253374/submission/MZW67387390/ICF247370-GMB253374-4nh0f8aj6fk000000000/SIG-20250703_0925k6dd6.jpeg", "SIG-20250703_0925k6dd6.jpeg")</f>
        <v>SIG-20250703_0925k6dd6.jpeg</v>
      </c>
      <c r="AY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1612</v>
      </c>
      <c r="B284" s="2" t="s">
        <v>47</v>
      </c>
      <c r="C284" s="1" t="s">
        <v>1613</v>
      </c>
      <c r="D284" s="1" t="s">
        <v>1613</v>
      </c>
      <c r="E284" s="1" t="s">
        <v>1614</v>
      </c>
      <c r="F284" s="1" t="s">
        <v>51</v>
      </c>
      <c r="G284" s="1">
        <v>136.0</v>
      </c>
      <c r="H284" s="1" t="s">
        <v>52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53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54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56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57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f t="shared" si="1"/>
        <v>86</v>
      </c>
      <c r="AM284" s="1">
        <v>136.0</v>
      </c>
      <c r="AN284" s="1">
        <v>148.0</v>
      </c>
      <c r="AO284" s="1">
        <v>86.0</v>
      </c>
      <c r="AP284" s="2">
        <v>11.0</v>
      </c>
      <c r="AQ284" s="1">
        <v>50.0</v>
      </c>
      <c r="AR284" s="1">
        <v>50.0</v>
      </c>
      <c r="AS284" s="1" t="s">
        <v>1615</v>
      </c>
      <c r="AT284" s="3" t="str">
        <f>HYPERLINK("https://icf.clappia.com/app/GMB253374/submission/VYE89045733/ICF247370-GMB253374-1bg1k1h0hb4ja0000000/SIG-20250702_12391803fo.jpeg", "SIG-20250702_12391803fo.jpeg")</f>
        <v>SIG-20250702_12391803fo.jpeg</v>
      </c>
      <c r="AU284" s="1" t="s">
        <v>1616</v>
      </c>
      <c r="AV284" s="3" t="str">
        <f>HYPERLINK("https://icf.clappia.com/app/GMB253374/submission/VYE89045733/ICF247370-GMB253374-lnod1gl81oo80000000/SIG-20250703_151018dk3j.jpeg", "SIG-20250703_151018dk3j.jpeg")</f>
        <v>SIG-20250703_151018dk3j.jpeg</v>
      </c>
      <c r="AW284" s="1" t="s">
        <v>1617</v>
      </c>
      <c r="AX284" s="3" t="str">
        <f>HYPERLINK("https://icf.clappia.com/app/GMB253374/submission/VYE89045733/ICF247370-GMB253374-5djl5581no6o00000000/SIG-20250703_151013fmo3.jpeg", "SIG-20250703_151013fmo3.jpeg")</f>
        <v>SIG-20250703_151013fmo3.jpeg</v>
      </c>
      <c r="AY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1618</v>
      </c>
      <c r="B285" s="2" t="s">
        <v>47</v>
      </c>
      <c r="C285" s="1" t="s">
        <v>1619</v>
      </c>
      <c r="D285" s="1" t="s">
        <v>1620</v>
      </c>
      <c r="E285" s="1" t="s">
        <v>1621</v>
      </c>
      <c r="F285" s="1" t="s">
        <v>51</v>
      </c>
      <c r="G285" s="1">
        <v>59.0</v>
      </c>
      <c r="H285" s="1" t="s">
        <v>52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53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54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56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57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f t="shared" si="1"/>
        <v>66</v>
      </c>
      <c r="AM285" s="1">
        <v>59.0</v>
      </c>
      <c r="AN285" s="1">
        <v>71.0</v>
      </c>
      <c r="AO285" s="1">
        <v>54.0</v>
      </c>
      <c r="AP285" s="2">
        <v>11.0</v>
      </c>
      <c r="AQ285" s="1">
        <v>5.0</v>
      </c>
      <c r="AR285" s="1">
        <v>5.0</v>
      </c>
      <c r="AS285" s="1" t="s">
        <v>1622</v>
      </c>
      <c r="AT285" s="3" t="str">
        <f>HYPERLINK("https://icf.clappia.com/app/GMB253374/submission/XEW82585688/ICF247370-GMB253374-dl5p44aflcdm0000000/SIG-20250703_10358k70l.jpeg", "SIG-20250703_10358k70l.jpeg")</f>
        <v>SIG-20250703_10358k70l.jpeg</v>
      </c>
      <c r="AU285" s="1" t="s">
        <v>1623</v>
      </c>
      <c r="AV285" s="3" t="str">
        <f>HYPERLINK("https://icf.clappia.com/app/GMB253374/submission/XEW82585688/ICF247370-GMB253374-217gjme6ae6240000000/SIG-20250703_1035k4ond.jpeg", "SIG-20250703_1035k4ond.jpeg")</f>
        <v>SIG-20250703_1035k4ond.jpeg</v>
      </c>
      <c r="AW285" s="1" t="s">
        <v>1624</v>
      </c>
      <c r="AX285" s="3" t="str">
        <f>HYPERLINK("https://icf.clappia.com/app/GMB253374/submission/XEW82585688/ICF247370-GMB253374-4b69dl4ddh5m00000000/SIG-20250703_10367h0a6.jpeg", "SIG-20250703_10367h0a6.jpeg")</f>
        <v>SIG-20250703_10367h0a6.jpeg</v>
      </c>
      <c r="AY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1625</v>
      </c>
      <c r="B286" s="2" t="s">
        <v>47</v>
      </c>
      <c r="C286" s="1" t="s">
        <v>1626</v>
      </c>
      <c r="D286" s="1" t="s">
        <v>1626</v>
      </c>
      <c r="E286" s="1" t="s">
        <v>1627</v>
      </c>
      <c r="F286" s="1" t="s">
        <v>51</v>
      </c>
      <c r="G286" s="1">
        <v>209.0</v>
      </c>
      <c r="H286" s="1" t="s">
        <v>52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53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54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56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57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f t="shared" si="1"/>
        <v>159</v>
      </c>
      <c r="AM286" s="1">
        <v>209.0</v>
      </c>
      <c r="AN286" s="1">
        <v>221.0</v>
      </c>
      <c r="AO286" s="1">
        <v>159.0</v>
      </c>
      <c r="AP286" s="2">
        <v>11.0</v>
      </c>
      <c r="AQ286" s="1">
        <v>50.0</v>
      </c>
      <c r="AR286" s="1">
        <v>50.0</v>
      </c>
      <c r="AS286" s="1" t="s">
        <v>1615</v>
      </c>
      <c r="AT286" s="3" t="str">
        <f>HYPERLINK("https://icf.clappia.com/app/GMB253374/submission/GVN15315369/ICF247370-GMB253374-54acjl16j9c800000000/SIG-20250703_1457nc52i.jpeg", "SIG-20250703_1457nc52i.jpeg")</f>
        <v>SIG-20250703_1457nc52i.jpeg</v>
      </c>
      <c r="AU286" s="1" t="s">
        <v>1617</v>
      </c>
      <c r="AV286" s="3" t="str">
        <f>HYPERLINK("https://icf.clappia.com/app/GMB253374/submission/GVN15315369/ICF247370-GMB253374-5c9km7pb992000000000/SIG-20250703_14586dehg.jpeg", "SIG-20250703_14586dehg.jpeg")</f>
        <v>SIG-20250703_14586dehg.jpeg</v>
      </c>
      <c r="AW286" s="1" t="s">
        <v>1628</v>
      </c>
      <c r="AX286" s="3" t="str">
        <f>HYPERLINK("https://icf.clappia.com/app/GMB253374/submission/GVN15315369/ICF247370-GMB253374-245p1b5c895oe0000000/SIG-20250703_1459139cd7.jpeg", "SIG-20250703_1459139cd7.jpeg")</f>
        <v>SIG-20250703_1459139cd7.jpeg</v>
      </c>
      <c r="AY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1629</v>
      </c>
      <c r="B287" s="2" t="s">
        <v>47</v>
      </c>
      <c r="C287" s="1" t="s">
        <v>1630</v>
      </c>
      <c r="D287" s="1" t="s">
        <v>1630</v>
      </c>
      <c r="E287" s="1" t="s">
        <v>1631</v>
      </c>
      <c r="F287" s="1" t="s">
        <v>51</v>
      </c>
      <c r="G287" s="1">
        <v>97.0</v>
      </c>
      <c r="H287" s="1" t="s">
        <v>52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53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54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56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57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f t="shared" si="1"/>
        <v>97</v>
      </c>
      <c r="AM287" s="1">
        <v>97.0</v>
      </c>
      <c r="AN287" s="1">
        <v>109.0</v>
      </c>
      <c r="AO287" s="1">
        <v>97.0</v>
      </c>
      <c r="AP287" s="2">
        <v>11.0</v>
      </c>
      <c r="AQ287" s="1">
        <v>0.0</v>
      </c>
      <c r="AR287" s="1">
        <v>0.0</v>
      </c>
      <c r="AS287" s="1" t="s">
        <v>1632</v>
      </c>
      <c r="AT287" s="3" t="str">
        <f>HYPERLINK("https://icf.clappia.com/app/GMB253374/submission/BWA98982209/ICF247370-GMB253374-289bc5d35k49m0000000/SIG-20250703_145511fcbo.jpeg", "SIG-20250703_145511fcbo.jpeg")</f>
        <v>SIG-20250703_145511fcbo.jpeg</v>
      </c>
      <c r="AU287" s="1" t="s">
        <v>1633</v>
      </c>
      <c r="AV287" s="3" t="str">
        <f>HYPERLINK("https://icf.clappia.com/app/GMB253374/submission/BWA98982209/ICF247370-GMB253374-156mkgak87jkk0000000/SIG-20250703_1458p2k3h.jpeg", "SIG-20250703_1458p2k3h.jpeg")</f>
        <v>SIG-20250703_1458p2k3h.jpeg</v>
      </c>
      <c r="AW287" s="1" t="s">
        <v>1634</v>
      </c>
      <c r="AX287" s="3" t="str">
        <f>HYPERLINK("https://icf.clappia.com/app/GMB253374/submission/BWA98982209/ICF247370-GMB253374-1lgk199a8ib520000000/SIG-20250703_14571knfj.jpeg", "SIG-20250703_14571knfj.jpeg")</f>
        <v>SIG-20250703_14571knfj.jpeg</v>
      </c>
      <c r="AY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1635</v>
      </c>
      <c r="B288" s="2" t="s">
        <v>47</v>
      </c>
      <c r="C288" s="1" t="s">
        <v>1636</v>
      </c>
      <c r="D288" s="1" t="s">
        <v>1637</v>
      </c>
      <c r="E288" s="1" t="s">
        <v>1638</v>
      </c>
      <c r="F288" s="1" t="s">
        <v>51</v>
      </c>
      <c r="G288" s="1">
        <v>178.0</v>
      </c>
      <c r="H288" s="1" t="s">
        <v>52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53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54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56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57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f t="shared" si="1"/>
        <v>177</v>
      </c>
      <c r="AM288" s="1">
        <v>178.0</v>
      </c>
      <c r="AN288" s="1">
        <v>190.0</v>
      </c>
      <c r="AO288" s="1">
        <v>177.0</v>
      </c>
      <c r="AP288" s="2">
        <v>11.0</v>
      </c>
      <c r="AQ288" s="1">
        <v>1.0</v>
      </c>
      <c r="AR288" s="1">
        <v>1.0</v>
      </c>
      <c r="AS288" s="1" t="s">
        <v>1067</v>
      </c>
      <c r="AT288" s="3" t="str">
        <f>HYPERLINK("https://icf.clappia.com/app/GMB253374/submission/HFL90598875/ICF247370-GMB253374-4ocnjbg2lk4k00000000/SIG-20250703_1457lfg91.jpeg", "SIG-20250703_1457lfg91.jpeg")</f>
        <v>SIG-20250703_1457lfg91.jpeg</v>
      </c>
      <c r="AU288" s="1" t="s">
        <v>1068</v>
      </c>
      <c r="AV288" s="3" t="str">
        <f>HYPERLINK("https://icf.clappia.com/app/GMB253374/submission/HFL90598875/ICF247370-GMB253374-5o3061ijnbi800000000/SIG-20250703_145748bgf.jpeg", "SIG-20250703_145748bgf.jpeg")</f>
        <v>SIG-20250703_145748bgf.jpeg</v>
      </c>
      <c r="AW288" s="1" t="s">
        <v>1639</v>
      </c>
      <c r="AX288" s="3" t="str">
        <f>HYPERLINK("https://icf.clappia.com/app/GMB253374/submission/HFL90598875/ICF247370-GMB253374-5jhee1eco40i00000000/SIG-20250703_14591549g6.jpeg", "SIG-20250703_14591549g6.jpeg")</f>
        <v>SIG-20250703_14591549g6.jpeg</v>
      </c>
      <c r="AY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1640</v>
      </c>
      <c r="B289" s="2" t="s">
        <v>47</v>
      </c>
      <c r="C289" s="1" t="s">
        <v>1636</v>
      </c>
      <c r="D289" s="1" t="s">
        <v>1636</v>
      </c>
      <c r="E289" s="1" t="s">
        <v>1641</v>
      </c>
      <c r="F289" s="1" t="s">
        <v>51</v>
      </c>
      <c r="G289" s="1">
        <v>100.0</v>
      </c>
      <c r="H289" s="1" t="s">
        <v>52</v>
      </c>
      <c r="I289" s="1" t="s">
        <v>55</v>
      </c>
      <c r="J289" s="1" t="s">
        <v>55</v>
      </c>
      <c r="K289" s="1" t="s">
        <v>1642</v>
      </c>
      <c r="L289" s="1" t="s">
        <v>55</v>
      </c>
      <c r="M289" s="1" t="s">
        <v>55</v>
      </c>
      <c r="N289" s="1" t="s">
        <v>53</v>
      </c>
      <c r="O289" s="1" t="s">
        <v>55</v>
      </c>
      <c r="P289" s="1" t="s">
        <v>55</v>
      </c>
      <c r="Q289" s="1" t="s">
        <v>55</v>
      </c>
      <c r="R289" s="1" t="s">
        <v>55</v>
      </c>
      <c r="S289" s="1" t="s">
        <v>55</v>
      </c>
      <c r="T289" s="1" t="s">
        <v>54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56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57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f t="shared" si="1"/>
        <v>97</v>
      </c>
      <c r="AM289" s="1">
        <v>100.0</v>
      </c>
      <c r="AN289" s="1">
        <v>112.0</v>
      </c>
      <c r="AO289" s="1">
        <v>93.0</v>
      </c>
      <c r="AP289" s="2">
        <v>11.0</v>
      </c>
      <c r="AQ289" s="1">
        <v>7.0</v>
      </c>
      <c r="AR289" s="1">
        <v>7.0</v>
      </c>
      <c r="AS289" s="1" t="s">
        <v>1643</v>
      </c>
      <c r="AT289" s="3" t="str">
        <f>HYPERLINK("https://icf.clappia.com/app/GMB253374/submission/ZIX92046834/ICF247370-GMB253374-52bp1id2l3k000000000/SIG-20250703_145819c9o5.jpeg", "SIG-20250703_145819c9o5.jpeg")</f>
        <v>SIG-20250703_145819c9o5.jpeg</v>
      </c>
      <c r="AU289" s="1" t="s">
        <v>1644</v>
      </c>
      <c r="AV289" s="3" t="str">
        <f>HYPERLINK("https://icf.clappia.com/app/GMB253374/submission/ZIX92046834/ICF247370-GMB253374-1gb9j4030o5gi0000000/SIG-20250703_145814786k.jpeg", "SIG-20250703_145814786k.jpeg")</f>
        <v>SIG-20250703_145814786k.jpeg</v>
      </c>
      <c r="AW289" s="1" t="s">
        <v>1645</v>
      </c>
      <c r="AX289" s="3" t="str">
        <f>HYPERLINK("https://icf.clappia.com/app/GMB253374/submission/ZIX92046834/ICF247370-GMB253374-25fp10oe30gac0000000/SIG-20250703_1458oo84k.jpeg", "SIG-20250703_1458oo84k.jpeg")</f>
        <v>SIG-20250703_1458oo84k.jpeg</v>
      </c>
      <c r="AY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1646</v>
      </c>
      <c r="B290" s="2" t="s">
        <v>47</v>
      </c>
      <c r="C290" s="1" t="s">
        <v>1647</v>
      </c>
      <c r="D290" s="1" t="s">
        <v>1648</v>
      </c>
      <c r="E290" s="1" t="s">
        <v>1649</v>
      </c>
      <c r="F290" s="1" t="s">
        <v>51</v>
      </c>
      <c r="G290" s="1">
        <v>250.0</v>
      </c>
      <c r="H290" s="1" t="s">
        <v>52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53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54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56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57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f t="shared" si="1"/>
        <v>213</v>
      </c>
      <c r="AM290" s="1">
        <v>250.0</v>
      </c>
      <c r="AN290" s="1">
        <v>262.0</v>
      </c>
      <c r="AO290" s="1">
        <v>192.0</v>
      </c>
      <c r="AP290" s="2">
        <v>11.0</v>
      </c>
      <c r="AQ290" s="1">
        <v>58.0</v>
      </c>
      <c r="AR290" s="1">
        <v>58.0</v>
      </c>
      <c r="AS290" s="1" t="s">
        <v>560</v>
      </c>
      <c r="AT290" s="3" t="str">
        <f>HYPERLINK("https://icf.clappia.com/app/GMB253374/submission/SOZ77231744/ICF247370-GMB253374-24go61mljf6ii0000000/SIG-20250703_1433d9fml.jpeg", "SIG-20250703_1433d9fml.jpeg")</f>
        <v>SIG-20250703_1433d9fml.jpeg</v>
      </c>
      <c r="AU290" s="1" t="s">
        <v>562</v>
      </c>
      <c r="AV290" s="3" t="str">
        <f>HYPERLINK("https://icf.clappia.com/app/GMB253374/submission/SOZ77231744/ICF247370-GMB253374-65e587cpi7d200000000/SIG-20250703_1434197p25.jpeg", "SIG-20250703_1434197p25.jpeg")</f>
        <v>SIG-20250703_1434197p25.jpeg</v>
      </c>
      <c r="AW290" s="1" t="s">
        <v>1650</v>
      </c>
      <c r="AX290" s="3" t="str">
        <f>HYPERLINK("https://icf.clappia.com/app/GMB253374/submission/SOZ77231744/ICF247370-GMB253374-3i35pol7apfm00000000/SIG-20250703_1435ccl5f.jpeg", "SIG-20250703_1435ccl5f.jpeg")</f>
        <v>SIG-20250703_1435ccl5f.jpeg</v>
      </c>
      <c r="AY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1651</v>
      </c>
      <c r="B291" s="2" t="s">
        <v>47</v>
      </c>
      <c r="C291" s="1" t="s">
        <v>1652</v>
      </c>
      <c r="D291" s="1" t="s">
        <v>1652</v>
      </c>
      <c r="E291" s="1" t="s">
        <v>1653</v>
      </c>
      <c r="F291" s="1" t="s">
        <v>51</v>
      </c>
      <c r="G291" s="1">
        <v>150.0</v>
      </c>
      <c r="H291" s="1" t="s">
        <v>52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53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54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56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57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f t="shared" si="1"/>
        <v>149</v>
      </c>
      <c r="AM291" s="1">
        <v>150.0</v>
      </c>
      <c r="AN291" s="1">
        <v>162.0</v>
      </c>
      <c r="AO291" s="1">
        <v>129.0</v>
      </c>
      <c r="AP291" s="2">
        <v>11.0</v>
      </c>
      <c r="AQ291" s="1">
        <v>21.0</v>
      </c>
      <c r="AR291" s="1">
        <v>21.0</v>
      </c>
      <c r="AS291" s="1" t="s">
        <v>1654</v>
      </c>
      <c r="AT291" s="3" t="str">
        <f>HYPERLINK("https://icf.clappia.com/app/GMB253374/submission/JJX92980672/ICF247370-GMB253374-1eg4j4ddl3ojg000000/SIG-20250703_1405659d4.jpeg", "SIG-20250703_1405659d4.jpeg")</f>
        <v>SIG-20250703_1405659d4.jpeg</v>
      </c>
      <c r="AU291" s="1" t="s">
        <v>1655</v>
      </c>
      <c r="AV291" s="3" t="str">
        <f>HYPERLINK("https://icf.clappia.com/app/GMB253374/submission/JJX92980672/ICF247370-GMB253374-1ph4pma0i9i6k0000000/SIG-20250703_140561h7p.jpeg", "SIG-20250703_140561h7p.jpeg")</f>
        <v>SIG-20250703_140561h7p.jpeg</v>
      </c>
      <c r="AW291" s="1" t="s">
        <v>1656</v>
      </c>
      <c r="AX291" s="3" t="str">
        <f>HYPERLINK("https://icf.clappia.com/app/GMB253374/submission/JJX92980672/ICF247370-GMB253374-5h74e28j6ifi00000000/SIG-20250703_1405e07k4.jpeg", "SIG-20250703_1405e07k4.jpeg")</f>
        <v>SIG-20250703_1405e07k4.jpeg</v>
      </c>
      <c r="AY291" s="3" t="str">
        <f>HYPERLINK("https://www.google.com/maps/place/9.2628367%2C-12.137355", "9.2628367,-12.137355")</f>
        <v>9.2628367,-12.137355</v>
      </c>
    </row>
    <row r="292" ht="15.75" customHeight="1">
      <c r="A292" s="1" t="s">
        <v>1657</v>
      </c>
      <c r="B292" s="2" t="s">
        <v>47</v>
      </c>
      <c r="C292" s="1" t="s">
        <v>1658</v>
      </c>
      <c r="D292" s="1" t="s">
        <v>1659</v>
      </c>
      <c r="E292" s="1" t="s">
        <v>1660</v>
      </c>
      <c r="F292" s="1" t="s">
        <v>51</v>
      </c>
      <c r="G292" s="1">
        <v>200.0</v>
      </c>
      <c r="H292" s="1" t="s">
        <v>52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53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54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56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57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f t="shared" si="1"/>
        <v>192</v>
      </c>
      <c r="AM292" s="1">
        <v>200.0</v>
      </c>
      <c r="AN292" s="1">
        <v>212.0</v>
      </c>
      <c r="AO292" s="1">
        <v>192.0</v>
      </c>
      <c r="AP292" s="2">
        <v>11.0</v>
      </c>
      <c r="AQ292" s="1">
        <v>8.0</v>
      </c>
      <c r="AR292" s="1">
        <v>8.0</v>
      </c>
      <c r="AS292" s="1" t="s">
        <v>1661</v>
      </c>
      <c r="AT292" s="3" t="str">
        <f>HYPERLINK("https://icf.clappia.com/app/GMB253374/submission/SYN57316552/ICF247370-GMB253374-6970c254j6ak00000000/SIG-20250703_1233246fo.jpeg", "SIG-20250703_1233246fo.jpeg")</f>
        <v>SIG-20250703_1233246fo.jpeg</v>
      </c>
      <c r="AU292" s="1" t="s">
        <v>1662</v>
      </c>
      <c r="AV292" s="3" t="str">
        <f>HYPERLINK("https://icf.clappia.com/app/GMB253374/submission/SYN57316552/ICF247370-GMB253374-4aog8a4828o000000000/SIG-20250703_14171595cj.jpeg", "SIG-20250703_14171595cj.jpeg")</f>
        <v>SIG-20250703_14171595cj.jpeg</v>
      </c>
      <c r="AW292" s="1" t="s">
        <v>1663</v>
      </c>
      <c r="AX292" s="3" t="str">
        <f>HYPERLINK("https://icf.clappia.com/app/GMB253374/submission/SYN57316552/ICF247370-GMB253374-2f25ck4m0bl600000000/SIG-20250703_14141e598.jpeg", "SIG-20250703_14141e598.jpeg")</f>
        <v>SIG-20250703_14141e598.jpeg</v>
      </c>
      <c r="AY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1664</v>
      </c>
      <c r="B293" s="2" t="s">
        <v>47</v>
      </c>
      <c r="C293" s="1" t="s">
        <v>1647</v>
      </c>
      <c r="D293" s="1" t="s">
        <v>1665</v>
      </c>
      <c r="E293" s="1" t="s">
        <v>1666</v>
      </c>
      <c r="F293" s="1" t="s">
        <v>51</v>
      </c>
      <c r="G293" s="1">
        <v>200.0</v>
      </c>
      <c r="H293" s="1" t="s">
        <v>52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53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54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56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57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f t="shared" si="1"/>
        <v>261</v>
      </c>
      <c r="AM293" s="1">
        <v>200.0</v>
      </c>
      <c r="AN293" s="1">
        <v>212.0</v>
      </c>
      <c r="AO293" s="1">
        <v>200.0</v>
      </c>
      <c r="AP293" s="2">
        <v>11.0</v>
      </c>
      <c r="AQ293" s="1">
        <v>0.0</v>
      </c>
      <c r="AR293" s="1">
        <v>0.0</v>
      </c>
      <c r="AS293" s="1" t="s">
        <v>1667</v>
      </c>
      <c r="AT293" s="3" t="str">
        <f>HYPERLINK("https://icf.clappia.com/app/GMB253374/submission/HDZ45822700/ICF247370-GMB253374-39d73e4in44400000000/SIG-20250703_1436190426.jpeg", "SIG-20250703_1436190426.jpeg")</f>
        <v>SIG-20250703_1436190426.jpeg</v>
      </c>
      <c r="AU293" s="1" t="s">
        <v>1668</v>
      </c>
      <c r="AV293" s="3" t="str">
        <f>HYPERLINK("https://icf.clappia.com/app/GMB253374/submission/HDZ45822700/ICF247370-GMB253374-65b3jn85j6c600000000/SIG-20250703_1437mnk7d.jpeg", "SIG-20250703_1437mnk7d.jpeg")</f>
        <v>SIG-20250703_1437mnk7d.jpeg</v>
      </c>
      <c r="AW293" s="1" t="s">
        <v>1669</v>
      </c>
      <c r="AX293" s="3" t="str">
        <f>HYPERLINK("https://icf.clappia.com/app/GMB253374/submission/HDZ45822700/ICF247370-GMB253374-1i1jp48gkglk40000000/SIG-20250703_14373d2mo.jpeg", "SIG-20250703_14373d2mo.jpeg")</f>
        <v>SIG-20250703_14373d2mo.jpeg</v>
      </c>
      <c r="AY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1670</v>
      </c>
      <c r="B294" s="2" t="s">
        <v>47</v>
      </c>
      <c r="C294" s="1" t="s">
        <v>1671</v>
      </c>
      <c r="D294" s="1" t="s">
        <v>1672</v>
      </c>
      <c r="E294" s="1" t="s">
        <v>1673</v>
      </c>
      <c r="F294" s="1" t="s">
        <v>51</v>
      </c>
      <c r="G294" s="1">
        <v>300.0</v>
      </c>
      <c r="H294" s="1" t="s">
        <v>52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53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54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56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57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f t="shared" si="1"/>
        <v>267</v>
      </c>
      <c r="AM294" s="1">
        <v>300.0</v>
      </c>
      <c r="AN294" s="1">
        <v>312.0</v>
      </c>
      <c r="AO294" s="1">
        <v>267.0</v>
      </c>
      <c r="AP294" s="2">
        <v>11.0</v>
      </c>
      <c r="AQ294" s="1">
        <v>33.0</v>
      </c>
      <c r="AR294" s="1">
        <v>33.0</v>
      </c>
      <c r="AS294" s="1" t="s">
        <v>1674</v>
      </c>
      <c r="AT294" s="3" t="str">
        <f>HYPERLINK("https://icf.clappia.com/app/GMB253374/submission/LDY51908429/ICF247370-GMB253374-33peihpp48f200000000/SIG-20250703_12533e1i6.jpeg", "SIG-20250703_12533e1i6.jpeg")</f>
        <v>SIG-20250703_12533e1i6.jpeg</v>
      </c>
      <c r="AU294" s="1" t="s">
        <v>1675</v>
      </c>
      <c r="AV294" s="3" t="str">
        <f>HYPERLINK("https://icf.clappia.com/app/GMB253374/submission/LDY51908429/ICF247370-GMB253374-mn3kefhbolnm0000000/SIG-20250703_12451dbi7.jpeg", "SIG-20250703_12451dbi7.jpeg")</f>
        <v>SIG-20250703_12451dbi7.jpeg</v>
      </c>
      <c r="AW294" s="1" t="s">
        <v>1676</v>
      </c>
      <c r="AX294" s="3" t="str">
        <f>HYPERLINK("https://icf.clappia.com/app/GMB253374/submission/LDY51908429/ICF247370-GMB253374-3kdikd8dioje00000000/SIG-20250703_1246172n9h.jpeg", "SIG-20250703_1246172n9h.jpeg")</f>
        <v>SIG-20250703_1246172n9h.jpeg</v>
      </c>
      <c r="AY294" s="3" t="str">
        <f>HYPERLINK("https://www.google.com/maps/place/8.332297%2C-11.552132", "8.332297,-11.552132")</f>
        <v>8.332297,-11.552132</v>
      </c>
    </row>
    <row r="295" ht="15.75" customHeight="1">
      <c r="A295" s="1" t="s">
        <v>1677</v>
      </c>
      <c r="B295" s="2" t="s">
        <v>47</v>
      </c>
      <c r="C295" s="1" t="s">
        <v>404</v>
      </c>
      <c r="D295" s="1" t="s">
        <v>1672</v>
      </c>
      <c r="E295" s="1" t="s">
        <v>1678</v>
      </c>
      <c r="F295" s="1" t="s">
        <v>51</v>
      </c>
      <c r="G295" s="1">
        <v>350.0</v>
      </c>
      <c r="H295" s="1" t="s">
        <v>52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53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54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56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57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f t="shared" si="1"/>
        <v>337</v>
      </c>
      <c r="AM295" s="1">
        <v>350.0</v>
      </c>
      <c r="AN295" s="1">
        <v>362.0</v>
      </c>
      <c r="AO295" s="1">
        <v>337.0</v>
      </c>
      <c r="AP295" s="2">
        <v>11.0</v>
      </c>
      <c r="AQ295" s="1">
        <v>13.0</v>
      </c>
      <c r="AR295" s="1">
        <v>13.0</v>
      </c>
      <c r="AS295" s="1" t="s">
        <v>1674</v>
      </c>
      <c r="AT295" s="3" t="str">
        <f>HYPERLINK("https://icf.clappia.com/app/GMB253374/submission/QQM10792617/ICF247370-GMB253374-50o4phh61l2600000000/SIG-20250703_1149h05f5.jpeg", "SIG-20250703_1149h05f5.jpeg")</f>
        <v>SIG-20250703_1149h05f5.jpeg</v>
      </c>
      <c r="AU295" s="1" t="s">
        <v>1679</v>
      </c>
      <c r="AV295" s="3" t="str">
        <f>HYPERLINK("https://icf.clappia.com/app/GMB253374/submission/QQM10792617/ICF247370-GMB253374-4o2afpnlafog00000000/SIG-20250703_11496ek8f.jpeg", "SIG-20250703_11496ek8f.jpeg")</f>
        <v>SIG-20250703_11496ek8f.jpeg</v>
      </c>
      <c r="AW295" s="1" t="s">
        <v>1680</v>
      </c>
      <c r="AX295" s="3" t="str">
        <f>HYPERLINK("https://icf.clappia.com/app/GMB253374/submission/QQM10792617/ICF247370-GMB253374-on9l7imc32c80000000/SIG-20250703_114912g3fj.jpeg", "SIG-20250703_114912g3fj.jpeg")</f>
        <v>SIG-20250703_114912g3fj.jpeg</v>
      </c>
      <c r="AY295" s="3" t="str">
        <f>HYPERLINK("https://www.google.com/maps/place/8.3322849%2C-11.552118", "8.3322849,-11.552118")</f>
        <v>8.3322849,-11.552118</v>
      </c>
    </row>
    <row r="296" ht="15.75" customHeight="1">
      <c r="A296" s="1" t="s">
        <v>1681</v>
      </c>
      <c r="B296" s="2" t="s">
        <v>47</v>
      </c>
      <c r="C296" s="1" t="s">
        <v>1682</v>
      </c>
      <c r="D296" s="1" t="s">
        <v>1683</v>
      </c>
      <c r="E296" s="1" t="s">
        <v>1684</v>
      </c>
      <c r="F296" s="1" t="s">
        <v>51</v>
      </c>
      <c r="G296" s="1">
        <v>77.0</v>
      </c>
      <c r="H296" s="1" t="s">
        <v>52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53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54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56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57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f t="shared" si="1"/>
        <v>77</v>
      </c>
      <c r="AM296" s="1">
        <v>77.0</v>
      </c>
      <c r="AN296" s="1">
        <v>89.0</v>
      </c>
      <c r="AO296" s="1">
        <v>77.0</v>
      </c>
      <c r="AP296" s="2">
        <v>11.0</v>
      </c>
      <c r="AQ296" s="1">
        <v>0.0</v>
      </c>
      <c r="AR296" s="1">
        <v>0.0</v>
      </c>
      <c r="AS296" s="1" t="s">
        <v>1632</v>
      </c>
      <c r="AT296" s="3" t="str">
        <f>HYPERLINK("https://icf.clappia.com/app/GMB253374/submission/GET33395418/ICF247370-GMB253374-3ka4ni9aping00000000/SIG-20250703_1141180663.jpeg", "SIG-20250703_1141180663.jpeg")</f>
        <v>SIG-20250703_1141180663.jpeg</v>
      </c>
      <c r="AU296" s="1" t="s">
        <v>1685</v>
      </c>
      <c r="AV296" s="3" t="str">
        <f>HYPERLINK("https://icf.clappia.com/app/GMB253374/submission/GET33395418/ICF247370-GMB253374-k2g6b580dg400000000/SIG-20250703_11426dmm0.jpeg", "SIG-20250703_11426dmm0.jpeg")</f>
        <v>SIG-20250703_11426dmm0.jpeg</v>
      </c>
      <c r="AW296" s="1" t="s">
        <v>1686</v>
      </c>
      <c r="AX296" s="3" t="str">
        <f>HYPERLINK("https://icf.clappia.com/app/GMB253374/submission/GET33395418/ICF247370-GMB253374-ap0f244inm7a0000000/SIG-20250703_1144kjm7c.jpeg", "SIG-20250703_1144kjm7c.jpeg")</f>
        <v>SIG-20250703_1144kjm7c.jpeg</v>
      </c>
      <c r="AY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1687</v>
      </c>
      <c r="B297" s="2" t="s">
        <v>47</v>
      </c>
      <c r="C297" s="1" t="s">
        <v>1688</v>
      </c>
      <c r="D297" s="1" t="s">
        <v>1688</v>
      </c>
      <c r="E297" s="1" t="s">
        <v>1689</v>
      </c>
      <c r="F297" s="1" t="s">
        <v>51</v>
      </c>
      <c r="G297" s="1">
        <v>140.0</v>
      </c>
      <c r="H297" s="1" t="s">
        <v>52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53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54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56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57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f t="shared" si="1"/>
        <v>140</v>
      </c>
      <c r="AM297" s="1">
        <v>140.0</v>
      </c>
      <c r="AN297" s="1">
        <v>152.0</v>
      </c>
      <c r="AO297" s="1">
        <v>140.0</v>
      </c>
      <c r="AP297" s="2">
        <v>11.0</v>
      </c>
      <c r="AQ297" s="1">
        <v>0.0</v>
      </c>
      <c r="AR297" s="1">
        <v>0.0</v>
      </c>
      <c r="AS297" s="1" t="s">
        <v>1690</v>
      </c>
      <c r="AT297" s="3" t="str">
        <f>HYPERLINK("https://icf.clappia.com/app/GMB253374/submission/BVC82188484/ICF247370-GMB253374-2n31919n9ipc00000000/SIG-20250703_1430f6h16.jpeg", "SIG-20250703_1430f6h16.jpeg")</f>
        <v>SIG-20250703_1430f6h16.jpeg</v>
      </c>
      <c r="AU297" s="1" t="s">
        <v>1691</v>
      </c>
      <c r="AV297" s="3" t="str">
        <f>HYPERLINK("https://icf.clappia.com/app/GMB253374/submission/BVC82188484/ICF247370-GMB253374-l6jeie5flnnm0000000/SIG-20250703_1431186mf3.jpeg", "SIG-20250703_1431186mf3.jpeg")</f>
        <v>SIG-20250703_1431186mf3.jpeg</v>
      </c>
      <c r="AW297" s="1" t="s">
        <v>1692</v>
      </c>
      <c r="AX297" s="3" t="str">
        <f>HYPERLINK("https://icf.clappia.com/app/GMB253374/submission/BVC82188484/ICF247370-GMB253374-2ic4pfodl2om00000000/SIG-20250703_1431kl39h.jpeg", "SIG-20250703_1431kl39h.jpeg")</f>
        <v>SIG-20250703_1431kl39h.jpeg</v>
      </c>
      <c r="AY297" s="3" t="str">
        <f>HYPERLINK("https://www.google.com/maps/place/7.95623%2C-11.7606833", "7.95623,-11.7606833")</f>
        <v>7.95623,-11.7606833</v>
      </c>
    </row>
    <row r="298" ht="15.75" customHeight="1">
      <c r="A298" s="1" t="s">
        <v>1693</v>
      </c>
      <c r="B298" s="2" t="s">
        <v>47</v>
      </c>
      <c r="C298" s="1" t="s">
        <v>1694</v>
      </c>
      <c r="D298" s="1" t="s">
        <v>1694</v>
      </c>
      <c r="E298" s="1" t="s">
        <v>1695</v>
      </c>
      <c r="F298" s="1" t="s">
        <v>51</v>
      </c>
      <c r="G298" s="1">
        <v>65.0</v>
      </c>
      <c r="H298" s="1" t="s">
        <v>52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53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54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56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57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f t="shared" si="1"/>
        <v>65</v>
      </c>
      <c r="AM298" s="1">
        <v>65.0</v>
      </c>
      <c r="AN298" s="1">
        <v>77.0</v>
      </c>
      <c r="AO298" s="1">
        <v>57.0</v>
      </c>
      <c r="AP298" s="2">
        <v>11.0</v>
      </c>
      <c r="AQ298" s="1">
        <v>8.0</v>
      </c>
      <c r="AR298" s="1">
        <v>8.0</v>
      </c>
      <c r="AS298" s="1" t="s">
        <v>1696</v>
      </c>
      <c r="AT298" s="3" t="str">
        <f>HYPERLINK("https://icf.clappia.com/app/GMB253374/submission/MKG04835556/ICF247370-GMB253374-c5g8551holnm0000000/SIG-20250703_1427fl429.jpeg", "SIG-20250703_1427fl429.jpeg")</f>
        <v>SIG-20250703_1427fl429.jpeg</v>
      </c>
      <c r="AU298" s="1" t="s">
        <v>1697</v>
      </c>
      <c r="AV298" s="3" t="str">
        <f>HYPERLINK("https://icf.clappia.com/app/GMB253374/submission/MKG04835556/ICF247370-GMB253374-557b5j367f6o00000000/SIG-20250703_14271439fh.jpeg", "SIG-20250703_14271439fh.jpeg")</f>
        <v>SIG-20250703_14271439fh.jpeg</v>
      </c>
      <c r="AW298" s="1" t="s">
        <v>1698</v>
      </c>
      <c r="AX298" s="3" t="str">
        <f>HYPERLINK("https://icf.clappia.com/app/GMB253374/submission/MKG04835556/ICF247370-GMB253374-29fn35djk7ek80000000/SIG-20250703_142710oa4n.jpeg", "SIG-20250703_142710oa4n.jpeg")</f>
        <v>SIG-20250703_142710oa4n.jpeg</v>
      </c>
      <c r="AY298" s="3" t="str">
        <f>HYPERLINK("https://www.google.com/maps/place/8.0195417%2C-11.58576", "8.0195417,-11.58576")</f>
        <v>8.0195417,-11.58576</v>
      </c>
    </row>
    <row r="299" ht="15.75" customHeight="1">
      <c r="A299" s="1" t="s">
        <v>1699</v>
      </c>
      <c r="B299" s="2" t="s">
        <v>47</v>
      </c>
      <c r="C299" s="1" t="s">
        <v>1700</v>
      </c>
      <c r="D299" s="1" t="s">
        <v>1700</v>
      </c>
      <c r="E299" s="1" t="s">
        <v>1701</v>
      </c>
      <c r="F299" s="1" t="s">
        <v>51</v>
      </c>
      <c r="G299" s="1">
        <v>100.0</v>
      </c>
      <c r="H299" s="1" t="s">
        <v>52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53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54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56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57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f t="shared" si="1"/>
        <v>175</v>
      </c>
      <c r="AM299" s="1">
        <v>100.0</v>
      </c>
      <c r="AN299" s="1">
        <v>112.0</v>
      </c>
      <c r="AO299" s="1">
        <v>100.0</v>
      </c>
      <c r="AP299" s="2">
        <v>11.0</v>
      </c>
      <c r="AQ299" s="1">
        <v>0.0</v>
      </c>
      <c r="AR299" s="1">
        <v>0.0</v>
      </c>
      <c r="AS299" s="1" t="s">
        <v>1702</v>
      </c>
      <c r="AT299" s="3" t="str">
        <f>HYPERLINK("https://icf.clappia.com/app/GMB253374/submission/QGR15911889/ICF247370-GMB253374-52mm5d2395io00000000/SIG-20250703_14217hg10.jpeg", "SIG-20250703_14217hg10.jpeg")</f>
        <v>SIG-20250703_14217hg10.jpeg</v>
      </c>
      <c r="AU299" s="1" t="s">
        <v>1703</v>
      </c>
      <c r="AV299" s="3" t="str">
        <f>HYPERLINK("https://icf.clappia.com/app/GMB253374/submission/QGR15911889/ICF247370-GMB253374-5964ok9pfi0m00000000/SIG-20250703_1421bdn5a.jpeg", "SIG-20250703_1421bdn5a.jpeg")</f>
        <v>SIG-20250703_1421bdn5a.jpeg</v>
      </c>
      <c r="AW299" s="1" t="s">
        <v>1704</v>
      </c>
      <c r="AX299" s="3" t="str">
        <f>HYPERLINK("https://icf.clappia.com/app/GMB253374/submission/QGR15911889/ICF247370-GMB253374-48026p71c9i200000000/SIG-20250703_1423a307h.jpeg", "SIG-20250703_1423a307h.jpeg")</f>
        <v>SIG-20250703_1423a307h.jpeg</v>
      </c>
      <c r="AY299" s="3" t="str">
        <f>HYPERLINK("https://www.google.com/maps/place/7.942268%2C-11.7304947", "7.942268,-11.7304947")</f>
        <v>7.942268,-11.7304947</v>
      </c>
    </row>
    <row r="300" ht="15.75" customHeight="1">
      <c r="A300" s="1" t="s">
        <v>1705</v>
      </c>
      <c r="B300" s="2" t="s">
        <v>47</v>
      </c>
      <c r="C300" s="1" t="s">
        <v>1706</v>
      </c>
      <c r="D300" s="1" t="s">
        <v>1706</v>
      </c>
      <c r="E300" s="1" t="s">
        <v>1707</v>
      </c>
      <c r="F300" s="1" t="s">
        <v>51</v>
      </c>
      <c r="G300" s="1">
        <v>181.0</v>
      </c>
      <c r="H300" s="1" t="s">
        <v>52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53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54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56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57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f t="shared" si="1"/>
        <v>214</v>
      </c>
      <c r="AM300" s="1">
        <v>181.0</v>
      </c>
      <c r="AN300" s="1">
        <v>193.0</v>
      </c>
      <c r="AO300" s="1">
        <v>64.0</v>
      </c>
      <c r="AP300" s="2">
        <v>11.0</v>
      </c>
      <c r="AQ300" s="1">
        <v>117.0</v>
      </c>
      <c r="AR300" s="1">
        <v>117.0</v>
      </c>
      <c r="AS300" s="1" t="s">
        <v>1708</v>
      </c>
      <c r="AT300" s="3" t="str">
        <f>HYPERLINK("https://icf.clappia.com/app/GMB253374/submission/IPZ57380845/ICF247370-GMB253374-5ml5ebnhknd600000000/SIG-20250703_142216526c.jpeg", "SIG-20250703_142216526c.jpeg")</f>
        <v>SIG-20250703_142216526c.jpeg</v>
      </c>
      <c r="AU300" s="1" t="s">
        <v>1709</v>
      </c>
      <c r="AV300" s="3" t="str">
        <f>HYPERLINK("https://icf.clappia.com/app/GMB253374/submission/IPZ57380845/ICF247370-GMB253374-cgnbk9f5omba0000000/SIG-20250703_1422ljl8k.jpeg", "SIG-20250703_1422ljl8k.jpeg")</f>
        <v>SIG-20250703_1422ljl8k.jpeg</v>
      </c>
      <c r="AW300" s="1" t="s">
        <v>1710</v>
      </c>
      <c r="AX300" s="3" t="str">
        <f>HYPERLINK("https://icf.clappia.com/app/GMB253374/submission/IPZ57380845/ICF247370-GMB253374-4h0dpeod3k8m00000000/SIG-20250703_1423kcomg.jpeg", "SIG-20250703_1423kcomg.jpeg")</f>
        <v>SIG-20250703_1423kcomg.jpeg</v>
      </c>
      <c r="AY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1711</v>
      </c>
      <c r="B301" s="2" t="s">
        <v>47</v>
      </c>
      <c r="C301" s="1" t="s">
        <v>1712</v>
      </c>
      <c r="D301" s="1" t="s">
        <v>1658</v>
      </c>
      <c r="E301" s="1" t="s">
        <v>1713</v>
      </c>
      <c r="F301" s="1" t="s">
        <v>51</v>
      </c>
      <c r="G301" s="1">
        <v>211.0</v>
      </c>
      <c r="H301" s="1" t="s">
        <v>52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53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54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56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57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f t="shared" si="1"/>
        <v>211</v>
      </c>
      <c r="AM301" s="1">
        <v>211.0</v>
      </c>
      <c r="AN301" s="1">
        <v>223.0</v>
      </c>
      <c r="AO301" s="1">
        <v>211.0</v>
      </c>
      <c r="AP301" s="2">
        <v>11.0</v>
      </c>
      <c r="AQ301" s="1">
        <v>0.0</v>
      </c>
      <c r="AR301" s="1">
        <v>0.0</v>
      </c>
      <c r="AS301" s="1" t="s">
        <v>1714</v>
      </c>
      <c r="AT301" s="3" t="str">
        <f>HYPERLINK("https://icf.clappia.com/app/GMB253374/submission/YKE18387445/ICF247370-GMB253374-4620a12obnie00000000/SIG-20250703_11312lg66.jpeg", "SIG-20250703_11312lg66.jpeg")</f>
        <v>SIG-20250703_11312lg66.jpeg</v>
      </c>
      <c r="AU301" s="1" t="s">
        <v>1715</v>
      </c>
      <c r="AV301" s="3" t="str">
        <f>HYPERLINK("https://icf.clappia.com/app/GMB253374/submission/YKE18387445/ICF247370-GMB253374-2joi5o2jf6ak00000000/SIG-20250703_113115j8bc.jpeg", "SIG-20250703_113115j8bc.jpeg")</f>
        <v>SIG-20250703_113115j8bc.jpeg</v>
      </c>
      <c r="AW301" s="1" t="s">
        <v>1716</v>
      </c>
      <c r="AX301" s="3" t="str">
        <f>HYPERLINK("https://icf.clappia.com/app/GMB253374/submission/YKE18387445/ICF247370-GMB253374-35f01mo4f8ik00000000/SIG-20250703_1131295f.jpeg", "SIG-20250703_1131295f.jpeg")</f>
        <v>SIG-20250703_1131295f.jpeg</v>
      </c>
      <c r="AY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1717</v>
      </c>
      <c r="B302" s="2" t="s">
        <v>47</v>
      </c>
      <c r="C302" s="1" t="s">
        <v>1718</v>
      </c>
      <c r="D302" s="1" t="s">
        <v>1658</v>
      </c>
      <c r="E302" s="1" t="s">
        <v>1719</v>
      </c>
      <c r="F302" s="1" t="s">
        <v>72</v>
      </c>
      <c r="G302" s="1">
        <v>33.0</v>
      </c>
      <c r="H302" s="1" t="s">
        <v>52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53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54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56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57</v>
      </c>
      <c r="AG302" s="1">
        <v>5.0</v>
      </c>
      <c r="AH302" s="1" t="s">
        <v>55</v>
      </c>
      <c r="AI302" s="1" t="s">
        <v>55</v>
      </c>
      <c r="AJ302" s="1">
        <v>5.0</v>
      </c>
      <c r="AK302" s="1">
        <v>5.0</v>
      </c>
      <c r="AL302" s="1">
        <f t="shared" si="1"/>
        <v>33</v>
      </c>
      <c r="AM302" s="1">
        <v>33.0</v>
      </c>
      <c r="AN302" s="1">
        <v>45.0</v>
      </c>
      <c r="AO302" s="1">
        <v>30.0</v>
      </c>
      <c r="AP302" s="2">
        <v>11.0</v>
      </c>
      <c r="AQ302" s="1">
        <v>3.0</v>
      </c>
      <c r="AR302" s="1">
        <v>3.0</v>
      </c>
      <c r="AS302" s="1" t="s">
        <v>1714</v>
      </c>
      <c r="AT302" s="3" t="str">
        <f>HYPERLINK("https://icf.clappia.com/app/GMB253374/submission/FVR36292274/ICF247370-GMB253374-6b3lnmb078k600000000/SIG-20250702_11021aecna.jpeg", "SIG-20250702_11021aecna.jpeg")</f>
        <v>SIG-20250702_11021aecna.jpeg</v>
      </c>
      <c r="AU302" s="1" t="s">
        <v>1720</v>
      </c>
      <c r="AV302" s="3" t="str">
        <f>HYPERLINK("https://icf.clappia.com/app/GMB253374/submission/FVR36292274/ICF247370-GMB253374-6boi13n83i4600000000/SIG-20250702_1102h3ede.jpeg", "SIG-20250702_1102h3ede.jpeg")</f>
        <v>SIG-20250702_1102h3ede.jpeg</v>
      </c>
      <c r="AW302" s="1" t="s">
        <v>1716</v>
      </c>
      <c r="AX302" s="3" t="str">
        <f>HYPERLINK("https://icf.clappia.com/app/GMB253374/submission/FVR36292274/ICF247370-GMB253374-3ikcemn3e6eg00000000/SIG-20250702_1103bi29h.jpeg", "SIG-20250702_1103bi29h.jpeg")</f>
        <v>SIG-20250702_1103bi29h.jpeg</v>
      </c>
      <c r="AY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1721</v>
      </c>
      <c r="B303" s="2" t="s">
        <v>47</v>
      </c>
      <c r="C303" s="1" t="s">
        <v>1722</v>
      </c>
      <c r="D303" s="1" t="s">
        <v>1722</v>
      </c>
      <c r="E303" s="1" t="s">
        <v>1723</v>
      </c>
      <c r="F303" s="1" t="s">
        <v>51</v>
      </c>
      <c r="G303" s="1">
        <v>224.0</v>
      </c>
      <c r="H303" s="1" t="s">
        <v>52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53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54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56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57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f t="shared" si="1"/>
        <v>220</v>
      </c>
      <c r="AM303" s="1">
        <v>224.0</v>
      </c>
      <c r="AN303" s="1">
        <v>236.0</v>
      </c>
      <c r="AO303" s="1">
        <v>220.0</v>
      </c>
      <c r="AP303" s="2">
        <v>11.0</v>
      </c>
      <c r="AQ303" s="1">
        <v>4.0</v>
      </c>
      <c r="AR303" s="1">
        <v>4.0</v>
      </c>
      <c r="AS303" s="1" t="s">
        <v>1708</v>
      </c>
      <c r="AT303" s="3" t="str">
        <f>HYPERLINK("https://icf.clappia.com/app/GMB253374/submission/QWP59091335/ICF247370-GMB253374-2lj61ldpm81200000000/SIG-20250703_135364ohb.jpeg", "SIG-20250703_135364ohb.jpeg")</f>
        <v>SIG-20250703_135364ohb.jpeg</v>
      </c>
      <c r="AU303" s="1" t="s">
        <v>1709</v>
      </c>
      <c r="AV303" s="3" t="str">
        <f>HYPERLINK("https://icf.clappia.com/app/GMB253374/submission/QWP59091335/ICF247370-GMB253374-1eoc1lmfk222k0000000/SIG-20250703_135419k87p.jpeg", "SIG-20250703_135419k87p.jpeg")</f>
        <v>SIG-20250703_135419k87p.jpeg</v>
      </c>
      <c r="AW303" s="1" t="s">
        <v>1710</v>
      </c>
      <c r="AX303" s="3" t="str">
        <f>HYPERLINK("https://icf.clappia.com/app/GMB253374/submission/QWP59091335/ICF247370-GMB253374-4h5m9p8mdoec00000000/SIG-20250703_1354l4inj.jpeg", "SIG-20250703_1354l4inj.jpeg")</f>
        <v>SIG-20250703_1354l4inj.jpeg</v>
      </c>
      <c r="AY303" s="3" t="str">
        <f>HYPERLINK("https://www.google.com/maps/place/7.9341033%2C-11.48987", "7.9341033,-11.48987")</f>
        <v>7.9341033,-11.48987</v>
      </c>
    </row>
    <row r="304" ht="15.75" customHeight="1">
      <c r="A304" s="1" t="s">
        <v>1724</v>
      </c>
      <c r="B304" s="2" t="s">
        <v>47</v>
      </c>
      <c r="C304" s="1" t="s">
        <v>1725</v>
      </c>
      <c r="D304" s="1" t="s">
        <v>1725</v>
      </c>
      <c r="E304" s="1" t="s">
        <v>1726</v>
      </c>
      <c r="F304" s="1" t="s">
        <v>51</v>
      </c>
      <c r="G304" s="1">
        <v>114.0</v>
      </c>
      <c r="H304" s="1" t="s">
        <v>52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53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54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56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57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f t="shared" si="1"/>
        <v>103</v>
      </c>
      <c r="AM304" s="1">
        <v>114.0</v>
      </c>
      <c r="AN304" s="1">
        <v>126.0</v>
      </c>
      <c r="AO304" s="1">
        <v>103.0</v>
      </c>
      <c r="AP304" s="2">
        <v>11.0</v>
      </c>
      <c r="AQ304" s="1">
        <v>11.0</v>
      </c>
      <c r="AR304" s="1">
        <v>11.0</v>
      </c>
      <c r="AS304" s="1" t="s">
        <v>1727</v>
      </c>
      <c r="AT304" s="3" t="str">
        <f>HYPERLINK("https://icf.clappia.com/app/GMB253374/submission/JSA97376202/ICF247370-GMB253374-559hdfjccfde00000000/SIG-20250703_14083fgai.jpeg", "SIG-20250703_14083fgai.jpeg")</f>
        <v>SIG-20250703_14083fgai.jpeg</v>
      </c>
      <c r="AU304" s="1" t="s">
        <v>1728</v>
      </c>
      <c r="AV304" s="3" t="str">
        <f>HYPERLINK("https://icf.clappia.com/app/GMB253374/submission/JSA97376202/ICF247370-GMB253374-1fg3lj3ffljc40000000/SIG-20250703_1411105j79.jpeg", "SIG-20250703_1411105j79.jpeg")</f>
        <v>SIG-20250703_1411105j79.jpeg</v>
      </c>
      <c r="AW304" s="1" t="s">
        <v>1729</v>
      </c>
      <c r="AX304" s="3" t="str">
        <f>HYPERLINK("https://icf.clappia.com/app/GMB253374/submission/JSA97376202/ICF247370-GMB253374-4f521nhchkdc00000000/SIG-20250703_1411dd2hn.jpeg", "SIG-20250703_1411dd2hn.jpeg")</f>
        <v>SIG-20250703_1411dd2hn.jpeg</v>
      </c>
      <c r="AY304" s="3" t="str">
        <f>HYPERLINK("https://www.google.com/maps/place/7.924727%2C-11.4372862", "7.924727,-11.4372862")</f>
        <v>7.924727,-11.4372862</v>
      </c>
    </row>
    <row r="305" ht="15.75" customHeight="1">
      <c r="A305" s="1" t="s">
        <v>1730</v>
      </c>
      <c r="B305" s="2" t="s">
        <v>47</v>
      </c>
      <c r="C305" s="1" t="s">
        <v>1731</v>
      </c>
      <c r="D305" s="1" t="s">
        <v>1732</v>
      </c>
      <c r="E305" s="1" t="s">
        <v>1733</v>
      </c>
      <c r="F305" s="1" t="s">
        <v>51</v>
      </c>
      <c r="G305" s="1">
        <v>150.0</v>
      </c>
      <c r="H305" s="1" t="s">
        <v>52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53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54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56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57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f t="shared" si="1"/>
        <v>150</v>
      </c>
      <c r="AM305" s="1">
        <v>150.0</v>
      </c>
      <c r="AN305" s="1">
        <v>162.0</v>
      </c>
      <c r="AO305" s="1">
        <v>139.0</v>
      </c>
      <c r="AP305" s="2">
        <v>11.0</v>
      </c>
      <c r="AQ305" s="1">
        <v>11.0</v>
      </c>
      <c r="AR305" s="1">
        <v>11.0</v>
      </c>
      <c r="AS305" s="1" t="s">
        <v>1734</v>
      </c>
      <c r="AT305" s="3" t="str">
        <f>HYPERLINK("https://icf.clappia.com/app/GMB253374/submission/QFC04395553/ICF247370-GMB253374-4370ld617kmm00000000/SIG-20250703_1404ahm3k.jpeg", "SIG-20250703_1404ahm3k.jpeg")</f>
        <v>SIG-20250703_1404ahm3k.jpeg</v>
      </c>
      <c r="AU305" s="1" t="s">
        <v>1735</v>
      </c>
      <c r="AV305" s="3" t="str">
        <f>HYPERLINK("https://icf.clappia.com/app/GMB253374/submission/QFC04395553/ICF247370-GMB253374-32fd0lm54a9g00000000/SIG-20250703_14054pd9j.jpeg", "SIG-20250703_14054pd9j.jpeg")</f>
        <v>SIG-20250703_14054pd9j.jpeg</v>
      </c>
      <c r="AW305" s="1" t="s">
        <v>1736</v>
      </c>
      <c r="AX305" s="3" t="str">
        <f>HYPERLINK("https://icf.clappia.com/app/GMB253374/submission/QFC04395553/ICF247370-GMB253374-2o6p42a7boci00000000/SIG-20250703_1405fa5fn.jpeg", "SIG-20250703_1405fa5fn.jpeg")</f>
        <v>SIG-20250703_1405fa5fn.jpeg</v>
      </c>
      <c r="AY305" s="3" t="str">
        <f>HYPERLINK("https://www.google.com/maps/place/8.75999%2C-11.955515", "8.75999,-11.955515")</f>
        <v>8.75999,-11.955515</v>
      </c>
    </row>
    <row r="306" ht="15.75" customHeight="1">
      <c r="A306" s="1" t="s">
        <v>1737</v>
      </c>
      <c r="B306" s="2" t="s">
        <v>47</v>
      </c>
      <c r="C306" s="1" t="s">
        <v>1738</v>
      </c>
      <c r="D306" s="1" t="s">
        <v>1739</v>
      </c>
      <c r="E306" s="1" t="s">
        <v>1740</v>
      </c>
      <c r="F306" s="1" t="s">
        <v>51</v>
      </c>
      <c r="G306" s="1">
        <v>183.0</v>
      </c>
      <c r="H306" s="1" t="s">
        <v>52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53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54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56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57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f t="shared" si="1"/>
        <v>241</v>
      </c>
      <c r="AM306" s="1">
        <v>183.0</v>
      </c>
      <c r="AN306" s="1">
        <v>195.0</v>
      </c>
      <c r="AO306" s="1">
        <v>173.0</v>
      </c>
      <c r="AP306" s="2">
        <v>11.0</v>
      </c>
      <c r="AQ306" s="1">
        <v>10.0</v>
      </c>
      <c r="AR306" s="1">
        <v>10.0</v>
      </c>
      <c r="AS306" s="1" t="s">
        <v>1741</v>
      </c>
      <c r="AT306" s="3" t="str">
        <f>HYPERLINK("https://icf.clappia.com/app/GMB253374/submission/ERB39893135/ICF247370-GMB253374-50efiegl1a8400000000/SIG-20250703_094880o78.jpeg", "SIG-20250703_094880o78.jpeg")</f>
        <v>SIG-20250703_094880o78.jpeg</v>
      </c>
      <c r="AU306" s="1" t="s">
        <v>1742</v>
      </c>
      <c r="AV306" s="3" t="str">
        <f>HYPERLINK("https://icf.clappia.com/app/GMB253374/submission/ERB39893135/ICF247370-GMB253374-3lfnl50ajf5e00000000/SIG-20250703_0950d54bc.jpeg", "SIG-20250703_0950d54bc.jpeg")</f>
        <v>SIG-20250703_0950d54bc.jpeg</v>
      </c>
      <c r="AW306" s="1" t="s">
        <v>1743</v>
      </c>
      <c r="AX306" s="3" t="str">
        <f>HYPERLINK("https://icf.clappia.com/app/GMB253374/submission/ERB39893135/ICF247370-GMB253374-1heaoj8kml4a40000000/SIG-20250703_0950gpl0c.jpeg", "SIG-20250703_0950gpl0c.jpeg")</f>
        <v>SIG-20250703_0950gpl0c.jpeg</v>
      </c>
      <c r="AY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1744</v>
      </c>
      <c r="B307" s="2" t="s">
        <v>47</v>
      </c>
      <c r="C307" s="1" t="s">
        <v>1745</v>
      </c>
      <c r="D307" s="1" t="s">
        <v>1739</v>
      </c>
      <c r="E307" s="1" t="s">
        <v>1746</v>
      </c>
      <c r="F307" s="1" t="s">
        <v>51</v>
      </c>
      <c r="G307" s="1">
        <v>208.0</v>
      </c>
      <c r="H307" s="1" t="s">
        <v>52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53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54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56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57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f t="shared" si="1"/>
        <v>205</v>
      </c>
      <c r="AM307" s="1">
        <v>208.0</v>
      </c>
      <c r="AN307" s="1">
        <v>220.0</v>
      </c>
      <c r="AO307" s="1">
        <v>201.0</v>
      </c>
      <c r="AP307" s="2">
        <v>11.0</v>
      </c>
      <c r="AQ307" s="1">
        <v>7.0</v>
      </c>
      <c r="AR307" s="1">
        <v>7.0</v>
      </c>
      <c r="AS307" s="1" t="s">
        <v>1747</v>
      </c>
      <c r="AT307" s="3" t="str">
        <f>HYPERLINK("https://icf.clappia.com/app/GMB253374/submission/FFH15961068/ICF247370-GMB253374-d1hph84i8c000000000/SIG-20250702_1216nego6.jpeg", "SIG-20250702_1216nego6.jpeg")</f>
        <v>SIG-20250702_1216nego6.jpeg</v>
      </c>
      <c r="AU307" s="1" t="s">
        <v>1742</v>
      </c>
      <c r="AV307" s="3" t="str">
        <f>HYPERLINK("https://icf.clappia.com/app/GMB253374/submission/FFH15961068/ICF247370-GMB253374-3gdal8m5666c00000000/SIG-20250702_12361908l5.jpeg", "SIG-20250702_12361908l5.jpeg")</f>
        <v>SIG-20250702_12361908l5.jpeg</v>
      </c>
      <c r="AW307" s="1" t="s">
        <v>1743</v>
      </c>
      <c r="AX307" s="3" t="str">
        <f>HYPERLINK("https://icf.clappia.com/app/GMB253374/submission/FFH15961068/ICF247370-GMB253374-24f3n64nlkdao0000000/SIG-20250702_123517jcil.jpeg", "SIG-20250702_123517jcil.jpeg")</f>
        <v>SIG-20250702_123517jcil.jpeg</v>
      </c>
      <c r="AY307" s="3" t="str">
        <f>HYPERLINK("https://www.google.com/maps/place/7.93403%2C-11.5715167", "7.93403,-11.5715167")</f>
        <v>7.93403,-11.5715167</v>
      </c>
    </row>
    <row r="308" ht="15.75" customHeight="1">
      <c r="A308" s="1" t="s">
        <v>1748</v>
      </c>
      <c r="B308" s="2" t="s">
        <v>47</v>
      </c>
      <c r="C308" s="1" t="s">
        <v>1749</v>
      </c>
      <c r="D308" s="1" t="s">
        <v>1750</v>
      </c>
      <c r="E308" s="1" t="s">
        <v>1751</v>
      </c>
      <c r="F308" s="1" t="s">
        <v>51</v>
      </c>
      <c r="G308" s="1">
        <v>232.0</v>
      </c>
      <c r="H308" s="1" t="s">
        <v>52</v>
      </c>
      <c r="I308" s="1">
        <v>53.0</v>
      </c>
      <c r="J308" s="1">
        <v>53.0</v>
      </c>
      <c r="K308" s="1">
        <v>48.0</v>
      </c>
      <c r="L308" s="1" t="s">
        <v>55</v>
      </c>
      <c r="M308" s="1" t="s">
        <v>55</v>
      </c>
      <c r="N308" s="1" t="s">
        <v>53</v>
      </c>
      <c r="O308" s="1">
        <v>56.0</v>
      </c>
      <c r="P308" s="1">
        <v>56.0</v>
      </c>
      <c r="Q308" s="1">
        <v>50.0</v>
      </c>
      <c r="R308" s="1" t="s">
        <v>55</v>
      </c>
      <c r="S308" s="1" t="s">
        <v>55</v>
      </c>
      <c r="T308" s="1" t="s">
        <v>54</v>
      </c>
      <c r="U308" s="1">
        <v>48.0</v>
      </c>
      <c r="V308" s="1">
        <v>48.0</v>
      </c>
      <c r="W308" s="1">
        <v>44.0</v>
      </c>
      <c r="X308" s="1" t="s">
        <v>55</v>
      </c>
      <c r="Y308" s="1" t="s">
        <v>55</v>
      </c>
      <c r="Z308" s="1" t="s">
        <v>56</v>
      </c>
      <c r="AA308" s="1" t="s">
        <v>55</v>
      </c>
      <c r="AB308" s="1" t="s">
        <v>55</v>
      </c>
      <c r="AC308" s="1" t="s">
        <v>55</v>
      </c>
      <c r="AD308" s="1" t="s">
        <v>55</v>
      </c>
      <c r="AE308" s="1" t="s">
        <v>55</v>
      </c>
      <c r="AF308" s="1" t="s">
        <v>57</v>
      </c>
      <c r="AG308" s="1" t="s">
        <v>55</v>
      </c>
      <c r="AH308" s="1" t="s">
        <v>55</v>
      </c>
      <c r="AI308" s="1" t="s">
        <v>55</v>
      </c>
      <c r="AJ308" s="1" t="s">
        <v>55</v>
      </c>
      <c r="AK308" s="1" t="s">
        <v>55</v>
      </c>
      <c r="AL308" s="1">
        <f t="shared" si="1"/>
        <v>157</v>
      </c>
      <c r="AM308" s="1">
        <v>232.0</v>
      </c>
      <c r="AN308" s="1">
        <v>244.0</v>
      </c>
      <c r="AO308" s="1">
        <v>142.0</v>
      </c>
      <c r="AP308" s="2">
        <v>11.0</v>
      </c>
      <c r="AQ308" s="1">
        <v>90.0</v>
      </c>
      <c r="AR308" s="1">
        <v>90.0</v>
      </c>
      <c r="AS308" s="1" t="s">
        <v>1741</v>
      </c>
      <c r="AT308" s="3" t="str">
        <f>HYPERLINK("https://icf.clappia.com/app/GMB253374/submission/QAI56636218/ICF247370-GMB253374-46k0ha5gj2bm00000000/SIG-20250630_121216ilg9.jpeg", "SIG-20250630_121216ilg9.jpeg")</f>
        <v>SIG-20250630_121216ilg9.jpeg</v>
      </c>
      <c r="AU308" s="1" t="s">
        <v>1742</v>
      </c>
      <c r="AV308" s="3" t="str">
        <f>HYPERLINK("https://icf.clappia.com/app/GMB253374/submission/QAI56636218/ICF247370-GMB253374-5di7ojj5f95200000000/SIG-20250630_1211kc03j.jpeg", "SIG-20250630_1211kc03j.jpeg")</f>
        <v>SIG-20250630_1211kc03j.jpeg</v>
      </c>
      <c r="AW308" s="1" t="s">
        <v>1752</v>
      </c>
      <c r="AX308" s="3" t="str">
        <f>HYPERLINK("https://icf.clappia.com/app/GMB253374/submission/QAI56636218/ICF247370-GMB253374-4dl419mbfa6c00000000/SIG-20250630_1153l1c6k.jpeg", "SIG-20250630_1153l1c6k.jpeg")</f>
        <v>SIG-20250630_1153l1c6k.jpeg</v>
      </c>
      <c r="AY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1753</v>
      </c>
      <c r="B309" s="2" t="s">
        <v>47</v>
      </c>
      <c r="C309" s="1" t="s">
        <v>1754</v>
      </c>
      <c r="D309" s="1" t="s">
        <v>1754</v>
      </c>
      <c r="E309" s="1" t="s">
        <v>1755</v>
      </c>
      <c r="F309" s="1" t="s">
        <v>51</v>
      </c>
      <c r="G309" s="1">
        <v>185.0</v>
      </c>
      <c r="H309" s="1" t="s">
        <v>52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53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54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56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57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f t="shared" si="1"/>
        <v>185</v>
      </c>
      <c r="AM309" s="1">
        <v>185.0</v>
      </c>
      <c r="AN309" s="1">
        <v>197.0</v>
      </c>
      <c r="AO309" s="1">
        <v>185.0</v>
      </c>
      <c r="AP309" s="2">
        <v>11.0</v>
      </c>
      <c r="AQ309" s="1">
        <v>0.0</v>
      </c>
      <c r="AR309" s="1">
        <v>0.0</v>
      </c>
      <c r="AS309" s="1" t="s">
        <v>1756</v>
      </c>
      <c r="AT309" s="3" t="str">
        <f>HYPERLINK("https://icf.clappia.com/app/GMB253374/submission/YRS92823280/ICF247370-GMB253374-4o3h2409ff5600000000/SIG-20250703_1400n4hg1.jpeg", "SIG-20250703_1400n4hg1.jpeg")</f>
        <v>SIG-20250703_1400n4hg1.jpeg</v>
      </c>
      <c r="AU309" s="1" t="s">
        <v>1757</v>
      </c>
      <c r="AV309" s="3" t="str">
        <f>HYPERLINK("https://icf.clappia.com/app/GMB253374/submission/YRS92823280/ICF247370-GMB253374-48h706lg9kim00000000/SIG-20250703_1401pnome.jpeg", "SIG-20250703_1401pnome.jpeg")</f>
        <v>SIG-20250703_1401pnome.jpeg</v>
      </c>
      <c r="AW309" s="1" t="s">
        <v>1758</v>
      </c>
      <c r="AX309" s="3" t="str">
        <f>HYPERLINK("https://icf.clappia.com/app/GMB253374/submission/YRS92823280/ICF247370-GMB253374-1cpeh1mj3pgni0000000/SIG-20250703_13591h2o.jpeg", "SIG-20250703_13591h2o.jpeg")</f>
        <v>SIG-20250703_13591h2o.jpeg</v>
      </c>
      <c r="AY309" s="3" t="str">
        <f>HYPERLINK("https://www.google.com/maps/place/7.772375%2C-11.9856517", "7.772375,-11.9856517")</f>
        <v>7.772375,-11.9856517</v>
      </c>
    </row>
    <row r="310" ht="15.75" customHeight="1">
      <c r="A310" s="1" t="s">
        <v>1759</v>
      </c>
      <c r="B310" s="2" t="s">
        <v>47</v>
      </c>
      <c r="C310" s="1" t="s">
        <v>1760</v>
      </c>
      <c r="D310" s="1" t="s">
        <v>1760</v>
      </c>
      <c r="E310" s="1" t="s">
        <v>1761</v>
      </c>
      <c r="F310" s="1" t="s">
        <v>51</v>
      </c>
      <c r="G310" s="1">
        <v>125.0</v>
      </c>
      <c r="H310" s="1" t="s">
        <v>52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53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54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56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57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f t="shared" si="1"/>
        <v>125</v>
      </c>
      <c r="AM310" s="1">
        <v>125.0</v>
      </c>
      <c r="AN310" s="1">
        <v>137.0</v>
      </c>
      <c r="AO310" s="1">
        <v>125.0</v>
      </c>
      <c r="AP310" s="2">
        <v>11.0</v>
      </c>
      <c r="AQ310" s="1">
        <v>0.0</v>
      </c>
      <c r="AR310" s="1">
        <v>0.0</v>
      </c>
      <c r="AS310" s="1" t="s">
        <v>1762</v>
      </c>
      <c r="AT310" s="3" t="str">
        <f>HYPERLINK("https://icf.clappia.com/app/GMB253374/submission/FUX12163880/ICF247370-GMB253374-33b7n5k33fe800000000/SIG-20250703_1358b850n.jpeg", "SIG-20250703_1358b850n.jpeg")</f>
        <v>SIG-20250703_1358b850n.jpeg</v>
      </c>
      <c r="AU310" s="1" t="s">
        <v>1763</v>
      </c>
      <c r="AV310" s="3" t="str">
        <f>HYPERLINK("https://icf.clappia.com/app/GMB253374/submission/FUX12163880/ICF247370-GMB253374-4ai29739oglg00000000/SIG-20250703_1359172ei0.jpeg", "SIG-20250703_1359172ei0.jpeg")</f>
        <v>SIG-20250703_1359172ei0.jpeg</v>
      </c>
      <c r="AW310" s="1" t="s">
        <v>1764</v>
      </c>
      <c r="AX310" s="3" t="str">
        <f>HYPERLINK("https://icf.clappia.com/app/GMB253374/submission/FUX12163880/ICF247370-GMB253374-3751n0cc12920000000/SIG-20250703_1400gp0mj.jpeg", "SIG-20250703_1400gp0mj.jpeg")</f>
        <v>SIG-20250703_1400gp0mj.jpeg</v>
      </c>
      <c r="AY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1765</v>
      </c>
      <c r="B311" s="2" t="s">
        <v>47</v>
      </c>
      <c r="C311" s="1" t="s">
        <v>1766</v>
      </c>
      <c r="D311" s="1" t="s">
        <v>1767</v>
      </c>
      <c r="E311" s="1" t="s">
        <v>1768</v>
      </c>
      <c r="F311" s="1" t="s">
        <v>51</v>
      </c>
      <c r="G311" s="1">
        <v>230.0</v>
      </c>
      <c r="H311" s="1" t="s">
        <v>52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53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54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56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57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f t="shared" si="1"/>
        <v>230</v>
      </c>
      <c r="AM311" s="1">
        <v>230.0</v>
      </c>
      <c r="AN311" s="1">
        <v>242.0</v>
      </c>
      <c r="AO311" s="1">
        <v>173.0</v>
      </c>
      <c r="AP311" s="2">
        <v>11.0</v>
      </c>
      <c r="AQ311" s="1">
        <v>57.0</v>
      </c>
      <c r="AR311" s="1">
        <v>57.0</v>
      </c>
      <c r="AS311" s="1" t="s">
        <v>1769</v>
      </c>
      <c r="AT311" s="3" t="str">
        <f>HYPERLINK("https://icf.clappia.com/app/GMB253374/submission/EVV94485088/ICF247370-GMB253374-43lfbnn2gm4e00000000/SIG-20250701_151963cn1.jpeg", "SIG-20250701_151963cn1.jpeg")</f>
        <v>SIG-20250701_151963cn1.jpeg</v>
      </c>
      <c r="AU311" s="1" t="s">
        <v>1521</v>
      </c>
      <c r="AV311" s="3" t="str">
        <f>HYPERLINK("https://icf.clappia.com/app/GMB253374/submission/EVV94485088/ICF247370-GMB253374-4ha52jloo2fk00000000/SIG-20250701_1519i9eib.jpeg", "SIG-20250701_1519i9eib.jpeg")</f>
        <v>SIG-20250701_1519i9eib.jpeg</v>
      </c>
      <c r="AW311" s="1" t="s">
        <v>1522</v>
      </c>
      <c r="AX311" s="3" t="str">
        <f>HYPERLINK("https://icf.clappia.com/app/GMB253374/submission/EVV94485088/ICF247370-GMB253374-4gdcg9ein29k00000000/SIG-20250701_15204a2c3.jpeg", "SIG-20250701_15204a2c3.jpeg")</f>
        <v>SIG-20250701_15204a2c3.jpeg</v>
      </c>
      <c r="AY311" s="3" t="str">
        <f>HYPERLINK("https://www.google.com/maps/place/8.21635%2C-11.6019433", "8.21635,-11.6019433")</f>
        <v>8.21635,-11.6019433</v>
      </c>
    </row>
    <row r="312" ht="15.75" customHeight="1">
      <c r="A312" s="1" t="s">
        <v>1770</v>
      </c>
      <c r="B312" s="2" t="s">
        <v>47</v>
      </c>
      <c r="C312" s="1" t="s">
        <v>1767</v>
      </c>
      <c r="D312" s="1" t="s">
        <v>1767</v>
      </c>
      <c r="E312" s="1" t="s">
        <v>1771</v>
      </c>
      <c r="F312" s="1" t="s">
        <v>51</v>
      </c>
      <c r="G312" s="1">
        <v>511.0</v>
      </c>
      <c r="H312" s="1" t="s">
        <v>52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53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54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56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57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f t="shared" si="1"/>
        <v>511</v>
      </c>
      <c r="AM312" s="1">
        <v>511.0</v>
      </c>
      <c r="AN312" s="1">
        <v>523.0</v>
      </c>
      <c r="AO312" s="1">
        <v>312.0</v>
      </c>
      <c r="AP312" s="2">
        <v>11.0</v>
      </c>
      <c r="AQ312" s="1">
        <v>199.0</v>
      </c>
      <c r="AR312" s="1">
        <v>199.0</v>
      </c>
      <c r="AS312" s="1" t="s">
        <v>1772</v>
      </c>
      <c r="AT312" s="3" t="str">
        <f>HYPERLINK("https://icf.clappia.com/app/GMB253374/submission/TDO42338495/ICF247370-GMB253374-5b11al75mdmi00000000/SIG-20250703_1212ea15a.jpeg", "SIG-20250703_1212ea15a.jpeg")</f>
        <v>SIG-20250703_1212ea15a.jpeg</v>
      </c>
      <c r="AU312" s="1" t="s">
        <v>1773</v>
      </c>
      <c r="AV312" s="3" t="str">
        <f>HYPERLINK("https://icf.clappia.com/app/GMB253374/submission/TDO42338495/ICF247370-GMB253374-25g5ei8f7721g0000000/SIG-20250703_1211dm7pi.jpeg", "SIG-20250703_1211dm7pi.jpeg")</f>
        <v>SIG-20250703_1211dm7pi.jpeg</v>
      </c>
      <c r="AW312" s="1" t="s">
        <v>1774</v>
      </c>
      <c r="AX312" s="3" t="str">
        <f>HYPERLINK("https://icf.clappia.com/app/GMB253374/submission/TDO42338495/ICF247370-GMB253374-518nplo1bpei00000000/SIG-20250703_1212142f6j.jpeg", "SIG-20250703_1212142f6j.jpeg")</f>
        <v>SIG-20250703_1212142f6j.jpeg</v>
      </c>
      <c r="AY312" s="3" t="str">
        <f>HYPERLINK("https://www.google.com/maps/place/7.9733333%2C-11.76794", "7.9733333,-11.76794")</f>
        <v>7.9733333,-11.76794</v>
      </c>
    </row>
    <row r="313" ht="15.75" customHeight="1">
      <c r="A313" s="1" t="s">
        <v>1775</v>
      </c>
      <c r="B313" s="2" t="s">
        <v>47</v>
      </c>
      <c r="C313" s="1" t="s">
        <v>1776</v>
      </c>
      <c r="D313" s="1" t="s">
        <v>1777</v>
      </c>
      <c r="E313" s="1" t="s">
        <v>1778</v>
      </c>
      <c r="F313" s="1" t="s">
        <v>51</v>
      </c>
      <c r="G313" s="1">
        <v>215.0</v>
      </c>
      <c r="H313" s="1" t="s">
        <v>52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53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54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56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57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f t="shared" si="1"/>
        <v>253</v>
      </c>
      <c r="AM313" s="1">
        <v>215.0</v>
      </c>
      <c r="AN313" s="1">
        <v>227.0</v>
      </c>
      <c r="AO313" s="1">
        <v>215.0</v>
      </c>
      <c r="AP313" s="2">
        <v>11.0</v>
      </c>
      <c r="AQ313" s="1">
        <v>0.0</v>
      </c>
      <c r="AR313" s="1">
        <v>0.0</v>
      </c>
      <c r="AS313" s="1" t="s">
        <v>1769</v>
      </c>
      <c r="AT313" s="3" t="str">
        <f>HYPERLINK("https://icf.clappia.com/app/GMB253374/submission/STQ20245903/ICF247370-GMB253374-3maa48nm09e400000000/SIG-20250630_153915ajbo.jpeg", "SIG-20250630_153915ajbo.jpeg")</f>
        <v>SIG-20250630_153915ajbo.jpeg</v>
      </c>
      <c r="AU313" s="1" t="s">
        <v>1521</v>
      </c>
      <c r="AV313" s="3" t="str">
        <f>HYPERLINK("https://icf.clappia.com/app/GMB253374/submission/STQ20245903/ICF247370-GMB253374-78ndokjh4oi40000000/SIG-20250630_1540k8g2c.jpeg", "SIG-20250630_1540k8g2c.jpeg")</f>
        <v>SIG-20250630_1540k8g2c.jpeg</v>
      </c>
      <c r="AW313" s="1" t="s">
        <v>1779</v>
      </c>
      <c r="AX313" s="3" t="str">
        <f>HYPERLINK("https://icf.clappia.com/app/GMB253374/submission/STQ20245903/ICF247370-GMB253374-3k6h513c3ih600000000/SIG-20250630_1541e1693.jpeg", "SIG-20250630_1541e1693.jpeg")</f>
        <v>SIG-20250630_1541e1693.jpeg</v>
      </c>
      <c r="AY313" s="3" t="str">
        <f>HYPERLINK("https://www.google.com/maps/place/8.2164267%2C-11.602005", "8.2164267,-11.602005")</f>
        <v>8.2164267,-11.602005</v>
      </c>
    </row>
    <row r="314" ht="15.75" customHeight="1">
      <c r="A314" s="1" t="s">
        <v>1780</v>
      </c>
      <c r="B314" s="2" t="s">
        <v>47</v>
      </c>
      <c r="C314" s="1" t="s">
        <v>107</v>
      </c>
      <c r="D314" s="1" t="s">
        <v>107</v>
      </c>
      <c r="E314" s="1" t="s">
        <v>1781</v>
      </c>
      <c r="F314" s="1" t="s">
        <v>51</v>
      </c>
      <c r="G314" s="1">
        <v>150.0</v>
      </c>
      <c r="H314" s="1" t="s">
        <v>52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53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54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56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57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f t="shared" si="1"/>
        <v>148</v>
      </c>
      <c r="AM314" s="1">
        <v>150.0</v>
      </c>
      <c r="AN314" s="1">
        <v>162.0</v>
      </c>
      <c r="AO314" s="1">
        <v>148.0</v>
      </c>
      <c r="AP314" s="2">
        <v>11.0</v>
      </c>
      <c r="AQ314" s="1">
        <v>2.0</v>
      </c>
      <c r="AR314" s="1">
        <v>2.0</v>
      </c>
      <c r="AS314" s="1" t="s">
        <v>1782</v>
      </c>
      <c r="AT314" s="3" t="str">
        <f>HYPERLINK("https://icf.clappia.com/app/GMB253374/submission/VBT72418474/ICF247370-GMB253374-5a1m15okff9600000000/SIG-20250703_1233jh50p.jpeg", "SIG-20250703_1233jh50p.jpeg")</f>
        <v>SIG-20250703_1233jh50p.jpeg</v>
      </c>
      <c r="AU314" s="1" t="s">
        <v>1783</v>
      </c>
      <c r="AV314" s="3" t="str">
        <f>HYPERLINK("https://icf.clappia.com/app/GMB253374/submission/VBT72418474/ICF247370-GMB253374-3bil2879mn8c00000000/SIG-20250703_1234109i2c.jpeg", "SIG-20250703_1234109i2c.jpeg")</f>
        <v>SIG-20250703_1234109i2c.jpeg</v>
      </c>
      <c r="AW314" s="1" t="s">
        <v>1784</v>
      </c>
      <c r="AX314" s="3" t="str">
        <f>HYPERLINK("https://icf.clappia.com/app/GMB253374/submission/VBT72418474/ICF247370-GMB253374-5i5plap595go00000000/SIG-20250703_124711bghc.jpeg", "SIG-20250703_124711bghc.jpeg")</f>
        <v>SIG-20250703_124711bghc.jpeg</v>
      </c>
      <c r="AY314" s="3" t="str">
        <f>HYPERLINK("https://www.google.com/maps/place/7.7728165%2C-11.722665", "7.7728165,-11.722665")</f>
        <v>7.7728165,-11.722665</v>
      </c>
    </row>
    <row r="315" ht="15.75" customHeight="1">
      <c r="A315" s="1" t="s">
        <v>1785</v>
      </c>
      <c r="B315" s="2" t="s">
        <v>47</v>
      </c>
      <c r="C315" s="1" t="s">
        <v>1786</v>
      </c>
      <c r="D315" s="1" t="s">
        <v>1786</v>
      </c>
      <c r="E315" s="1" t="s">
        <v>1787</v>
      </c>
      <c r="F315" s="1" t="s">
        <v>51</v>
      </c>
      <c r="G315" s="1">
        <v>250.0</v>
      </c>
      <c r="H315" s="1" t="s">
        <v>52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53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54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56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57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f t="shared" si="1"/>
        <v>246</v>
      </c>
      <c r="AM315" s="1">
        <v>250.0</v>
      </c>
      <c r="AN315" s="1">
        <v>262.0</v>
      </c>
      <c r="AO315" s="1">
        <v>241.0</v>
      </c>
      <c r="AP315" s="2">
        <v>11.0</v>
      </c>
      <c r="AQ315" s="1">
        <v>9.0</v>
      </c>
      <c r="AR315" s="1">
        <v>9.0</v>
      </c>
      <c r="AS315" s="1" t="s">
        <v>1788</v>
      </c>
      <c r="AT315" s="3" t="str">
        <f>HYPERLINK("https://icf.clappia.com/app/GMB253374/submission/ALR43377339/ICF247370-GMB253374-4f3be3eg457c00000000/SIG-20250702_140110828l.jpeg", "SIG-20250702_140110828l.jpeg")</f>
        <v>SIG-20250702_140110828l.jpeg</v>
      </c>
      <c r="AU315" s="1" t="s">
        <v>1039</v>
      </c>
      <c r="AV315" s="3" t="str">
        <f>HYPERLINK("https://icf.clappia.com/app/GMB253374/submission/ALR43377339/ICF247370-GMB253374-3pjgmpianiba00000000/SIG-20250702_1447kh60a.jpeg", "SIG-20250702_1447kh60a.jpeg")</f>
        <v>SIG-20250702_1447kh60a.jpeg</v>
      </c>
      <c r="AW315" s="1" t="s">
        <v>1789</v>
      </c>
      <c r="AX315" s="3" t="str">
        <f>HYPERLINK("https://icf.clappia.com/app/GMB253374/submission/ALR43377339/ICF247370-GMB253374-1lpjlbjg4jc880000000/SIG-20250702_14475jbc4.jpeg", "SIG-20250702_14475jbc4.jpeg")</f>
        <v>SIG-20250702_14475jbc4.jpeg</v>
      </c>
      <c r="AY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1790</v>
      </c>
      <c r="B316" s="2" t="s">
        <v>47</v>
      </c>
      <c r="C316" s="1" t="s">
        <v>1786</v>
      </c>
      <c r="D316" s="1" t="s">
        <v>1786</v>
      </c>
      <c r="E316" s="1" t="s">
        <v>1791</v>
      </c>
      <c r="F316" s="1" t="s">
        <v>51</v>
      </c>
      <c r="G316" s="1">
        <v>200.0</v>
      </c>
      <c r="H316" s="1" t="s">
        <v>52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53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54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56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57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f t="shared" si="1"/>
        <v>200</v>
      </c>
      <c r="AM316" s="1">
        <v>200.0</v>
      </c>
      <c r="AN316" s="1">
        <v>212.0</v>
      </c>
      <c r="AO316" s="1">
        <v>200.0</v>
      </c>
      <c r="AP316" s="2">
        <v>11.0</v>
      </c>
      <c r="AQ316" s="1">
        <v>0.0</v>
      </c>
      <c r="AR316" s="1">
        <v>0.0</v>
      </c>
      <c r="AS316" s="1" t="s">
        <v>1329</v>
      </c>
      <c r="AT316" s="3" t="str">
        <f>HYPERLINK("https://icf.clappia.com/app/GMB253374/submission/RBY69606144/ICF247370-GMB253374-62kkgdoh8oo600000000/SIG-20250703_13471330ci.jpeg", "SIG-20250703_13471330ci.jpeg")</f>
        <v>SIG-20250703_13471330ci.jpeg</v>
      </c>
      <c r="AU316" s="1" t="s">
        <v>1303</v>
      </c>
      <c r="AV316" s="3" t="str">
        <f>HYPERLINK("https://icf.clappia.com/app/GMB253374/submission/RBY69606144/ICF247370-GMB253374-2i09ipi7oi0g00000000/SIG-20250703_13485mhnb.jpeg", "SIG-20250703_13485mhnb.jpeg")</f>
        <v>SIG-20250703_13485mhnb.jpeg</v>
      </c>
      <c r="AW316" s="1" t="s">
        <v>1304</v>
      </c>
      <c r="AX316" s="3" t="str">
        <f>HYPERLINK("https://icf.clappia.com/app/GMB253374/submission/RBY69606144/ICF247370-GMB253374-493lfcb01gf800000000/SIG-20250703_134914630l.jpeg", "SIG-20250703_134914630l.jpeg")</f>
        <v>SIG-20250703_134914630l.jpeg</v>
      </c>
      <c r="AY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1792</v>
      </c>
      <c r="B317" s="2" t="s">
        <v>47</v>
      </c>
      <c r="C317" s="1" t="s">
        <v>1793</v>
      </c>
      <c r="D317" s="1" t="s">
        <v>1793</v>
      </c>
      <c r="E317" s="1" t="s">
        <v>1794</v>
      </c>
      <c r="F317" s="1" t="s">
        <v>51</v>
      </c>
      <c r="G317" s="1">
        <v>75.0</v>
      </c>
      <c r="H317" s="1" t="s">
        <v>52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53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54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56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57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f t="shared" si="1"/>
        <v>75</v>
      </c>
      <c r="AM317" s="1">
        <v>75.0</v>
      </c>
      <c r="AN317" s="1">
        <v>87.0</v>
      </c>
      <c r="AO317" s="1">
        <v>75.0</v>
      </c>
      <c r="AP317" s="2">
        <v>11.0</v>
      </c>
      <c r="AQ317" s="1">
        <v>0.0</v>
      </c>
      <c r="AR317" s="1">
        <v>0.0</v>
      </c>
      <c r="AS317" s="1" t="s">
        <v>1795</v>
      </c>
      <c r="AT317" s="3" t="str">
        <f>HYPERLINK("https://icf.clappia.com/app/GMB253374/submission/XRK27638209/ICF247370-GMB253374-1oio9cgjpbni80000000/SIG-20250703_13538fkha.jpeg", "SIG-20250703_13538fkha.jpeg")</f>
        <v>SIG-20250703_13538fkha.jpeg</v>
      </c>
      <c r="AU317" s="1" t="s">
        <v>1796</v>
      </c>
      <c r="AV317" s="3" t="str">
        <f>HYPERLINK("https://icf.clappia.com/app/GMB253374/submission/XRK27638209/ICF247370-GMB253374-47m6nn4jada60000000/SIG-20250703_135311l63f.jpeg", "SIG-20250703_135311l63f.jpeg")</f>
        <v>SIG-20250703_135311l63f.jpeg</v>
      </c>
      <c r="AW317" s="1" t="s">
        <v>1797</v>
      </c>
      <c r="AX317" s="3" t="str">
        <f>HYPERLINK("https://icf.clappia.com/app/GMB253374/submission/XRK27638209/ICF247370-GMB253374-4e1lf4g4j98600000000/SIG-20250703_13534lj1n.jpeg", "SIG-20250703_13534lj1n.jpeg")</f>
        <v>SIG-20250703_13534lj1n.jpeg</v>
      </c>
      <c r="AY317" s="3" t="str">
        <f>HYPERLINK("https://www.google.com/maps/place/8.8403133%2C-12.029895", "8.8403133,-12.029895")</f>
        <v>8.8403133,-12.029895</v>
      </c>
    </row>
    <row r="318" ht="15.75" customHeight="1">
      <c r="A318" s="1" t="s">
        <v>1798</v>
      </c>
      <c r="B318" s="2" t="s">
        <v>47</v>
      </c>
      <c r="C318" s="1" t="s">
        <v>1793</v>
      </c>
      <c r="D318" s="1" t="s">
        <v>1793</v>
      </c>
      <c r="E318" s="1" t="s">
        <v>1799</v>
      </c>
      <c r="F318" s="1" t="s">
        <v>51</v>
      </c>
      <c r="G318" s="1">
        <v>300.0</v>
      </c>
      <c r="H318" s="1" t="s">
        <v>52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53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54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56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57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f t="shared" si="1"/>
        <v>266</v>
      </c>
      <c r="AM318" s="1">
        <v>300.0</v>
      </c>
      <c r="AN318" s="1">
        <v>312.0</v>
      </c>
      <c r="AO318" s="1">
        <v>222.0</v>
      </c>
      <c r="AP318" s="2">
        <v>11.0</v>
      </c>
      <c r="AQ318" s="1">
        <v>78.0</v>
      </c>
      <c r="AR318" s="1">
        <v>78.0</v>
      </c>
      <c r="AS318" s="1" t="s">
        <v>560</v>
      </c>
      <c r="AT318" s="3" t="str">
        <f>HYPERLINK("https://icf.clappia.com/app/GMB253374/submission/OLH50527253/ICF247370-GMB253374-5cn87pkjegg000000000/SIG-20250703_1212k8h01.jpeg", "SIG-20250703_1212k8h01.jpeg")</f>
        <v>SIG-20250703_1212k8h01.jpeg</v>
      </c>
      <c r="AU318" s="1" t="s">
        <v>562</v>
      </c>
      <c r="AV318" s="3" t="str">
        <f>HYPERLINK("https://icf.clappia.com/app/GMB253374/submission/OLH50527253/ICF247370-GMB253374-4adj0o4dh0n000000000/SIG-20250703_1215ig9dn.jpeg", "SIG-20250703_1215ig9dn.jpeg")</f>
        <v>SIG-20250703_1215ig9dn.jpeg</v>
      </c>
      <c r="AW318" s="1" t="s">
        <v>1800</v>
      </c>
      <c r="AX318" s="3" t="str">
        <f>HYPERLINK("https://icf.clappia.com/app/GMB253374/submission/OLH50527253/ICF247370-GMB253374-4g9m15jkm8ac00000000/SIG-20250703_13536nd4n.jpeg", "SIG-20250703_13536nd4n.jpeg")</f>
        <v>SIG-20250703_13536nd4n.jpeg</v>
      </c>
      <c r="AY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1801</v>
      </c>
      <c r="B319" s="2" t="s">
        <v>47</v>
      </c>
      <c r="C319" s="1" t="s">
        <v>1802</v>
      </c>
      <c r="D319" s="1" t="s">
        <v>1802</v>
      </c>
      <c r="E319" s="2" t="s">
        <v>1803</v>
      </c>
      <c r="F319" s="1" t="s">
        <v>72</v>
      </c>
      <c r="G319" s="1">
        <v>300.0</v>
      </c>
      <c r="H319" s="1" t="s">
        <v>52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53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54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56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57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f t="shared" si="1"/>
        <v>255</v>
      </c>
      <c r="AM319" s="1">
        <v>300.0</v>
      </c>
      <c r="AN319" s="1">
        <v>312.0</v>
      </c>
      <c r="AO319" s="1">
        <v>251.0</v>
      </c>
      <c r="AP319" s="2">
        <v>11.0</v>
      </c>
      <c r="AQ319" s="1">
        <v>49.0</v>
      </c>
      <c r="AR319" s="1">
        <v>49.0</v>
      </c>
      <c r="AS319" s="1" t="s">
        <v>1804</v>
      </c>
      <c r="AT319" s="3" t="str">
        <f>HYPERLINK("https://icf.clappia.com/app/GMB253374/submission/FJJ39380666/ICF247370-GMB253374-lbnla97n6dfm0000000/SIG-20250703_130555565.jpeg", "SIG-20250703_130555565.jpeg")</f>
        <v>SIG-20250703_130555565.jpeg</v>
      </c>
      <c r="AU319" s="1" t="s">
        <v>1805</v>
      </c>
      <c r="AV319" s="3" t="str">
        <f>HYPERLINK("https://icf.clappia.com/app/GMB253374/submission/FJJ39380666/ICF247370-GMB253374-36b46e6ab29k00000000/SIG-20250703_1306g462j.jpeg", "SIG-20250703_1306g462j.jpeg")</f>
        <v>SIG-20250703_1306g462j.jpeg</v>
      </c>
      <c r="AW319" s="1" t="s">
        <v>1806</v>
      </c>
      <c r="AX319" s="3" t="str">
        <f>HYPERLINK("https://icf.clappia.com/app/GMB253374/submission/FJJ39380666/ICF247370-GMB253374-5befnao195a800000000/SIG-20250703_1306bmc93.jpeg", "SIG-20250703_1306bmc93.jpeg")</f>
        <v>SIG-20250703_1306bmc93.jpeg</v>
      </c>
      <c r="AY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1807</v>
      </c>
      <c r="B320" s="2" t="s">
        <v>47</v>
      </c>
      <c r="C320" s="1" t="s">
        <v>1808</v>
      </c>
      <c r="D320" s="1" t="s">
        <v>1808</v>
      </c>
      <c r="E320" s="1" t="s">
        <v>1809</v>
      </c>
      <c r="F320" s="1" t="s">
        <v>51</v>
      </c>
      <c r="G320" s="1">
        <v>182.0</v>
      </c>
      <c r="H320" s="1" t="s">
        <v>52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53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54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56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57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f t="shared" si="1"/>
        <v>182</v>
      </c>
      <c r="AM320" s="1">
        <v>182.0</v>
      </c>
      <c r="AN320" s="1">
        <v>194.0</v>
      </c>
      <c r="AO320" s="1">
        <v>172.0</v>
      </c>
      <c r="AP320" s="2">
        <v>11.0</v>
      </c>
      <c r="AQ320" s="1">
        <v>10.0</v>
      </c>
      <c r="AR320" s="1">
        <v>10.0</v>
      </c>
      <c r="AS320" s="1" t="s">
        <v>1810</v>
      </c>
      <c r="AT320" s="3" t="str">
        <f>HYPERLINK("https://icf.clappia.com/app/GMB253374/submission/HBZ18220226/ICF247370-GMB253374-1e5k917gejj120000000/SIG-20250703_134215iok0.jpeg", "SIG-20250703_134215iok0.jpeg")</f>
        <v>SIG-20250703_134215iok0.jpeg</v>
      </c>
      <c r="AU320" s="1" t="s">
        <v>1811</v>
      </c>
      <c r="AV320" s="3" t="str">
        <f>HYPERLINK("https://icf.clappia.com/app/GMB253374/submission/HBZ18220226/ICF247370-GMB253374-5e7fhgd7pm0600000000/SIG-20250703_1342kk5gm.jpeg", "SIG-20250703_1342kk5gm.jpeg")</f>
        <v>SIG-20250703_1342kk5gm.jpeg</v>
      </c>
      <c r="AW320" s="1" t="s">
        <v>1812</v>
      </c>
      <c r="AX320" s="3" t="str">
        <f>HYPERLINK("https://icf.clappia.com/app/GMB253374/submission/HBZ18220226/ICF247370-GMB253374-bflnoe9efcc80000000/SIG-20250703_1343kblo0.jpeg", "SIG-20250703_1343kblo0.jpeg")</f>
        <v>SIG-20250703_1343kblo0.jpeg</v>
      </c>
      <c r="AY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1813</v>
      </c>
      <c r="B321" s="2" t="s">
        <v>47</v>
      </c>
      <c r="C321" s="1" t="s">
        <v>1814</v>
      </c>
      <c r="D321" s="1" t="s">
        <v>1814</v>
      </c>
      <c r="E321" s="1" t="s">
        <v>1815</v>
      </c>
      <c r="F321" s="1" t="s">
        <v>51</v>
      </c>
      <c r="G321" s="1">
        <v>300.0</v>
      </c>
      <c r="H321" s="1" t="s">
        <v>52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53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54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56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57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f t="shared" si="1"/>
        <v>282</v>
      </c>
      <c r="AM321" s="1">
        <v>300.0</v>
      </c>
      <c r="AN321" s="1">
        <v>312.0</v>
      </c>
      <c r="AO321" s="1">
        <v>282.0</v>
      </c>
      <c r="AP321" s="2">
        <v>11.0</v>
      </c>
      <c r="AQ321" s="1">
        <v>18.0</v>
      </c>
      <c r="AR321" s="1">
        <v>18.0</v>
      </c>
      <c r="AS321" s="1" t="s">
        <v>1816</v>
      </c>
      <c r="AT321" s="3" t="str">
        <f>HYPERLINK("https://icf.clappia.com/app/GMB253374/submission/ERX56878332/ICF247370-GMB253374-3af4bneigkc600000000/SIG-20250703_134114oi4h.jpeg", "SIG-20250703_134114oi4h.jpeg")</f>
        <v>SIG-20250703_134114oi4h.jpeg</v>
      </c>
      <c r="AU321" s="1" t="s">
        <v>1817</v>
      </c>
      <c r="AV321" s="3" t="str">
        <f>HYPERLINK("https://icf.clappia.com/app/GMB253374/submission/ERX56878332/ICF247370-GMB253374-3n603llc18lm00000000/SIG-20250703_1250gohg.jpeg", "SIG-20250703_1250gohg.jpeg")</f>
        <v>SIG-20250703_1250gohg.jpeg</v>
      </c>
      <c r="AW321" s="1" t="s">
        <v>1818</v>
      </c>
      <c r="AX321" s="3" t="str">
        <f>HYPERLINK("https://icf.clappia.com/app/GMB253374/submission/ERX56878332/ICF247370-GMB253374-4d5hgfp9bh6m00000000/SIG-20250703_1324lipld.jpeg", "SIG-20250703_1324lipld.jpeg")</f>
        <v>SIG-20250703_1324lipld.jpeg</v>
      </c>
      <c r="AY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1819</v>
      </c>
      <c r="B322" s="2" t="s">
        <v>47</v>
      </c>
      <c r="C322" s="1" t="s">
        <v>1619</v>
      </c>
      <c r="D322" s="1" t="s">
        <v>1619</v>
      </c>
      <c r="E322" s="1" t="s">
        <v>1820</v>
      </c>
      <c r="F322" s="1" t="s">
        <v>51</v>
      </c>
      <c r="G322" s="1">
        <v>200.0</v>
      </c>
      <c r="H322" s="1" t="s">
        <v>52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53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54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56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57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f t="shared" si="1"/>
        <v>194</v>
      </c>
      <c r="AM322" s="1">
        <v>200.0</v>
      </c>
      <c r="AN322" s="1">
        <v>212.0</v>
      </c>
      <c r="AO322" s="1">
        <v>194.0</v>
      </c>
      <c r="AP322" s="2">
        <v>11.0</v>
      </c>
      <c r="AQ322" s="1">
        <v>6.0</v>
      </c>
      <c r="AR322" s="1">
        <v>6.0</v>
      </c>
      <c r="AS322" s="1" t="s">
        <v>1821</v>
      </c>
      <c r="AT322" s="3" t="str">
        <f>HYPERLINK("https://icf.clappia.com/app/GMB253374/submission/UTC81924214/ICF247370-GMB253374-1478ii0kikkhm0000000/SIG-20250702_1535o7319.jpeg", "SIG-20250702_1535o7319.jpeg")</f>
        <v>SIG-20250702_1535o7319.jpeg</v>
      </c>
      <c r="AU322" s="1" t="s">
        <v>1822</v>
      </c>
      <c r="AV322" s="3" t="str">
        <f>HYPERLINK("https://icf.clappia.com/app/GMB253374/submission/UTC81924214/ICF247370-GMB253374-4cf38c4eh0kc00000000/SIG-20250702_1537146c42.jpeg", "SIG-20250702_1537146c42.jpeg")</f>
        <v>SIG-20250702_1537146c42.jpeg</v>
      </c>
      <c r="AW322" s="1" t="s">
        <v>1823</v>
      </c>
      <c r="AX322" s="3" t="str">
        <f>HYPERLINK("https://icf.clappia.com/app/GMB253374/submission/UTC81924214/ICF247370-GMB253374-34ciom1eaaga00000000/SIG-20250702_1537174ii9.jpeg", "SIG-20250702_1537174ii9.jpeg")</f>
        <v>SIG-20250702_1537174ii9.jpeg</v>
      </c>
      <c r="AY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1824</v>
      </c>
      <c r="B323" s="2" t="s">
        <v>47</v>
      </c>
      <c r="C323" s="1" t="s">
        <v>1825</v>
      </c>
      <c r="D323" s="1" t="s">
        <v>1825</v>
      </c>
      <c r="E323" s="1" t="s">
        <v>1826</v>
      </c>
      <c r="F323" s="1" t="s">
        <v>51</v>
      </c>
      <c r="G323" s="1">
        <v>250.0</v>
      </c>
      <c r="H323" s="1" t="s">
        <v>52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53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54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56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57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f t="shared" si="1"/>
        <v>240</v>
      </c>
      <c r="AM323" s="1">
        <v>250.0</v>
      </c>
      <c r="AN323" s="1">
        <v>262.0</v>
      </c>
      <c r="AO323" s="1">
        <v>231.0</v>
      </c>
      <c r="AP323" s="2">
        <v>11.0</v>
      </c>
      <c r="AQ323" s="1">
        <v>19.0</v>
      </c>
      <c r="AR323" s="1">
        <v>19.0</v>
      </c>
      <c r="AS323" s="1" t="s">
        <v>1827</v>
      </c>
      <c r="AT323" s="3" t="str">
        <f>HYPERLINK("https://icf.clappia.com/app/GMB253374/submission/SCK25154218/ICF247370-GMB253374-22k4anbmj5cak0000000/SIG-20250703_133578cdd.jpeg", "SIG-20250703_133578cdd.jpeg")</f>
        <v>SIG-20250703_133578cdd.jpeg</v>
      </c>
      <c r="AU323" s="1" t="s">
        <v>1828</v>
      </c>
      <c r="AV323" s="3" t="str">
        <f>HYPERLINK("https://icf.clappia.com/app/GMB253374/submission/SCK25154218/ICF247370-GMB253374-34fo6ank5k5k00000000/SIG-20250703_1334npllc.jpeg", "SIG-20250703_1334npllc.jpeg")</f>
        <v>SIG-20250703_1334npllc.jpeg</v>
      </c>
      <c r="AW323" s="1" t="s">
        <v>1829</v>
      </c>
      <c r="AX323" s="3" t="str">
        <f>HYPERLINK("https://icf.clappia.com/app/GMB253374/submission/SCK25154218/ICF247370-GMB253374-11igkd0jikm3a0000000/SIG-20250703_13371kl42.jpeg", "SIG-20250703_13371kl42.jpeg")</f>
        <v>SIG-20250703_13371kl42.jpeg</v>
      </c>
      <c r="AY323" s="3" t="str">
        <f>HYPERLINK("https://www.google.com/maps/place/8.8655007%2C-12.240308", "8.8655007,-12.240308")</f>
        <v>8.8655007,-12.240308</v>
      </c>
    </row>
    <row r="324" ht="15.75" customHeight="1">
      <c r="A324" s="1" t="s">
        <v>1830</v>
      </c>
      <c r="B324" s="2" t="s">
        <v>47</v>
      </c>
      <c r="C324" s="1" t="s">
        <v>1831</v>
      </c>
      <c r="D324" s="1" t="s">
        <v>1831</v>
      </c>
      <c r="E324" s="1" t="s">
        <v>1832</v>
      </c>
      <c r="F324" s="1" t="s">
        <v>51</v>
      </c>
      <c r="G324" s="1">
        <v>200.0</v>
      </c>
      <c r="H324" s="1" t="s">
        <v>52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53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54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56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57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f t="shared" si="1"/>
        <v>213</v>
      </c>
      <c r="AM324" s="1">
        <v>200.0</v>
      </c>
      <c r="AN324" s="1">
        <v>212.0</v>
      </c>
      <c r="AO324" s="1">
        <v>199.0</v>
      </c>
      <c r="AP324" s="2">
        <v>11.0</v>
      </c>
      <c r="AQ324" s="1">
        <v>1.0</v>
      </c>
      <c r="AR324" s="1">
        <v>1.0</v>
      </c>
      <c r="AS324" s="1" t="s">
        <v>1833</v>
      </c>
      <c r="AT324" s="3" t="str">
        <f>HYPERLINK("https://icf.clappia.com/app/GMB253374/submission/BFD90872787/ICF247370-GMB253374-eo6eafl3c4le0000000/SIG-20250703_13308cg53.jpeg", "SIG-20250703_13308cg53.jpeg")</f>
        <v>SIG-20250703_13308cg53.jpeg</v>
      </c>
      <c r="AU324" s="1" t="s">
        <v>1834</v>
      </c>
      <c r="AV324" s="3" t="str">
        <f>HYPERLINK("https://icf.clappia.com/app/GMB253374/submission/BFD90872787/ICF247370-GMB253374-54685l1n9bmm00000000/SIG-20250703_1335177e9d.jpeg", "SIG-20250703_1335177e9d.jpeg")</f>
        <v>SIG-20250703_1335177e9d.jpeg</v>
      </c>
      <c r="AW324" s="1" t="s">
        <v>1835</v>
      </c>
      <c r="AX324" s="3" t="str">
        <f>HYPERLINK("https://icf.clappia.com/app/GMB253374/submission/BFD90872787/ICF247370-GMB253374-1oaci284iefo40000000/SIG-20250703_133616lhpo.jpeg", "SIG-20250703_133616lhpo.jpeg")</f>
        <v>SIG-20250703_133616lhpo.jpeg</v>
      </c>
      <c r="AY324" s="3" t="str">
        <f>HYPERLINK("https://www.google.com/maps/place/9.0702383%2C-12.072835", "9.0702383,-12.072835")</f>
        <v>9.0702383,-12.072835</v>
      </c>
    </row>
    <row r="325" ht="15.75" customHeight="1">
      <c r="A325" s="1" t="s">
        <v>1836</v>
      </c>
      <c r="B325" s="2" t="s">
        <v>47</v>
      </c>
      <c r="C325" s="1" t="s">
        <v>1837</v>
      </c>
      <c r="D325" s="1" t="s">
        <v>1838</v>
      </c>
      <c r="E325" s="1" t="s">
        <v>1839</v>
      </c>
      <c r="F325" s="1" t="s">
        <v>51</v>
      </c>
      <c r="G325" s="1">
        <v>87.0</v>
      </c>
      <c r="H325" s="1" t="s">
        <v>52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53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54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56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57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f t="shared" si="1"/>
        <v>79</v>
      </c>
      <c r="AM325" s="1">
        <v>87.0</v>
      </c>
      <c r="AN325" s="1">
        <v>99.0</v>
      </c>
      <c r="AO325" s="1">
        <v>79.0</v>
      </c>
      <c r="AP325" s="2">
        <v>11.0</v>
      </c>
      <c r="AQ325" s="1">
        <v>8.0</v>
      </c>
      <c r="AR325" s="1">
        <v>8.0</v>
      </c>
      <c r="AS325" s="1" t="s">
        <v>953</v>
      </c>
      <c r="AT325" s="3" t="str">
        <f>HYPERLINK("https://icf.clappia.com/app/GMB253374/submission/IPW07356480/ICF247370-GMB253374-4kifpajnkj9800000000/SIG-20250703_13228ec7h.jpeg", "SIG-20250703_13228ec7h.jpeg")</f>
        <v>SIG-20250703_13228ec7h.jpeg</v>
      </c>
      <c r="AU325" s="1" t="s">
        <v>954</v>
      </c>
      <c r="AV325" s="3" t="str">
        <f>HYPERLINK("https://icf.clappia.com/app/GMB253374/submission/IPW07356480/ICF247370-GMB253374-295j5a78ogdla0000000/SIG-20250703_1324fjb1k.jpeg", "SIG-20250703_1324fjb1k.jpeg")</f>
        <v>SIG-20250703_1324fjb1k.jpeg</v>
      </c>
      <c r="AW325" s="1" t="s">
        <v>955</v>
      </c>
      <c r="AX325" s="3" t="str">
        <f>HYPERLINK("https://icf.clappia.com/app/GMB253374/submission/IPW07356480/ICF247370-GMB253374-5bei4hipp64000000000/SIG-20250703_1325n464a.jpeg", "SIG-20250703_1325n464a.jpeg")</f>
        <v>SIG-20250703_1325n464a.jpeg</v>
      </c>
      <c r="AY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1840</v>
      </c>
      <c r="B326" s="2" t="s">
        <v>47</v>
      </c>
      <c r="C326" s="1" t="s">
        <v>1841</v>
      </c>
      <c r="D326" s="1" t="s">
        <v>1841</v>
      </c>
      <c r="E326" s="2" t="s">
        <v>1842</v>
      </c>
      <c r="F326" s="1" t="s">
        <v>51</v>
      </c>
      <c r="G326" s="1">
        <v>450.0</v>
      </c>
      <c r="H326" s="1" t="s">
        <v>52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53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54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56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57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f t="shared" si="1"/>
        <v>436</v>
      </c>
      <c r="AM326" s="1">
        <v>450.0</v>
      </c>
      <c r="AN326" s="1">
        <v>462.0</v>
      </c>
      <c r="AO326" s="1">
        <v>436.0</v>
      </c>
      <c r="AP326" s="2">
        <v>11.0</v>
      </c>
      <c r="AQ326" s="1">
        <v>14.0</v>
      </c>
      <c r="AR326" s="1">
        <v>14.0</v>
      </c>
      <c r="AS326" s="1" t="s">
        <v>1843</v>
      </c>
      <c r="AT326" s="3" t="str">
        <f>HYPERLINK("https://icf.clappia.com/app/GMB253374/submission/FFM53149439/ICF247370-GMB253374-2po7g723o9bk00000000/SIG-20250703_1321cphm4.jpeg", "SIG-20250703_1321cphm4.jpeg")</f>
        <v>SIG-20250703_1321cphm4.jpeg</v>
      </c>
      <c r="AU326" s="1" t="s">
        <v>1309</v>
      </c>
      <c r="AV326" s="3" t="str">
        <f>HYPERLINK("https://icf.clappia.com/app/GMB253374/submission/FFM53149439/ICF247370-GMB253374-4ep61ce1ccoo00000000/SIG-20250703_13247gd3c.jpeg", "SIG-20250703_13247gd3c.jpeg")</f>
        <v>SIG-20250703_13247gd3c.jpeg</v>
      </c>
      <c r="AW326" s="1" t="s">
        <v>1309</v>
      </c>
      <c r="AX326" s="3" t="str">
        <f>HYPERLINK("https://icf.clappia.com/app/GMB253374/submission/FFM53149439/ICF247370-GMB253374-1j7ao2d7gn3h20000000/SIG-20250703_1324bma4.jpeg", "SIG-20250703_1324bma4.jpeg")</f>
        <v>SIG-20250703_1324bma4.jpeg</v>
      </c>
      <c r="AY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1844</v>
      </c>
      <c r="B327" s="2" t="s">
        <v>47</v>
      </c>
      <c r="C327" s="1" t="s">
        <v>1845</v>
      </c>
      <c r="D327" s="1" t="s">
        <v>1846</v>
      </c>
      <c r="E327" s="1" t="s">
        <v>1847</v>
      </c>
      <c r="F327" s="1" t="s">
        <v>51</v>
      </c>
      <c r="G327" s="1">
        <v>227.0</v>
      </c>
      <c r="H327" s="1" t="s">
        <v>52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53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54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56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57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f t="shared" si="1"/>
        <v>234</v>
      </c>
      <c r="AM327" s="1">
        <v>227.0</v>
      </c>
      <c r="AN327" s="1">
        <v>239.0</v>
      </c>
      <c r="AO327" s="1">
        <v>114.0</v>
      </c>
      <c r="AP327" s="2">
        <v>11.0</v>
      </c>
      <c r="AQ327" s="1">
        <v>113.0</v>
      </c>
      <c r="AR327" s="1">
        <v>113.0</v>
      </c>
      <c r="AS327" s="1" t="s">
        <v>1848</v>
      </c>
      <c r="AT327" s="3" t="str">
        <f>HYPERLINK("https://icf.clappia.com/app/GMB253374/submission/KWU33862477/ICF247370-GMB253374-20e2of62ie0320000000/SIG-20250702_152616i8p5.jpeg", "SIG-20250702_152616i8p5.jpeg")</f>
        <v>SIG-20250702_152616i8p5.jpeg</v>
      </c>
      <c r="AU327" s="1" t="s">
        <v>1849</v>
      </c>
      <c r="AV327" s="3" t="str">
        <f>HYPERLINK("https://icf.clappia.com/app/GMB253374/submission/KWU33862477/ICF247370-GMB253374-17iipbodoo46k0000000/SIG-20250702_1526dd9pc.jpeg", "SIG-20250702_1526dd9pc.jpeg")</f>
        <v>SIG-20250702_1526dd9pc.jpeg</v>
      </c>
      <c r="AW327" s="1" t="s">
        <v>1779</v>
      </c>
      <c r="AX327" s="3" t="str">
        <f>HYPERLINK("https://icf.clappia.com/app/GMB253374/submission/KWU33862477/ICF247370-GMB253374-5k9kknffnjpm00000000/SIG-20250702_15271228bo.jpeg", "SIG-20250702_15271228bo.jpeg")</f>
        <v>SIG-20250702_15271228bo.jpeg</v>
      </c>
      <c r="AY327" s="3" t="str">
        <f>HYPERLINK("https://www.google.com/maps/place/8.21643%2C-11.6019517", "8.21643,-11.6019517")</f>
        <v>8.21643,-11.6019517</v>
      </c>
    </row>
    <row r="328" ht="15.75" customHeight="1">
      <c r="A328" s="1" t="s">
        <v>1850</v>
      </c>
      <c r="B328" s="2" t="s">
        <v>47</v>
      </c>
      <c r="C328" s="1" t="s">
        <v>1851</v>
      </c>
      <c r="D328" s="1" t="s">
        <v>1851</v>
      </c>
      <c r="E328" s="1" t="s">
        <v>1852</v>
      </c>
      <c r="F328" s="1" t="s">
        <v>51</v>
      </c>
      <c r="G328" s="1">
        <v>168.0</v>
      </c>
      <c r="H328" s="1" t="s">
        <v>52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53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54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56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57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f t="shared" si="1"/>
        <v>168</v>
      </c>
      <c r="AM328" s="1">
        <v>168.0</v>
      </c>
      <c r="AN328" s="1">
        <v>180.0</v>
      </c>
      <c r="AO328" s="1">
        <v>168.0</v>
      </c>
      <c r="AP328" s="2">
        <v>11.0</v>
      </c>
      <c r="AQ328" s="1">
        <v>0.0</v>
      </c>
      <c r="AR328" s="1">
        <v>0.0</v>
      </c>
      <c r="AS328" s="1" t="s">
        <v>1393</v>
      </c>
      <c r="AT328" s="3" t="str">
        <f>HYPERLINK("https://icf.clappia.com/app/GMB253374/submission/PLL12134528/ICF247370-GMB253374-2lj98ek6d29g00000000/SIG-20250701_1042jlo61.jpeg", "SIG-20250701_1042jlo61.jpeg")</f>
        <v>SIG-20250701_1042jlo61.jpeg</v>
      </c>
      <c r="AU328" s="1" t="s">
        <v>1394</v>
      </c>
      <c r="AV328" s="3" t="str">
        <f>HYPERLINK("https://icf.clappia.com/app/GMB253374/submission/PLL12134528/ICF247370-GMB253374-1ok6mf03h81la0000000/SIG-20250701_104391pco.jpeg", "SIG-20250701_104391pco.jpeg")</f>
        <v>SIG-20250701_104391pco.jpeg</v>
      </c>
      <c r="AW328" s="1" t="s">
        <v>1853</v>
      </c>
      <c r="AX328" s="3" t="str">
        <f>HYPERLINK("https://icf.clappia.com/app/GMB253374/submission/PLL12134528/ICF247370-GMB253374-59lbl3h0p8mg00000000/SIG-20250703_1325hpn83.jpeg", "SIG-20250703_1325hpn83.jpeg")</f>
        <v>SIG-20250703_1325hpn83.jpeg</v>
      </c>
      <c r="AY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1854</v>
      </c>
      <c r="B329" s="2" t="s">
        <v>47</v>
      </c>
      <c r="C329" s="1" t="s">
        <v>1855</v>
      </c>
      <c r="D329" s="1" t="s">
        <v>1855</v>
      </c>
      <c r="E329" s="1" t="s">
        <v>1856</v>
      </c>
      <c r="F329" s="1" t="s">
        <v>72</v>
      </c>
      <c r="G329" s="1">
        <v>50.0</v>
      </c>
      <c r="H329" s="1" t="s">
        <v>52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53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54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56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57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f t="shared" si="1"/>
        <v>56</v>
      </c>
      <c r="AM329" s="1">
        <v>50.0</v>
      </c>
      <c r="AN329" s="1">
        <v>62.0</v>
      </c>
      <c r="AO329" s="1">
        <v>50.0</v>
      </c>
      <c r="AP329" s="2">
        <v>11.0</v>
      </c>
      <c r="AQ329" s="1">
        <v>0.0</v>
      </c>
      <c r="AR329" s="1">
        <v>0.0</v>
      </c>
      <c r="AS329" s="1" t="s">
        <v>1209</v>
      </c>
      <c r="AT329" s="3" t="str">
        <f>HYPERLINK("https://icf.clappia.com/app/GMB253374/submission/GQH35577603/ICF247370-GMB253374-2l3bgoml432o00000000/SIG-20250703_1117187oaa.jpeg", "SIG-20250703_1117187oaa.jpeg")</f>
        <v>SIG-20250703_1117187oaa.jpeg</v>
      </c>
      <c r="AU329" s="1" t="s">
        <v>1857</v>
      </c>
      <c r="AV329" s="3" t="str">
        <f>HYPERLINK("https://icf.clappia.com/app/GMB253374/submission/GQH35577603/ICF247370-GMB253374-198n4b3j5p92g0000000/SIG-20250703_11178k6nb.jpeg", "SIG-20250703_11178k6nb.jpeg")</f>
        <v>SIG-20250703_11178k6nb.jpeg</v>
      </c>
      <c r="AW329" s="1" t="s">
        <v>1211</v>
      </c>
      <c r="AX329" s="3" t="str">
        <f>HYPERLINK("https://icf.clappia.com/app/GMB253374/submission/GQH35577603/ICF247370-GMB253374-6agifa8g0ioo00000000/SIG-20250703_1118jgpf6.jpeg", "SIG-20250703_1118jgpf6.jpeg")</f>
        <v>SIG-20250703_1118jgpf6.jpeg</v>
      </c>
      <c r="AY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1858</v>
      </c>
      <c r="B330" s="2" t="s">
        <v>47</v>
      </c>
      <c r="C330" s="1" t="s">
        <v>283</v>
      </c>
      <c r="D330" s="1" t="s">
        <v>283</v>
      </c>
      <c r="E330" s="1" t="s">
        <v>1859</v>
      </c>
      <c r="F330" s="1" t="s">
        <v>51</v>
      </c>
      <c r="G330" s="1">
        <v>457.0</v>
      </c>
      <c r="H330" s="1" t="s">
        <v>52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53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54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56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57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f t="shared" si="1"/>
        <v>464</v>
      </c>
      <c r="AM330" s="1">
        <v>457.0</v>
      </c>
      <c r="AN330" s="1">
        <v>469.0</v>
      </c>
      <c r="AO330" s="1">
        <v>456.0</v>
      </c>
      <c r="AP330" s="2">
        <v>11.0</v>
      </c>
      <c r="AQ330" s="1">
        <v>1.0</v>
      </c>
      <c r="AR330" s="1">
        <v>1.0</v>
      </c>
      <c r="AS330" s="1" t="s">
        <v>1860</v>
      </c>
      <c r="AT330" s="3" t="str">
        <f>HYPERLINK("https://icf.clappia.com/app/GMB253374/submission/YVC12907389/ICF247370-GMB253374-2djo2j9go7ao00000000/SIG-20250702_1200nf7bg.jpeg", "SIG-20250702_1200nf7bg.jpeg")</f>
        <v>SIG-20250702_1200nf7bg.jpeg</v>
      </c>
      <c r="AU330" s="1" t="s">
        <v>1861</v>
      </c>
      <c r="AV330" s="3" t="str">
        <f>HYPERLINK("https://icf.clappia.com/app/GMB253374/submission/YVC12907389/ICF247370-GMB253374-30688o41i52o00000000/SIG-20250702_1201fjcm0.jpeg", "SIG-20250702_1201fjcm0.jpeg")</f>
        <v>SIG-20250702_1201fjcm0.jpeg</v>
      </c>
      <c r="AW330" s="1" t="s">
        <v>1862</v>
      </c>
      <c r="AX330" s="3" t="str">
        <f>HYPERLINK("https://icf.clappia.com/app/GMB253374/submission/YVC12907389/ICF247370-GMB253374-69heohhgd00e00000000/SIG-20250703_13175j3p7.jpeg", "SIG-20250703_13175j3p7.jpeg")</f>
        <v>SIG-20250703_13175j3p7.jpeg</v>
      </c>
      <c r="AY330" s="3" t="str">
        <f>HYPERLINK("https://www.google.com/maps/place/9.18493%2C-12.1479717", "9.18493,-12.1479717")</f>
        <v>9.18493,-12.1479717</v>
      </c>
    </row>
    <row r="331" ht="15.75" customHeight="1">
      <c r="A331" s="1" t="s">
        <v>1863</v>
      </c>
      <c r="B331" s="2" t="s">
        <v>47</v>
      </c>
      <c r="C331" s="1" t="s">
        <v>1864</v>
      </c>
      <c r="D331" s="1" t="s">
        <v>1865</v>
      </c>
      <c r="E331" s="1" t="s">
        <v>1866</v>
      </c>
      <c r="F331" s="1" t="s">
        <v>72</v>
      </c>
      <c r="G331" s="1">
        <v>200.0</v>
      </c>
      <c r="H331" s="1" t="s">
        <v>52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53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54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56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57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f t="shared" si="1"/>
        <v>200</v>
      </c>
      <c r="AM331" s="1">
        <v>200.0</v>
      </c>
      <c r="AN331" s="1">
        <v>212.0</v>
      </c>
      <c r="AO331" s="1">
        <v>200.0</v>
      </c>
      <c r="AP331" s="2">
        <v>11.0</v>
      </c>
      <c r="AQ331" s="1">
        <v>0.0</v>
      </c>
      <c r="AR331" s="1">
        <v>0.0</v>
      </c>
      <c r="AS331" s="1" t="s">
        <v>1867</v>
      </c>
      <c r="AT331" s="3" t="str">
        <f>HYPERLINK("https://icf.clappia.com/app/GMB253374/submission/MNZ67945358/ICF247370-GMB253374-2n1cgp1l7a4400000000/SIG-20250703_13049m3hm.jpeg", "SIG-20250703_13049m3hm.jpeg")</f>
        <v>SIG-20250703_13049m3hm.jpeg</v>
      </c>
      <c r="AU331" s="1" t="s">
        <v>1868</v>
      </c>
      <c r="AV331" s="3" t="str">
        <f>HYPERLINK("https://icf.clappia.com/app/GMB253374/submission/MNZ67945358/ICF247370-GMB253374-4dp1nhenebo400000000/SIG-20250703_1301197e9d.jpeg", "SIG-20250703_1301197e9d.jpeg")</f>
        <v>SIG-20250703_1301197e9d.jpeg</v>
      </c>
      <c r="AW331" s="1" t="s">
        <v>1869</v>
      </c>
      <c r="AX331" s="3" t="str">
        <f>HYPERLINK("https://icf.clappia.com/app/GMB253374/submission/MNZ67945358/ICF247370-GMB253374-1p9fingoo0n3m0000000/SIG-20250703_130110n548.jpeg", "SIG-20250703_130110n548.jpeg")</f>
        <v>SIG-20250703_130110n548.jpeg</v>
      </c>
      <c r="AY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1870</v>
      </c>
      <c r="B332" s="2" t="s">
        <v>47</v>
      </c>
      <c r="C332" s="1" t="s">
        <v>1871</v>
      </c>
      <c r="D332" s="1" t="s">
        <v>1871</v>
      </c>
      <c r="E332" s="1" t="s">
        <v>1872</v>
      </c>
      <c r="F332" s="1" t="s">
        <v>51</v>
      </c>
      <c r="G332" s="1">
        <v>200.0</v>
      </c>
      <c r="H332" s="1" t="s">
        <v>52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53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54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56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57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f t="shared" si="1"/>
        <v>110</v>
      </c>
      <c r="AM332" s="1">
        <v>200.0</v>
      </c>
      <c r="AN332" s="1">
        <v>212.0</v>
      </c>
      <c r="AO332" s="1">
        <v>110.0</v>
      </c>
      <c r="AP332" s="2">
        <v>11.0</v>
      </c>
      <c r="AQ332" s="1">
        <v>90.0</v>
      </c>
      <c r="AR332" s="1">
        <v>90.0</v>
      </c>
      <c r="AS332" s="1" t="s">
        <v>1286</v>
      </c>
      <c r="AT332" s="3" t="str">
        <f>HYPERLINK("https://icf.clappia.com/app/GMB253374/submission/CPJ01826771/ICF247370-GMB253374-65c5dc93ec0800000000/SIG-20250703_125817kjmg.jpeg", "SIG-20250703_125817kjmg.jpeg")</f>
        <v>SIG-20250703_125817kjmg.jpeg</v>
      </c>
      <c r="AU332" s="1" t="s">
        <v>1287</v>
      </c>
      <c r="AV332" s="3" t="str">
        <f>HYPERLINK("https://icf.clappia.com/app/GMB253374/submission/CPJ01826771/ICF247370-GMB253374-25l0n701fpji80000000/SIG-20250703_1259nl042.jpeg", "SIG-20250703_1259nl042.jpeg")</f>
        <v>SIG-20250703_1259nl042.jpeg</v>
      </c>
      <c r="AW332" s="1" t="s">
        <v>1288</v>
      </c>
      <c r="AX332" s="3" t="str">
        <f>HYPERLINK("https://icf.clappia.com/app/GMB253374/submission/CPJ01826771/ICF247370-GMB253374-29lbbh0138cc80000000/SIG-20250703_130014oe6f.jpeg", "SIG-20250703_130014oe6f.jpeg")</f>
        <v>SIG-20250703_130014oe6f.jpeg</v>
      </c>
      <c r="AY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1873</v>
      </c>
      <c r="B333" s="2" t="s">
        <v>47</v>
      </c>
      <c r="C333" s="1" t="s">
        <v>1874</v>
      </c>
      <c r="D333" s="1" t="s">
        <v>1874</v>
      </c>
      <c r="E333" s="1" t="s">
        <v>1875</v>
      </c>
      <c r="F333" s="1" t="s">
        <v>51</v>
      </c>
      <c r="G333" s="1">
        <v>206.0</v>
      </c>
      <c r="H333" s="1" t="s">
        <v>52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53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54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56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57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f t="shared" si="1"/>
        <v>150</v>
      </c>
      <c r="AM333" s="1">
        <v>206.0</v>
      </c>
      <c r="AN333" s="1">
        <v>218.0</v>
      </c>
      <c r="AO333" s="1">
        <v>150.0</v>
      </c>
      <c r="AP333" s="2">
        <v>11.0</v>
      </c>
      <c r="AQ333" s="1">
        <v>56.0</v>
      </c>
      <c r="AR333" s="1">
        <v>56.0</v>
      </c>
      <c r="AS333" s="1" t="s">
        <v>1876</v>
      </c>
      <c r="AT333" s="3" t="str">
        <f>HYPERLINK("https://icf.clappia.com/app/GMB253374/submission/DVQ52665978/ICF247370-GMB253374-2lon7200dbc600000000/SIG-20250703_1041dhhe2.jpeg", "SIG-20250703_1041dhhe2.jpeg")</f>
        <v>SIG-20250703_1041dhhe2.jpeg</v>
      </c>
      <c r="AU333" s="1" t="s">
        <v>1877</v>
      </c>
      <c r="AV333" s="3" t="str">
        <f>HYPERLINK("https://icf.clappia.com/app/GMB253374/submission/DVQ52665978/ICF247370-GMB253374-3f22e24gp6f600000000/SIG-20250703_1041m1el7.jpeg", "SIG-20250703_1041m1el7.jpeg")</f>
        <v>SIG-20250703_1041m1el7.jpeg</v>
      </c>
      <c r="AW333" s="1" t="s">
        <v>1878</v>
      </c>
      <c r="AX333" s="3" t="str">
        <f>HYPERLINK("https://icf.clappia.com/app/GMB253374/submission/DVQ52665978/ICF247370-GMB253374-18bkjceh0l4ak0000000/SIG-20250703_104214cm0k.jpeg", "SIG-20250703_104214cm0k.jpeg")</f>
        <v>SIG-20250703_104214cm0k.jpeg</v>
      </c>
      <c r="AY333" s="3" t="str">
        <f>HYPERLINK("https://www.google.com/maps/place/7.800015%2C-11.610385", "7.800015,-11.610385")</f>
        <v>7.800015,-11.610385</v>
      </c>
    </row>
    <row r="334" ht="15.75" customHeight="1">
      <c r="A334" s="1" t="s">
        <v>1879</v>
      </c>
      <c r="B334" s="2" t="s">
        <v>47</v>
      </c>
      <c r="C334" s="1" t="s">
        <v>1880</v>
      </c>
      <c r="D334" s="1" t="s">
        <v>1881</v>
      </c>
      <c r="E334" s="1" t="s">
        <v>1882</v>
      </c>
      <c r="F334" s="1" t="s">
        <v>51</v>
      </c>
      <c r="G334" s="1">
        <v>116.0</v>
      </c>
      <c r="H334" s="1" t="s">
        <v>52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53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54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56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57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f t="shared" si="1"/>
        <v>116</v>
      </c>
      <c r="AM334" s="1">
        <v>116.0</v>
      </c>
      <c r="AN334" s="1">
        <v>128.0</v>
      </c>
      <c r="AO334" s="1">
        <v>116.0</v>
      </c>
      <c r="AP334" s="2">
        <v>11.0</v>
      </c>
      <c r="AQ334" s="1">
        <v>0.0</v>
      </c>
      <c r="AR334" s="1">
        <v>0.0</v>
      </c>
      <c r="AS334" s="1" t="s">
        <v>1883</v>
      </c>
      <c r="AT334" s="3" t="str">
        <f>HYPERLINK("https://icf.clappia.com/app/GMB253374/submission/GTO69230917/ICF247370-GMB253374-2ch32d33k8me00000000/SIG-20250703_10577f32l.jpeg", "SIG-20250703_10577f32l.jpeg")</f>
        <v>SIG-20250703_10577f32l.jpeg</v>
      </c>
      <c r="AU334" s="1" t="s">
        <v>1884</v>
      </c>
      <c r="AV334" s="3" t="str">
        <f>HYPERLINK("https://icf.clappia.com/app/GMB253374/submission/GTO69230917/ICF247370-GMB253374-4p77noc75eg400000000/SIG-20250703_1257c1265.jpeg", "SIG-20250703_1257c1265.jpeg")</f>
        <v>SIG-20250703_1257c1265.jpeg</v>
      </c>
      <c r="AW334" s="1" t="s">
        <v>1885</v>
      </c>
      <c r="AX334" s="3" t="str">
        <f>HYPERLINK("https://icf.clappia.com/app/GMB253374/submission/GTO69230917/ICF247370-GMB253374-4bc0pd9c315200000000/SIG-20250703_105729320.jpeg", "SIG-20250703_105729320.jpeg")</f>
        <v>SIG-20250703_105729320.jpeg</v>
      </c>
      <c r="AY334" s="3" t="str">
        <f>HYPERLINK("https://www.google.com/maps/place/7.7925779%2C-11.850861", "7.7925779,-11.850861")</f>
        <v>7.7925779,-11.850861</v>
      </c>
    </row>
    <row r="335" ht="15.75" customHeight="1">
      <c r="A335" s="1" t="s">
        <v>1886</v>
      </c>
      <c r="B335" s="2" t="s">
        <v>47</v>
      </c>
      <c r="C335" s="1" t="s">
        <v>1881</v>
      </c>
      <c r="D335" s="1" t="s">
        <v>1881</v>
      </c>
      <c r="E335" s="1" t="s">
        <v>1887</v>
      </c>
      <c r="F335" s="1" t="s">
        <v>72</v>
      </c>
      <c r="G335" s="1">
        <v>158.0</v>
      </c>
      <c r="H335" s="1" t="s">
        <v>52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53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54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56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57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f t="shared" si="1"/>
        <v>158</v>
      </c>
      <c r="AM335" s="1">
        <v>158.0</v>
      </c>
      <c r="AN335" s="1">
        <v>170.0</v>
      </c>
      <c r="AO335" s="1">
        <v>148.0</v>
      </c>
      <c r="AP335" s="2">
        <v>11.0</v>
      </c>
      <c r="AQ335" s="1">
        <v>10.0</v>
      </c>
      <c r="AR335" s="1">
        <v>10.0</v>
      </c>
      <c r="AS335" s="1" t="s">
        <v>1888</v>
      </c>
      <c r="AT335" s="3" t="str">
        <f>HYPERLINK("https://icf.clappia.com/app/GMB253374/submission/PYL21098632/ICF247370-GMB253374-63k98m8cdni400000000/SIG-20250703_1254137b82.jpeg", "SIG-20250703_1254137b82.jpeg")</f>
        <v>SIG-20250703_1254137b82.jpeg</v>
      </c>
      <c r="AU335" s="1" t="s">
        <v>1889</v>
      </c>
      <c r="AV335" s="3" t="str">
        <f>HYPERLINK("https://icf.clappia.com/app/GMB253374/submission/PYL21098632/ICF247370-GMB253374-d0m3n79g0m5e0000000/SIG-20250703_1255j8cf4.jpeg", "SIG-20250703_1255j8cf4.jpeg")</f>
        <v>SIG-20250703_1255j8cf4.jpeg</v>
      </c>
      <c r="AW335" s="1" t="s">
        <v>1890</v>
      </c>
      <c r="AX335" s="3" t="str">
        <f>HYPERLINK("https://icf.clappia.com/app/GMB253374/submission/PYL21098632/ICF247370-GMB253374-2mbnob3aj60800000000/SIG-20250703_1257875gm.jpeg", "SIG-20250703_1257875gm.jpeg")</f>
        <v>SIG-20250703_1257875gm.jpeg</v>
      </c>
      <c r="AY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1891</v>
      </c>
      <c r="B336" s="2" t="s">
        <v>47</v>
      </c>
      <c r="C336" s="1" t="s">
        <v>1892</v>
      </c>
      <c r="D336" s="1" t="s">
        <v>1892</v>
      </c>
      <c r="E336" s="1" t="s">
        <v>1893</v>
      </c>
      <c r="F336" s="1" t="s">
        <v>51</v>
      </c>
      <c r="G336" s="1">
        <v>110.0</v>
      </c>
      <c r="H336" s="1" t="s">
        <v>52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53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54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56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57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f t="shared" si="1"/>
        <v>112</v>
      </c>
      <c r="AM336" s="1">
        <v>110.0</v>
      </c>
      <c r="AN336" s="1">
        <v>122.0</v>
      </c>
      <c r="AO336" s="1">
        <v>97.0</v>
      </c>
      <c r="AP336" s="2">
        <v>11.0</v>
      </c>
      <c r="AQ336" s="1">
        <v>13.0</v>
      </c>
      <c r="AR336" s="1">
        <v>13.0</v>
      </c>
      <c r="AS336" s="1" t="s">
        <v>1367</v>
      </c>
      <c r="AT336" s="3" t="str">
        <f>HYPERLINK("https://icf.clappia.com/app/GMB253374/submission/OCL32235777/ICF247370-GMB253374-3h712hcm5e6200000000/SIG-20250703_12459nmhi.jpeg", "SIG-20250703_12459nmhi.jpeg")</f>
        <v>SIG-20250703_12459nmhi.jpeg</v>
      </c>
      <c r="AU336" s="1" t="s">
        <v>1894</v>
      </c>
      <c r="AV336" s="3" t="str">
        <f>HYPERLINK("https://icf.clappia.com/app/GMB253374/submission/OCL32235777/ICF247370-GMB253374-4coccaejk1na00000000/SIG-20250703_124614854n.jpeg", "SIG-20250703_124614854n.jpeg")</f>
        <v>SIG-20250703_124614854n.jpeg</v>
      </c>
      <c r="AW336" s="1" t="s">
        <v>1895</v>
      </c>
      <c r="AX336" s="3" t="str">
        <f>HYPERLINK("https://icf.clappia.com/app/GMB253374/submission/OCL32235777/ICF247370-GMB253374-2bhmcm9ogoc480000000/SIG-20250703_12488e9dc.jpeg", "SIG-20250703_12488e9dc.jpeg")</f>
        <v>SIG-20250703_12488e9dc.jpeg</v>
      </c>
      <c r="AY336" s="3" t="str">
        <f>HYPERLINK("https://www.google.com/maps/place/9.0002567%2C-11.911805", "9.0002567,-11.911805")</f>
        <v>9.0002567,-11.911805</v>
      </c>
    </row>
    <row r="337" ht="15.75" customHeight="1">
      <c r="A337" s="1" t="s">
        <v>1896</v>
      </c>
      <c r="B337" s="2" t="s">
        <v>47</v>
      </c>
      <c r="C337" s="1" t="s">
        <v>1897</v>
      </c>
      <c r="D337" s="1" t="s">
        <v>1898</v>
      </c>
      <c r="E337" s="1" t="s">
        <v>1899</v>
      </c>
      <c r="F337" s="1" t="s">
        <v>51</v>
      </c>
      <c r="G337" s="1">
        <v>199.0</v>
      </c>
      <c r="H337" s="1" t="s">
        <v>52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53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54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56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57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f t="shared" si="1"/>
        <v>185</v>
      </c>
      <c r="AM337" s="1">
        <v>199.0</v>
      </c>
      <c r="AN337" s="1">
        <v>211.0</v>
      </c>
      <c r="AO337" s="1">
        <v>180.0</v>
      </c>
      <c r="AP337" s="2">
        <v>11.0</v>
      </c>
      <c r="AQ337" s="1">
        <v>19.0</v>
      </c>
      <c r="AR337" s="1">
        <v>19.0</v>
      </c>
      <c r="AS337" s="1" t="s">
        <v>1900</v>
      </c>
      <c r="AT337" s="3" t="str">
        <f>HYPERLINK("https://icf.clappia.com/app/GMB253374/submission/QJP32732165/ICF247370-GMB253374-29ki18f6d0mak0000000/SIG-20250703_12434o2of.jpeg", "SIG-20250703_12434o2of.jpeg")</f>
        <v>SIG-20250703_12434o2of.jpeg</v>
      </c>
      <c r="AU337" s="1" t="s">
        <v>1901</v>
      </c>
      <c r="AV337" s="3" t="str">
        <f>HYPERLINK("https://icf.clappia.com/app/GMB253374/submission/QJP32732165/ICF247370-GMB253374-ne3c9e7j0o1m0000000/SIG-20250703_12441601h9.jpeg", "SIG-20250703_12441601h9.jpeg")</f>
        <v>SIG-20250703_12441601h9.jpeg</v>
      </c>
      <c r="AW337" s="1" t="s">
        <v>1902</v>
      </c>
      <c r="AX337" s="3" t="str">
        <f>HYPERLINK("https://icf.clappia.com/app/GMB253374/submission/QJP32732165/ICF247370-GMB253374-2c87247njg6m00000000/SIG-20250703_12451a629h.jpeg", "SIG-20250703_12451a629h.jpeg")</f>
        <v>SIG-20250703_12451a629h.jpeg</v>
      </c>
      <c r="AY337" s="3" t="str">
        <f>HYPERLINK("https://www.google.com/maps/place/7.6098567%2C-11.664305", "7.6098567,-11.664305")</f>
        <v>7.6098567,-11.664305</v>
      </c>
    </row>
    <row r="338" ht="15.75" customHeight="1">
      <c r="A338" s="1" t="s">
        <v>1903</v>
      </c>
      <c r="B338" s="2" t="s">
        <v>47</v>
      </c>
      <c r="C338" s="1" t="s">
        <v>1904</v>
      </c>
      <c r="D338" s="1" t="s">
        <v>1904</v>
      </c>
      <c r="E338" s="1" t="s">
        <v>1905</v>
      </c>
      <c r="F338" s="1" t="s">
        <v>51</v>
      </c>
      <c r="G338" s="1">
        <v>129.0</v>
      </c>
      <c r="H338" s="1" t="s">
        <v>52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53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54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56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57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f t="shared" si="1"/>
        <v>314</v>
      </c>
      <c r="AM338" s="1">
        <v>129.0</v>
      </c>
      <c r="AN338" s="1">
        <v>141.0</v>
      </c>
      <c r="AO338" s="1">
        <v>122.0</v>
      </c>
      <c r="AP338" s="2">
        <v>11.0</v>
      </c>
      <c r="AQ338" s="1">
        <v>7.0</v>
      </c>
      <c r="AR338" s="1">
        <v>7.0</v>
      </c>
      <c r="AS338" s="1" t="s">
        <v>1906</v>
      </c>
      <c r="AT338" s="3" t="str">
        <f>HYPERLINK("https://icf.clappia.com/app/GMB253374/submission/BNV24592042/ICF247370-GMB253374-1he2ja4b17b440000000/SIG-20250703_1244j86d9.jpeg", "SIG-20250703_1244j86d9.jpeg")</f>
        <v>SIG-20250703_1244j86d9.jpeg</v>
      </c>
      <c r="AU338" s="1" t="s">
        <v>1907</v>
      </c>
      <c r="AV338" s="3" t="str">
        <f>HYPERLINK("https://icf.clappia.com/app/GMB253374/submission/BNV24592042/ICF247370-GMB253374-4hamoma0og8c0000000/SIG-20250703_12455pld4.jpeg", "SIG-20250703_12455pld4.jpeg")</f>
        <v>SIG-20250703_12455pld4.jpeg</v>
      </c>
      <c r="AW338" s="1" t="s">
        <v>1908</v>
      </c>
      <c r="AX338" s="3" t="str">
        <f>HYPERLINK("https://icf.clappia.com/app/GMB253374/submission/BNV24592042/ICF247370-GMB253374-5nobfpl4kbmk00000000/SIG-20250703_12453n1ek.jpeg", "SIG-20250703_12453n1ek.jpeg")</f>
        <v>SIG-20250703_12453n1ek.jpeg</v>
      </c>
      <c r="AY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1909</v>
      </c>
      <c r="B339" s="2" t="s">
        <v>47</v>
      </c>
      <c r="C339" s="1" t="s">
        <v>1910</v>
      </c>
      <c r="D339" s="1" t="s">
        <v>1910</v>
      </c>
      <c r="E339" s="1" t="s">
        <v>1911</v>
      </c>
      <c r="F339" s="1" t="s">
        <v>51</v>
      </c>
      <c r="G339" s="1">
        <v>150.0</v>
      </c>
      <c r="H339" s="1" t="s">
        <v>52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53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54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56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57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f t="shared" si="1"/>
        <v>125</v>
      </c>
      <c r="AM339" s="1">
        <v>150.0</v>
      </c>
      <c r="AN339" s="1">
        <v>162.0</v>
      </c>
      <c r="AO339" s="1">
        <v>125.0</v>
      </c>
      <c r="AP339" s="2">
        <v>11.0</v>
      </c>
      <c r="AQ339" s="1">
        <v>25.0</v>
      </c>
      <c r="AR339" s="1">
        <v>25.0</v>
      </c>
      <c r="AS339" s="1" t="s">
        <v>1912</v>
      </c>
      <c r="AT339" s="3" t="str">
        <f>HYPERLINK("https://icf.clappia.com/app/GMB253374/submission/CYY52950789/ICF247370-GMB253374-4nn1l4fbn8ao00000000/SIG-20250703_1239pjepc.jpeg", "SIG-20250703_1239pjepc.jpeg")</f>
        <v>SIG-20250703_1239pjepc.jpeg</v>
      </c>
      <c r="AU339" s="1" t="s">
        <v>1913</v>
      </c>
      <c r="AV339" s="3" t="str">
        <f>HYPERLINK("https://icf.clappia.com/app/GMB253374/submission/CYY52950789/ICF247370-GMB253374-6afmm8e49cba00000000/SIG-20250703_1240536g2.jpeg", "SIG-20250703_1240536g2.jpeg")</f>
        <v>SIG-20250703_1240536g2.jpeg</v>
      </c>
      <c r="AW339" s="1" t="s">
        <v>1914</v>
      </c>
      <c r="AX339" s="3" t="str">
        <f>HYPERLINK("https://icf.clappia.com/app/GMB253374/submission/CYY52950789/ICF247370-GMB253374-29ka115188f1a0000000/SIG-20250703_124113lbge.jpeg", "SIG-20250703_124113lbge.jpeg")</f>
        <v>SIG-20250703_124113lbge.jpeg</v>
      </c>
      <c r="AY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1915</v>
      </c>
      <c r="B340" s="2" t="s">
        <v>47</v>
      </c>
      <c r="C340" s="1" t="s">
        <v>1916</v>
      </c>
      <c r="D340" s="1" t="s">
        <v>1916</v>
      </c>
      <c r="E340" s="1" t="s">
        <v>1917</v>
      </c>
      <c r="F340" s="1" t="s">
        <v>72</v>
      </c>
      <c r="G340" s="1">
        <v>233.0</v>
      </c>
      <c r="H340" s="1" t="s">
        <v>52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53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54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56</v>
      </c>
      <c r="AA340" s="1">
        <v>26.0</v>
      </c>
      <c r="AB340" s="1">
        <v>12.0</v>
      </c>
      <c r="AC340" s="1" t="s">
        <v>55</v>
      </c>
      <c r="AD340" s="1">
        <v>14.0</v>
      </c>
      <c r="AE340" s="1">
        <v>1.0</v>
      </c>
      <c r="AF340" s="1" t="s">
        <v>57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f t="shared" si="1"/>
        <v>170</v>
      </c>
      <c r="AM340" s="1">
        <v>233.0</v>
      </c>
      <c r="AN340" s="1">
        <v>245.0</v>
      </c>
      <c r="AO340" s="1">
        <v>63.0</v>
      </c>
      <c r="AP340" s="2">
        <v>11.0</v>
      </c>
      <c r="AQ340" s="1">
        <v>170.0</v>
      </c>
      <c r="AR340" s="1">
        <v>170.0</v>
      </c>
      <c r="AS340" s="1" t="s">
        <v>1918</v>
      </c>
      <c r="AT340" s="3" t="str">
        <f>HYPERLINK("https://icf.clappia.com/app/GMB253374/submission/WFY10489409/ICF247370-GMB253374-317k4c2nam4m00000000/SIG-20250703_1239keakb.jpeg", "SIG-20250703_1239keakb.jpeg")</f>
        <v>SIG-20250703_1239keakb.jpeg</v>
      </c>
      <c r="AU340" s="1" t="s">
        <v>1919</v>
      </c>
      <c r="AV340" s="3" t="str">
        <f>HYPERLINK("https://icf.clappia.com/app/GMB253374/submission/WFY10489409/ICF247370-GMB253374-2439bdifeck6e0000000/SIG-20250703_1239100p71.jpeg", "SIG-20250703_1239100p71.jpeg")</f>
        <v>SIG-20250703_1239100p71.jpeg</v>
      </c>
      <c r="AW340" s="1" t="s">
        <v>1920</v>
      </c>
      <c r="AX340" s="3" t="str">
        <f>HYPERLINK("https://icf.clappia.com/app/GMB253374/submission/WFY10489409/ICF247370-GMB253374-18injncnpo20o0000000/SIG-20250703_1240n6o3p.jpeg", "SIG-20250703_1240n6o3p.jpeg")</f>
        <v>SIG-20250703_1240n6o3p.jpeg</v>
      </c>
      <c r="AY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1921</v>
      </c>
      <c r="B341" s="2" t="s">
        <v>47</v>
      </c>
      <c r="C341" s="1" t="s">
        <v>1922</v>
      </c>
      <c r="D341" s="1" t="s">
        <v>1922</v>
      </c>
      <c r="E341" s="1" t="s">
        <v>1923</v>
      </c>
      <c r="F341" s="1" t="s">
        <v>51</v>
      </c>
      <c r="G341" s="1">
        <v>130.0</v>
      </c>
      <c r="H341" s="1" t="s">
        <v>52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53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54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56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57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f t="shared" si="1"/>
        <v>124</v>
      </c>
      <c r="AM341" s="1">
        <v>130.0</v>
      </c>
      <c r="AN341" s="1">
        <v>142.0</v>
      </c>
      <c r="AO341" s="1">
        <v>124.0</v>
      </c>
      <c r="AP341" s="2">
        <v>11.0</v>
      </c>
      <c r="AQ341" s="1">
        <v>6.0</v>
      </c>
      <c r="AR341" s="1">
        <v>6.0</v>
      </c>
      <c r="AS341" s="1" t="s">
        <v>1924</v>
      </c>
      <c r="AT341" s="3" t="str">
        <f>HYPERLINK("https://icf.clappia.com/app/GMB253374/submission/IHG36297793/ICF247370-GMB253374-1gl158526khc40000000/SIG-20250702_1409a9bab.jpeg", "SIG-20250702_1409a9bab.jpeg")</f>
        <v>SIG-20250702_1409a9bab.jpeg</v>
      </c>
      <c r="AU341" s="1" t="s">
        <v>1925</v>
      </c>
      <c r="AV341" s="3" t="str">
        <f>HYPERLINK("https://icf.clappia.com/app/GMB253374/submission/IHG36297793/ICF247370-GMB253374-56ig0mapae4g0000000/SIG-20250702_1410fp7nh.jpeg", "SIG-20250702_1410fp7nh.jpeg")</f>
        <v>SIG-20250702_1410fp7nh.jpeg</v>
      </c>
      <c r="AW341" s="1" t="s">
        <v>1926</v>
      </c>
      <c r="AX341" s="3" t="str">
        <f>HYPERLINK("https://icf.clappia.com/app/GMB253374/submission/IHG36297793/ICF247370-GMB253374-5ihnn4g17dd600000000/SIG-20250702_141214g19e.jpeg", "SIG-20250702_141214g19e.jpeg")</f>
        <v>SIG-20250702_141214g19e.jpeg</v>
      </c>
      <c r="AY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1927</v>
      </c>
      <c r="B342" s="2" t="s">
        <v>47</v>
      </c>
      <c r="C342" s="1" t="s">
        <v>1928</v>
      </c>
      <c r="D342" s="1" t="s">
        <v>1928</v>
      </c>
      <c r="E342" s="1" t="s">
        <v>1929</v>
      </c>
      <c r="F342" s="1" t="s">
        <v>51</v>
      </c>
      <c r="G342" s="1">
        <v>217.0</v>
      </c>
      <c r="H342" s="1" t="s">
        <v>52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53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54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55</v>
      </c>
      <c r="Z342" s="1" t="s">
        <v>56</v>
      </c>
      <c r="AA342" s="1">
        <v>238.0</v>
      </c>
      <c r="AB342" s="1">
        <v>112.0</v>
      </c>
      <c r="AC342" s="1" t="s">
        <v>55</v>
      </c>
      <c r="AD342" s="1">
        <v>126.0</v>
      </c>
      <c r="AE342" s="1" t="s">
        <v>55</v>
      </c>
      <c r="AF342" s="1" t="s">
        <v>57</v>
      </c>
      <c r="AG342" s="1">
        <v>227.0</v>
      </c>
      <c r="AH342" s="1">
        <v>106.0</v>
      </c>
      <c r="AI342" s="1" t="s">
        <v>55</v>
      </c>
      <c r="AJ342" s="1">
        <v>121.0</v>
      </c>
      <c r="AK342" s="1" t="s">
        <v>55</v>
      </c>
      <c r="AL342" s="1">
        <f t="shared" si="1"/>
        <v>1010</v>
      </c>
      <c r="AM342" s="1">
        <v>217.0</v>
      </c>
      <c r="AN342" s="1">
        <v>229.0</v>
      </c>
      <c r="AO342" s="1">
        <v>217.0</v>
      </c>
      <c r="AP342" s="2">
        <v>11.0</v>
      </c>
      <c r="AQ342" s="1">
        <v>0.0</v>
      </c>
      <c r="AR342" s="1">
        <v>0.0</v>
      </c>
      <c r="AS342" s="1" t="s">
        <v>164</v>
      </c>
      <c r="AT342" s="3" t="str">
        <f>HYPERLINK("https://icf.clappia.com/app/GMB253374/submission/WHR48121157/ICF247370-GMB253374-13jjn5ja4l7n60000000/SIG-20250703_12276j1h1.jpeg", "SIG-20250703_12276j1h1.jpeg")</f>
        <v>SIG-20250703_12276j1h1.jpeg</v>
      </c>
      <c r="AU342" s="1" t="s">
        <v>165</v>
      </c>
      <c r="AV342" s="3" t="str">
        <f>HYPERLINK("https://icf.clappia.com/app/GMB253374/submission/WHR48121157/ICF247370-GMB253374-o45h3hhfj89e0000000/SIG-20250703_12281779ml.jpeg", "SIG-20250703_12281779ml.jpeg")</f>
        <v>SIG-20250703_12281779ml.jpeg</v>
      </c>
      <c r="AW342" s="1" t="s">
        <v>1930</v>
      </c>
      <c r="AX342" s="3" t="str">
        <f>HYPERLINK("https://icf.clappia.com/app/GMB253374/submission/WHR48121157/ICF247370-GMB253374-5l9galjph80m00000000/SIG-20250703_1229n92bc.jpeg", "SIG-20250703_1229n92bc.jpeg")</f>
        <v>SIG-20250703_1229n92bc.jpeg</v>
      </c>
      <c r="AY342" s="3" t="str">
        <f>HYPERLINK("https://www.google.com/maps/place/7.957865%2C-11.7347657", "7.957865,-11.7347657")</f>
        <v>7.957865,-11.7347657</v>
      </c>
    </row>
    <row r="343" ht="15.75" customHeight="1">
      <c r="A343" s="1" t="s">
        <v>1931</v>
      </c>
      <c r="B343" s="2" t="s">
        <v>47</v>
      </c>
      <c r="C343" s="1" t="s">
        <v>1932</v>
      </c>
      <c r="D343" s="1" t="s">
        <v>1932</v>
      </c>
      <c r="E343" s="1" t="s">
        <v>1933</v>
      </c>
      <c r="F343" s="1" t="s">
        <v>51</v>
      </c>
      <c r="G343" s="1">
        <v>600.0</v>
      </c>
      <c r="H343" s="1" t="s">
        <v>52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53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54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56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57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f t="shared" si="1"/>
        <v>600</v>
      </c>
      <c r="AM343" s="1">
        <v>600.0</v>
      </c>
      <c r="AN343" s="1">
        <v>612.0</v>
      </c>
      <c r="AO343" s="1">
        <v>600.0</v>
      </c>
      <c r="AP343" s="2">
        <v>11.0</v>
      </c>
      <c r="AQ343" s="1">
        <v>0.0</v>
      </c>
      <c r="AR343" s="1">
        <v>0.0</v>
      </c>
      <c r="AS343" s="1" t="s">
        <v>1252</v>
      </c>
      <c r="AT343" s="3" t="str">
        <f>HYPERLINK("https://icf.clappia.com/app/GMB253374/submission/RHS17439484/ICF247370-GMB253374-2hh9jkneploa00000000/SIG-20250703_1226jnjjd.jpeg", "SIG-20250703_1226jnjjd.jpeg")</f>
        <v>SIG-20250703_1226jnjjd.jpeg</v>
      </c>
      <c r="AU343" s="1" t="s">
        <v>1253</v>
      </c>
      <c r="AV343" s="3" t="str">
        <f>HYPERLINK("https://icf.clappia.com/app/GMB253374/submission/RHS17439484/ICF247370-GMB253374-6bm9fa36p0oo00000000/SIG-20250703_1225gojdm.jpeg", "SIG-20250703_1225gojdm.jpeg")</f>
        <v>SIG-20250703_1225gojdm.jpeg</v>
      </c>
      <c r="AW343" s="1" t="s">
        <v>1934</v>
      </c>
      <c r="AX343" s="3" t="str">
        <f>HYPERLINK("https://icf.clappia.com/app/GMB253374/submission/RHS17439484/ICF247370-GMB253374-4a98ho94j0c600000000/SIG-20250703_1226m4gi.jpeg", "SIG-20250703_1226m4gi.jpeg")</f>
        <v>SIG-20250703_1226m4gi.jpeg</v>
      </c>
      <c r="AY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1935</v>
      </c>
      <c r="B344" s="2" t="s">
        <v>47</v>
      </c>
      <c r="C344" s="1" t="s">
        <v>1936</v>
      </c>
      <c r="D344" s="1" t="s">
        <v>1936</v>
      </c>
      <c r="E344" s="1" t="s">
        <v>1937</v>
      </c>
      <c r="F344" s="1" t="s">
        <v>51</v>
      </c>
      <c r="G344" s="1">
        <v>317.0</v>
      </c>
      <c r="H344" s="1" t="s">
        <v>52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53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54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56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57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f t="shared" si="1"/>
        <v>317</v>
      </c>
      <c r="AM344" s="1">
        <v>317.0</v>
      </c>
      <c r="AN344" s="1">
        <v>329.0</v>
      </c>
      <c r="AO344" s="1">
        <v>314.0</v>
      </c>
      <c r="AP344" s="2">
        <v>11.0</v>
      </c>
      <c r="AQ344" s="1">
        <v>3.0</v>
      </c>
      <c r="AR344" s="1">
        <v>3.0</v>
      </c>
      <c r="AS344" s="1" t="s">
        <v>923</v>
      </c>
      <c r="AT344" s="3" t="str">
        <f>HYPERLINK("https://icf.clappia.com/app/GMB253374/submission/NQD54777949/ICF247370-GMB253374-30m0la049b5i00000000/SIG-20250702_1503k3294.jpeg", "SIG-20250702_1503k3294.jpeg")</f>
        <v>SIG-20250702_1503k3294.jpeg</v>
      </c>
      <c r="AU344" s="1">
        <v>1.0</v>
      </c>
      <c r="AV344" s="3" t="str">
        <f>HYPERLINK("https://icf.clappia.com/app/GMB253374/submission/NQD54777949/ICF247370-GMB253374-41dnf18h3dde00000000/SIG-20250702_1504imb5b.jpeg", "SIG-20250702_1504imb5b.jpeg")</f>
        <v>SIG-20250702_1504imb5b.jpeg</v>
      </c>
      <c r="AW344" s="1">
        <v>1.0</v>
      </c>
      <c r="AX344" s="3" t="str">
        <f>HYPERLINK("https://icf.clappia.com/app/GMB253374/submission/NQD54777949/ICF247370-GMB253374-3hnnp2kp6bfe00000000/SIG-20250702_15041e637.jpeg", "SIG-20250702_15041e637.jpeg")</f>
        <v>SIG-20250702_15041e637.jpeg</v>
      </c>
      <c r="AY344" s="3" t="str">
        <f>HYPERLINK("https://www.google.com/maps/place/8.9255717%2C-12.05424", "8.9255717,-12.05424")</f>
        <v>8.9255717,-12.05424</v>
      </c>
    </row>
    <row r="345" ht="15.75" customHeight="1">
      <c r="A345" s="1" t="s">
        <v>1938</v>
      </c>
      <c r="B345" s="2" t="s">
        <v>47</v>
      </c>
      <c r="C345" s="1" t="s">
        <v>1939</v>
      </c>
      <c r="D345" s="1" t="s">
        <v>1936</v>
      </c>
      <c r="E345" s="4" t="s">
        <v>1940</v>
      </c>
      <c r="F345" s="1" t="s">
        <v>51</v>
      </c>
      <c r="G345" s="1">
        <v>150.0</v>
      </c>
      <c r="H345" s="1" t="s">
        <v>52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53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54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56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57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f t="shared" si="1"/>
        <v>159</v>
      </c>
      <c r="AM345" s="1">
        <v>150.0</v>
      </c>
      <c r="AN345" s="1">
        <v>162.0</v>
      </c>
      <c r="AO345" s="1">
        <v>140.0</v>
      </c>
      <c r="AP345" s="2">
        <v>11.0</v>
      </c>
      <c r="AQ345" s="1">
        <v>10.0</v>
      </c>
      <c r="AR345" s="1">
        <v>10.0</v>
      </c>
      <c r="AS345" s="1" t="s">
        <v>1367</v>
      </c>
      <c r="AT345" s="3" t="str">
        <f>HYPERLINK("https://icf.clappia.com/app/GMB253374/submission/HCG03006180/ICF247370-GMB253374-664ga7a9pj2400000000/SIG-20250701_14374png8.jpeg", "SIG-20250701_14374png8.jpeg")</f>
        <v>SIG-20250701_14374png8.jpeg</v>
      </c>
      <c r="AU345" s="1" t="s">
        <v>1894</v>
      </c>
      <c r="AV345" s="3" t="str">
        <f>HYPERLINK("https://icf.clappia.com/app/GMB253374/submission/HCG03006180/ICF247370-GMB253374-2o2m4ojg8gfe00000000/SIG-20250702_094510l2da.jpeg", "SIG-20250702_094510l2da.jpeg")</f>
        <v>SIG-20250702_094510l2da.jpeg</v>
      </c>
      <c r="AW345" s="1" t="s">
        <v>1941</v>
      </c>
      <c r="AX345" s="3" t="str">
        <f>HYPERLINK("https://icf.clappia.com/app/GMB253374/submission/HCG03006180/ICF247370-GMB253374-190b1e2209dfe0000000/SIG-20250702_0946aj4b4.jpeg", "SIG-20250702_0946aj4b4.jpeg")</f>
        <v>SIG-20250702_0946aj4b4.jpeg</v>
      </c>
      <c r="AY345" s="3" t="str">
        <f>HYPERLINK("https://www.google.com/maps/place/9.000445%2C-11.91101", "9.000445,-11.91101")</f>
        <v>9.000445,-11.91101</v>
      </c>
    </row>
    <row r="346" ht="15.75" customHeight="1">
      <c r="A346" s="1" t="s">
        <v>1942</v>
      </c>
      <c r="B346" s="2" t="s">
        <v>47</v>
      </c>
      <c r="C346" s="1" t="s">
        <v>1943</v>
      </c>
      <c r="D346" s="1" t="s">
        <v>1943</v>
      </c>
      <c r="E346" s="1" t="s">
        <v>1944</v>
      </c>
      <c r="F346" s="1" t="s">
        <v>72</v>
      </c>
      <c r="G346" s="1">
        <v>152.0</v>
      </c>
      <c r="H346" s="1" t="s">
        <v>52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53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54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56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57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f t="shared" si="1"/>
        <v>156</v>
      </c>
      <c r="AM346" s="1">
        <v>152.0</v>
      </c>
      <c r="AN346" s="1">
        <v>164.0</v>
      </c>
      <c r="AO346" s="1">
        <v>140.0</v>
      </c>
      <c r="AP346" s="2">
        <v>11.0</v>
      </c>
      <c r="AQ346" s="1">
        <v>12.0</v>
      </c>
      <c r="AR346" s="1">
        <v>12.0</v>
      </c>
      <c r="AS346" s="1" t="s">
        <v>1945</v>
      </c>
      <c r="AT346" s="3" t="str">
        <f>HYPERLINK("https://icf.clappia.com/app/GMB253374/submission/QMO47881532/ICF247370-GMB253374-180ie2d7kcln60000000/SIG-20250703_12204bnog.jpeg", "SIG-20250703_12204bnog.jpeg")</f>
        <v>SIG-20250703_12204bnog.jpeg</v>
      </c>
      <c r="AU346" s="1" t="s">
        <v>1946</v>
      </c>
      <c r="AV346" s="3" t="str">
        <f>HYPERLINK("https://icf.clappia.com/app/GMB253374/submission/QMO47881532/ICF247370-GMB253374-57cd6p4620ic00000000/SIG-20250703_1220opm59.jpeg", "SIG-20250703_1220opm59.jpeg")</f>
        <v>SIG-20250703_1220opm59.jpeg</v>
      </c>
      <c r="AW346" s="1" t="s">
        <v>1947</v>
      </c>
      <c r="AX346" s="3" t="str">
        <f>HYPERLINK("https://icf.clappia.com/app/GMB253374/submission/QMO47881532/ICF247370-GMB253374-5b7dia6f376600000000/SIG-20250703_122015ikak.jpeg", "SIG-20250703_122015ikak.jpeg")</f>
        <v>SIG-20250703_122015ikak.jpeg</v>
      </c>
      <c r="AY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1948</v>
      </c>
      <c r="B347" s="2" t="s">
        <v>47</v>
      </c>
      <c r="C347" s="1" t="s">
        <v>1949</v>
      </c>
      <c r="D347" s="1" t="s">
        <v>1949</v>
      </c>
      <c r="E347" s="1" t="s">
        <v>1950</v>
      </c>
      <c r="F347" s="1" t="s">
        <v>51</v>
      </c>
      <c r="G347" s="1">
        <v>341.0</v>
      </c>
      <c r="H347" s="1" t="s">
        <v>52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53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54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56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57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f t="shared" si="1"/>
        <v>435</v>
      </c>
      <c r="AM347" s="1">
        <v>341.0</v>
      </c>
      <c r="AN347" s="1">
        <v>353.0</v>
      </c>
      <c r="AO347" s="1">
        <v>340.0</v>
      </c>
      <c r="AP347" s="2">
        <v>11.0</v>
      </c>
      <c r="AQ347" s="1">
        <v>1.0</v>
      </c>
      <c r="AR347" s="1">
        <v>1.0</v>
      </c>
      <c r="AS347" s="1" t="s">
        <v>1951</v>
      </c>
      <c r="AT347" s="3" t="str">
        <f>HYPERLINK("https://icf.clappia.com/app/GMB253374/submission/QOH87012342/ICF247370-GMB253374-91fmc78hd4920000000/SIG-20250703_1220188n59.jpeg", "SIG-20250703_1220188n59.jpeg")</f>
        <v>SIG-20250703_1220188n59.jpeg</v>
      </c>
      <c r="AU347" s="1" t="s">
        <v>1952</v>
      </c>
      <c r="AV347" s="3" t="str">
        <f>HYPERLINK("https://icf.clappia.com/app/GMB253374/submission/QOH87012342/ICF247370-GMB253374-56kjkhp98m8000000000/SIG-20250703_122018p723.jpeg", "SIG-20250703_122018p723.jpeg")</f>
        <v>SIG-20250703_122018p723.jpeg</v>
      </c>
      <c r="AW347" s="1" t="s">
        <v>1953</v>
      </c>
      <c r="AX347" s="3" t="str">
        <f>HYPERLINK("https://icf.clappia.com/app/GMB253374/submission/QOH87012342/ICF247370-GMB253374-1lnc04a2oih5g0000000/SIG-20250703_1221n7220.jpeg", "SIG-20250703_1221n7220.jpeg")</f>
        <v>SIG-20250703_1221n7220.jpeg</v>
      </c>
      <c r="AY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1954</v>
      </c>
      <c r="B348" s="2" t="s">
        <v>47</v>
      </c>
      <c r="C348" s="1" t="s">
        <v>1949</v>
      </c>
      <c r="D348" s="1" t="s">
        <v>1949</v>
      </c>
      <c r="E348" s="1" t="s">
        <v>1955</v>
      </c>
      <c r="F348" s="1" t="s">
        <v>51</v>
      </c>
      <c r="G348" s="1">
        <v>186.0</v>
      </c>
      <c r="H348" s="1" t="s">
        <v>52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53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54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56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57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f t="shared" si="1"/>
        <v>186</v>
      </c>
      <c r="AM348" s="1">
        <v>186.0</v>
      </c>
      <c r="AN348" s="1">
        <v>198.0</v>
      </c>
      <c r="AO348" s="1">
        <v>186.0</v>
      </c>
      <c r="AP348" s="2">
        <v>11.0</v>
      </c>
      <c r="AQ348" s="1">
        <v>0.0</v>
      </c>
      <c r="AR348" s="1">
        <v>0.0</v>
      </c>
      <c r="AS348" s="1" t="s">
        <v>1956</v>
      </c>
      <c r="AT348" s="3" t="str">
        <f>HYPERLINK("https://icf.clappia.com/app/GMB253374/submission/KMR55149188/ICF247370-GMB253374-dp659pj3jehe000000/SIG-20250703_1219a7n08.jpeg", "SIG-20250703_1219a7n08.jpeg")</f>
        <v>SIG-20250703_1219a7n08.jpeg</v>
      </c>
      <c r="AU348" s="1" t="s">
        <v>1957</v>
      </c>
      <c r="AV348" s="3" t="str">
        <f>HYPERLINK("https://icf.clappia.com/app/GMB253374/submission/KMR55149188/ICF247370-GMB253374-jh84d5bm790k0000000/SIG-20250703_122037ig3.jpeg", "SIG-20250703_122037ig3.jpeg")</f>
        <v>SIG-20250703_122037ig3.jpeg</v>
      </c>
      <c r="AW348" s="1" t="s">
        <v>1958</v>
      </c>
      <c r="AX348" s="3" t="str">
        <f>HYPERLINK("https://icf.clappia.com/app/GMB253374/submission/KMR55149188/ICF247370-GMB253374-1bae08166k2ik0000000/SIG-20250703_1221p08if.jpeg", "SIG-20250703_1221p08if.jpeg")</f>
        <v>SIG-20250703_1221p08if.jpeg</v>
      </c>
      <c r="AY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1959</v>
      </c>
      <c r="B349" s="2" t="s">
        <v>47</v>
      </c>
      <c r="C349" s="1" t="s">
        <v>1960</v>
      </c>
      <c r="D349" s="1" t="s">
        <v>1960</v>
      </c>
      <c r="E349" s="1" t="s">
        <v>1961</v>
      </c>
      <c r="F349" s="1" t="s">
        <v>51</v>
      </c>
      <c r="G349" s="1">
        <v>24.0</v>
      </c>
      <c r="H349" s="1" t="s">
        <v>52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53</v>
      </c>
      <c r="O349" s="1">
        <v>45.0</v>
      </c>
      <c r="P349" s="1">
        <v>21.0</v>
      </c>
      <c r="Q349" s="1" t="s">
        <v>55</v>
      </c>
      <c r="R349" s="1">
        <v>24.0</v>
      </c>
      <c r="S349" s="1" t="s">
        <v>55</v>
      </c>
      <c r="T349" s="1" t="s">
        <v>54</v>
      </c>
      <c r="U349" s="1">
        <v>25.0</v>
      </c>
      <c r="V349" s="1">
        <v>9.0</v>
      </c>
      <c r="W349" s="1" t="s">
        <v>55</v>
      </c>
      <c r="X349" s="1">
        <v>16.0</v>
      </c>
      <c r="Y349" s="1" t="s">
        <v>55</v>
      </c>
      <c r="Z349" s="1" t="s">
        <v>56</v>
      </c>
      <c r="AA349" s="1">
        <v>23.0</v>
      </c>
      <c r="AB349" s="1">
        <v>8.0</v>
      </c>
      <c r="AC349" s="1" t="s">
        <v>55</v>
      </c>
      <c r="AD349" s="1">
        <v>15.0</v>
      </c>
      <c r="AE349" s="1" t="s">
        <v>55</v>
      </c>
      <c r="AF349" s="1" t="s">
        <v>57</v>
      </c>
      <c r="AG349" s="1">
        <v>20.0</v>
      </c>
      <c r="AH349" s="1">
        <v>7.0</v>
      </c>
      <c r="AI349" s="1" t="s">
        <v>55</v>
      </c>
      <c r="AJ349" s="1">
        <v>13.0</v>
      </c>
      <c r="AK349" s="1" t="s">
        <v>55</v>
      </c>
      <c r="AL349" s="1">
        <f t="shared" si="1"/>
        <v>148</v>
      </c>
      <c r="AM349" s="1">
        <v>24.0</v>
      </c>
      <c r="AN349" s="1">
        <v>36.0</v>
      </c>
      <c r="AO349" s="1">
        <v>24.0</v>
      </c>
      <c r="AP349" s="2">
        <v>11.0</v>
      </c>
      <c r="AQ349" s="1">
        <v>0.0</v>
      </c>
      <c r="AR349" s="1">
        <v>0.0</v>
      </c>
      <c r="AS349" s="1" t="s">
        <v>227</v>
      </c>
      <c r="AT349" s="3" t="str">
        <f>HYPERLINK("https://icf.clappia.com/app/GMB253374/submission/KXH83516408/ICF247370-GMB253374-2kb5enb6b0i800000000/SIG-20250703_12192cfde.jpeg", "SIG-20250703_12192cfde.jpeg")</f>
        <v>SIG-20250703_12192cfde.jpeg</v>
      </c>
      <c r="AU349" s="1" t="s">
        <v>229</v>
      </c>
      <c r="AV349" s="3" t="str">
        <f>HYPERLINK("https://icf.clappia.com/app/GMB253374/submission/KXH83516408/ICF247370-GMB253374-4lon4lnkg7go00000000/SIG-20250703_1219obpdh.jpeg", "SIG-20250703_1219obpdh.jpeg")</f>
        <v>SIG-20250703_1219obpdh.jpeg</v>
      </c>
      <c r="AW349" s="1" t="s">
        <v>228</v>
      </c>
      <c r="AX349" s="3" t="str">
        <f>HYPERLINK("https://icf.clappia.com/app/GMB253374/submission/KXH83516408/ICF247370-GMB253374-cpej7jioc77e0000000/SIG-20250703_1220p3f7k.jpeg", "SIG-20250703_1220p3f7k.jpeg")</f>
        <v>SIG-20250703_1220p3f7k.jpeg</v>
      </c>
      <c r="AY349" s="3" t="str">
        <f>HYPERLINK("https://www.google.com/maps/place/7.94204%2C-11.7287267", "7.94204,-11.7287267")</f>
        <v>7.94204,-11.7287267</v>
      </c>
    </row>
    <row r="350" ht="15.75" customHeight="1">
      <c r="A350" s="1" t="s">
        <v>1962</v>
      </c>
      <c r="B350" s="2" t="s">
        <v>47</v>
      </c>
      <c r="C350" s="1" t="s">
        <v>1963</v>
      </c>
      <c r="D350" s="1" t="s">
        <v>1963</v>
      </c>
      <c r="E350" s="1" t="s">
        <v>1964</v>
      </c>
      <c r="F350" s="1" t="s">
        <v>51</v>
      </c>
      <c r="G350" s="1">
        <v>150.0</v>
      </c>
      <c r="H350" s="1" t="s">
        <v>52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53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54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56</v>
      </c>
      <c r="AA350" s="1" t="s">
        <v>55</v>
      </c>
      <c r="AB350" s="1" t="s">
        <v>55</v>
      </c>
      <c r="AC350" s="1" t="s">
        <v>55</v>
      </c>
      <c r="AD350" s="1" t="s">
        <v>55</v>
      </c>
      <c r="AE350" s="1" t="s">
        <v>55</v>
      </c>
      <c r="AF350" s="1" t="s">
        <v>57</v>
      </c>
      <c r="AG350" s="1" t="s">
        <v>55</v>
      </c>
      <c r="AH350" s="1" t="s">
        <v>55</v>
      </c>
      <c r="AI350" s="1" t="s">
        <v>55</v>
      </c>
      <c r="AJ350" s="1" t="s">
        <v>55</v>
      </c>
      <c r="AK350" s="1" t="s">
        <v>55</v>
      </c>
      <c r="AL350" s="1">
        <f t="shared" si="1"/>
        <v>125</v>
      </c>
      <c r="AM350" s="1">
        <v>150.0</v>
      </c>
      <c r="AN350" s="1">
        <v>162.0</v>
      </c>
      <c r="AO350" s="1">
        <v>117.0</v>
      </c>
      <c r="AP350" s="2">
        <v>11.0</v>
      </c>
      <c r="AQ350" s="1">
        <v>33.0</v>
      </c>
      <c r="AR350" s="1">
        <v>33.0</v>
      </c>
      <c r="AS350" s="1" t="s">
        <v>1965</v>
      </c>
      <c r="AT350" s="3" t="str">
        <f>HYPERLINK("https://icf.clappia.com/app/GMB253374/submission/BCY62459651/ICF247370-GMB253374-59gg987gji0400000000/SIG-20250703_1219hj262.jpeg", "SIG-20250703_1219hj262.jpeg")</f>
        <v>SIG-20250703_1219hj262.jpeg</v>
      </c>
      <c r="AU350" s="1" t="s">
        <v>1966</v>
      </c>
      <c r="AV350" s="3" t="str">
        <f>HYPERLINK("https://icf.clappia.com/app/GMB253374/submission/BCY62459651/ICF247370-GMB253374-5do0k8abb9eo00000000/SIG-20250703_1219g6fdf.jpeg", "SIG-20250703_1219g6fdf.jpeg")</f>
        <v>SIG-20250703_1219g6fdf.jpeg</v>
      </c>
      <c r="AW350" s="1" t="s">
        <v>1967</v>
      </c>
      <c r="AX350" s="3" t="str">
        <f>HYPERLINK("https://icf.clappia.com/app/GMB253374/submission/BCY62459651/ICF247370-GMB253374-3d74alhkp4ii00000000/SIG-20250703_1220743ak.jpeg", "SIG-20250703_1220743ak.jpeg")</f>
        <v>SIG-20250703_1220743ak.jpeg</v>
      </c>
      <c r="AY350" s="3" t="str">
        <f>HYPERLINK("https://www.google.com/maps/place/7.60078%2C-11.9251983", "7.60078,-11.9251983")</f>
        <v>7.60078,-11.9251983</v>
      </c>
    </row>
    <row r="351" ht="15.75" customHeight="1">
      <c r="A351" s="1" t="s">
        <v>1968</v>
      </c>
      <c r="B351" s="2" t="s">
        <v>47</v>
      </c>
      <c r="C351" s="1" t="s">
        <v>1969</v>
      </c>
      <c r="D351" s="1" t="s">
        <v>1969</v>
      </c>
      <c r="E351" s="1" t="s">
        <v>1970</v>
      </c>
      <c r="F351" s="1" t="s">
        <v>51</v>
      </c>
      <c r="G351" s="1">
        <v>115.0</v>
      </c>
      <c r="H351" s="1" t="s">
        <v>52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53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54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56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57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f t="shared" si="1"/>
        <v>105</v>
      </c>
      <c r="AM351" s="1">
        <v>115.0</v>
      </c>
      <c r="AN351" s="1">
        <v>127.0</v>
      </c>
      <c r="AO351" s="1">
        <v>105.0</v>
      </c>
      <c r="AP351" s="2">
        <v>11.0</v>
      </c>
      <c r="AQ351" s="1">
        <v>10.0</v>
      </c>
      <c r="AR351" s="1">
        <v>10.0</v>
      </c>
      <c r="AS351" s="1" t="s">
        <v>1318</v>
      </c>
      <c r="AT351" s="3" t="str">
        <f>HYPERLINK("https://icf.clappia.com/app/GMB253374/submission/LGR04490327/ICF247370-GMB253374-5j2dpnpj30cc00000000/SIG-20250703_12159g7fd.jpeg", "SIG-20250703_12159g7fd.jpeg")</f>
        <v>SIG-20250703_12159g7fd.jpeg</v>
      </c>
      <c r="AU351" s="1" t="s">
        <v>1319</v>
      </c>
      <c r="AV351" s="3" t="str">
        <f>HYPERLINK("https://icf.clappia.com/app/GMB253374/submission/LGR04490327/ICF247370-GMB253374-5po288dmnb5600000000/SIG-20250703_1216d7epo.jpeg", "SIG-20250703_1216d7epo.jpeg")</f>
        <v>SIG-20250703_1216d7epo.jpeg</v>
      </c>
      <c r="AW351" s="1" t="s">
        <v>1320</v>
      </c>
      <c r="AX351" s="3" t="str">
        <f>HYPERLINK("https://icf.clappia.com/app/GMB253374/submission/LGR04490327/ICF247370-GMB253374-68no9lm3kjpm00000000/SIG-20250703_1216kng.jpeg", "SIG-20250703_1216kng.jpeg")</f>
        <v>SIG-20250703_1216kng.jpeg</v>
      </c>
      <c r="AY351" s="3" t="str">
        <f>HYPERLINK("https://www.google.com/maps/place/7.927945%2C-11.731715", "7.927945,-11.731715")</f>
        <v>7.927945,-11.731715</v>
      </c>
    </row>
    <row r="352" ht="15.75" customHeight="1">
      <c r="A352" s="1" t="s">
        <v>1971</v>
      </c>
      <c r="B352" s="2" t="s">
        <v>47</v>
      </c>
      <c r="C352" s="1" t="s">
        <v>1972</v>
      </c>
      <c r="D352" s="1" t="s">
        <v>1972</v>
      </c>
      <c r="E352" s="1" t="s">
        <v>1973</v>
      </c>
      <c r="F352" s="1" t="s">
        <v>72</v>
      </c>
      <c r="G352" s="1">
        <v>78.0</v>
      </c>
      <c r="H352" s="1" t="s">
        <v>52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53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54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56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57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f t="shared" si="1"/>
        <v>78</v>
      </c>
      <c r="AM352" s="1">
        <v>78.0</v>
      </c>
      <c r="AN352" s="1">
        <v>90.0</v>
      </c>
      <c r="AO352" s="1">
        <v>55.0</v>
      </c>
      <c r="AP352" s="2">
        <v>11.0</v>
      </c>
      <c r="AQ352" s="1">
        <v>23.0</v>
      </c>
      <c r="AR352" s="1">
        <v>23.0</v>
      </c>
      <c r="AS352" s="1" t="s">
        <v>1314</v>
      </c>
      <c r="AT352" s="3" t="str">
        <f>HYPERLINK("https://icf.clappia.com/app/GMB253374/submission/CIZ46123699/ICF247370-GMB253374-30895775c98o00000000/SIG-20250703_1209do6gg.jpeg", "SIG-20250703_1209do6gg.jpeg")</f>
        <v>SIG-20250703_1209do6gg.jpeg</v>
      </c>
      <c r="AU352" s="1" t="s">
        <v>1974</v>
      </c>
      <c r="AV352" s="3" t="str">
        <f>HYPERLINK("https://icf.clappia.com/app/GMB253374/submission/CIZ46123699/ICF247370-GMB253374-fcbojgminooo0000000/SIG-20250703_1211ad0m2.jpeg", "SIG-20250703_1211ad0m2.jpeg")</f>
        <v>SIG-20250703_1211ad0m2.jpeg</v>
      </c>
      <c r="AW352" s="1" t="s">
        <v>1975</v>
      </c>
      <c r="AX352" s="3" t="str">
        <f>HYPERLINK("https://icf.clappia.com/app/GMB253374/submission/CIZ46123699/ICF247370-GMB253374-3l8g942o3o9200000000/SIG-20250703_1211ee2c9.jpeg", "SIG-20250703_1211ee2c9.jpeg")</f>
        <v>SIG-20250703_1211ee2c9.jpeg</v>
      </c>
      <c r="AY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1976</v>
      </c>
      <c r="B353" s="2" t="s">
        <v>47</v>
      </c>
      <c r="C353" s="1" t="s">
        <v>1977</v>
      </c>
      <c r="D353" s="1" t="s">
        <v>1977</v>
      </c>
      <c r="E353" s="1" t="s">
        <v>1978</v>
      </c>
      <c r="F353" s="1" t="s">
        <v>51</v>
      </c>
      <c r="G353" s="1">
        <v>326.0</v>
      </c>
      <c r="H353" s="1" t="s">
        <v>52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53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54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56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57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f t="shared" si="1"/>
        <v>326</v>
      </c>
      <c r="AM353" s="1">
        <v>326.0</v>
      </c>
      <c r="AN353" s="1">
        <v>338.0</v>
      </c>
      <c r="AO353" s="1">
        <v>326.0</v>
      </c>
      <c r="AP353" s="2">
        <v>11.0</v>
      </c>
      <c r="AQ353" s="1">
        <v>0.0</v>
      </c>
      <c r="AR353" s="1">
        <v>0.0</v>
      </c>
      <c r="AS353" s="1" t="s">
        <v>1061</v>
      </c>
      <c r="AT353" s="3" t="str">
        <f>HYPERLINK("https://icf.clappia.com/app/GMB253374/submission/NWL67581248/ICF247370-GMB253374-3k8ecp94p8fg0000000/SIG-20250703_120910j4ge.jpeg", "SIG-20250703_120910j4ge.jpeg")</f>
        <v>SIG-20250703_120910j4ge.jpeg</v>
      </c>
      <c r="AU353" s="1" t="s">
        <v>1062</v>
      </c>
      <c r="AV353" s="3" t="str">
        <f>HYPERLINK("https://icf.clappia.com/app/GMB253374/submission/NWL67581248/ICF247370-GMB253374-3b3348c4dnpe00000000/SIG-20250703_121082ih.jpeg", "SIG-20250703_121082ih.jpeg")</f>
        <v>SIG-20250703_121082ih.jpeg</v>
      </c>
      <c r="AW353" s="1" t="s">
        <v>1063</v>
      </c>
      <c r="AX353" s="3" t="str">
        <f>HYPERLINK("https://icf.clappia.com/app/GMB253374/submission/NWL67581248/ICF247370-GMB253374-plo6dn0ag1nm0000000/SIG-20250703_12101fg7g.jpeg", "SIG-20250703_12101fg7g.jpeg")</f>
        <v>SIG-20250703_12101fg7g.jpeg</v>
      </c>
      <c r="AY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1979</v>
      </c>
      <c r="B354" s="2" t="s">
        <v>47</v>
      </c>
      <c r="C354" s="1" t="s">
        <v>1980</v>
      </c>
      <c r="D354" s="1" t="s">
        <v>1980</v>
      </c>
      <c r="E354" s="1" t="s">
        <v>1981</v>
      </c>
      <c r="F354" s="1" t="s">
        <v>51</v>
      </c>
      <c r="G354" s="1">
        <v>200.0</v>
      </c>
      <c r="H354" s="1" t="s">
        <v>52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53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54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56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57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f t="shared" si="1"/>
        <v>200</v>
      </c>
      <c r="AM354" s="1">
        <v>200.0</v>
      </c>
      <c r="AN354" s="1">
        <v>212.0</v>
      </c>
      <c r="AO354" s="1">
        <v>200.0</v>
      </c>
      <c r="AP354" s="2">
        <v>11.0</v>
      </c>
      <c r="AQ354" s="1">
        <v>0.0</v>
      </c>
      <c r="AR354" s="1">
        <v>0.0</v>
      </c>
      <c r="AS354" s="1" t="s">
        <v>1982</v>
      </c>
      <c r="AT354" s="3" t="str">
        <f>HYPERLINK("https://icf.clappia.com/app/GMB253374/submission/SUB70234855/ICF247370-GMB253374-5cjk2o8bjbo400000000/SIG-20250703_1204pa14c.jpeg", "SIG-20250703_1204pa14c.jpeg")</f>
        <v>SIG-20250703_1204pa14c.jpeg</v>
      </c>
      <c r="AU354" s="1" t="s">
        <v>1044</v>
      </c>
      <c r="AV354" s="3" t="str">
        <f>HYPERLINK("https://icf.clappia.com/app/GMB253374/submission/SUB70234855/ICF247370-GMB253374-1a948d22dmikg0000000/SIG-20250703_120419dhlb.jpeg", "SIG-20250703_120419dhlb.jpeg")</f>
        <v>SIG-20250703_120419dhlb.jpeg</v>
      </c>
      <c r="AW354" s="1" t="s">
        <v>1983</v>
      </c>
      <c r="AX354" s="3" t="str">
        <f>HYPERLINK("https://icf.clappia.com/app/GMB253374/submission/SUB70234855/ICF247370-GMB253374-2ahhc437bhipm0000000/SIG-20250703_12068gf7g.jpeg", "SIG-20250703_12068gf7g.jpeg")</f>
        <v>SIG-20250703_12068gf7g.jpeg</v>
      </c>
      <c r="AY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1984</v>
      </c>
      <c r="B355" s="2" t="s">
        <v>47</v>
      </c>
      <c r="C355" s="1" t="s">
        <v>1985</v>
      </c>
      <c r="D355" s="1" t="s">
        <v>1985</v>
      </c>
      <c r="E355" s="2" t="s">
        <v>1986</v>
      </c>
      <c r="F355" s="1" t="s">
        <v>51</v>
      </c>
      <c r="G355" s="1">
        <v>200.0</v>
      </c>
      <c r="H355" s="1" t="s">
        <v>52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53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54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56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57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f t="shared" si="1"/>
        <v>194</v>
      </c>
      <c r="AM355" s="1">
        <v>200.0</v>
      </c>
      <c r="AN355" s="1">
        <v>212.0</v>
      </c>
      <c r="AO355" s="1">
        <v>178.0</v>
      </c>
      <c r="AP355" s="2">
        <v>11.0</v>
      </c>
      <c r="AQ355" s="1">
        <v>22.0</v>
      </c>
      <c r="AR355" s="1">
        <v>22.0</v>
      </c>
      <c r="AS355" s="1" t="s">
        <v>1173</v>
      </c>
      <c r="AT355" s="3" t="str">
        <f>HYPERLINK("https://icf.clappia.com/app/GMB253374/submission/DFQ20141463/ICF247370-GMB253374-deedfjhojpfe0000000/SIG-20250703_1204c687g.jpeg", "SIG-20250703_1204c687g.jpeg")</f>
        <v>SIG-20250703_1204c687g.jpeg</v>
      </c>
      <c r="AU355" s="1" t="s">
        <v>1174</v>
      </c>
      <c r="AV355" s="3" t="str">
        <f>HYPERLINK("https://icf.clappia.com/app/GMB253374/submission/DFQ20141463/ICF247370-GMB253374-3mejf2505hp800000000/SIG-20250703_1203ic828.jpeg", "SIG-20250703_1203ic828.jpeg")</f>
        <v>SIG-20250703_1203ic828.jpeg</v>
      </c>
      <c r="AW355" s="1" t="s">
        <v>1175</v>
      </c>
      <c r="AX355" s="3" t="str">
        <f>HYPERLINK("https://icf.clappia.com/app/GMB253374/submission/DFQ20141463/ICF247370-GMB253374-2kabifjdpchg00000000/SIG-20250703_12024a5ob.jpeg", "SIG-20250703_12024a5ob.jpeg")</f>
        <v>SIG-20250703_12024a5ob.jpeg</v>
      </c>
      <c r="AY355" s="3" t="str">
        <f>HYPERLINK("https://www.google.com/maps/place/9.1478467%2C-11.95852", "9.1478467,-11.95852")</f>
        <v>9.1478467,-11.95852</v>
      </c>
    </row>
    <row r="356" ht="15.75" customHeight="1">
      <c r="A356" s="1" t="s">
        <v>1987</v>
      </c>
      <c r="B356" s="2" t="s">
        <v>47</v>
      </c>
      <c r="C356" s="1" t="s">
        <v>1988</v>
      </c>
      <c r="D356" s="1" t="s">
        <v>1988</v>
      </c>
      <c r="E356" s="1" t="s">
        <v>1989</v>
      </c>
      <c r="F356" s="1" t="s">
        <v>51</v>
      </c>
      <c r="G356" s="1">
        <v>400.0</v>
      </c>
      <c r="H356" s="1" t="s">
        <v>52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53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54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56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57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f t="shared" si="1"/>
        <v>582</v>
      </c>
      <c r="AM356" s="1">
        <v>400.0</v>
      </c>
      <c r="AN356" s="1">
        <v>412.0</v>
      </c>
      <c r="AO356" s="1">
        <v>289.0</v>
      </c>
      <c r="AP356" s="2">
        <v>11.0</v>
      </c>
      <c r="AQ356" s="1">
        <v>111.0</v>
      </c>
      <c r="AR356" s="1">
        <v>111.0</v>
      </c>
      <c r="AS356" s="1" t="s">
        <v>1268</v>
      </c>
      <c r="AT356" s="3" t="str">
        <f>HYPERLINK("https://icf.clappia.com/app/GMB253374/submission/QCF18744692/ICF247370-GMB253374-4ef5040fl1ne00000000/SIG-20250703_1201i9c33.jpeg", "SIG-20250703_1201i9c33.jpeg")</f>
        <v>SIG-20250703_1201i9c33.jpeg</v>
      </c>
      <c r="AU356" s="1" t="s">
        <v>1269</v>
      </c>
      <c r="AV356" s="3" t="str">
        <f>HYPERLINK("https://icf.clappia.com/app/GMB253374/submission/QCF18744692/ICF247370-GMB253374-1ponb6k4kkfhg0000000/SIG-20250703_1201pce46.jpeg", "SIG-20250703_1201pce46.jpeg")</f>
        <v>SIG-20250703_1201pce46.jpeg</v>
      </c>
      <c r="AW356" s="1" t="s">
        <v>1270</v>
      </c>
      <c r="AX356" s="3" t="str">
        <f>HYPERLINK("https://icf.clappia.com/app/GMB253374/submission/QCF18744692/ICF247370-GMB253374-60mlnc80enmo00000000/SIG-20250703_1202156iom.jpeg", "SIG-20250703_1202156iom.jpeg")</f>
        <v>SIG-20250703_1202156iom.jpeg</v>
      </c>
      <c r="AY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1990</v>
      </c>
      <c r="B357" s="2" t="s">
        <v>47</v>
      </c>
      <c r="C357" s="1" t="s">
        <v>1988</v>
      </c>
      <c r="D357" s="1" t="s">
        <v>1988</v>
      </c>
      <c r="E357" s="1" t="s">
        <v>1991</v>
      </c>
      <c r="F357" s="1" t="s">
        <v>51</v>
      </c>
      <c r="G357" s="1">
        <v>200.0</v>
      </c>
      <c r="H357" s="1" t="s">
        <v>52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53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54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56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57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f t="shared" si="1"/>
        <v>182</v>
      </c>
      <c r="AM357" s="1">
        <v>200.0</v>
      </c>
      <c r="AN357" s="1">
        <v>212.0</v>
      </c>
      <c r="AO357" s="1">
        <v>164.0</v>
      </c>
      <c r="AP357" s="2">
        <v>11.0</v>
      </c>
      <c r="AQ357" s="1">
        <v>36.0</v>
      </c>
      <c r="AR357" s="1">
        <v>36.0</v>
      </c>
      <c r="AS357" s="1" t="s">
        <v>1992</v>
      </c>
      <c r="AT357" s="3" t="str">
        <f>HYPERLINK("https://icf.clappia.com/app/GMB253374/submission/RJR94610311/ICF247370-GMB253374-4po17i5lnh5e00000000/SIG-20250701_1325lek84.jpeg", "SIG-20250701_1325lek84.jpeg")</f>
        <v>SIG-20250701_1325lek84.jpeg</v>
      </c>
      <c r="AU357" s="1" t="s">
        <v>1993</v>
      </c>
      <c r="AV357" s="3" t="str">
        <f>HYPERLINK("https://icf.clappia.com/app/GMB253374/submission/RJR94610311/ICF247370-GMB253374-5d6pe7d5e87m00000000/SIG-20250701_130714m6gk.jpeg", "SIG-20250701_130714m6gk.jpeg")</f>
        <v>SIG-20250701_130714m6gk.jpeg</v>
      </c>
      <c r="AW357" s="1" t="s">
        <v>1994</v>
      </c>
      <c r="AX357" s="3" t="str">
        <f>HYPERLINK("https://icf.clappia.com/app/GMB253374/submission/RJR94610311/ICF247370-GMB253374-105nl4215o5p80000000/SIG-20250701_130711i8d7.jpeg", "SIG-20250701_130711i8d7.jpeg")</f>
        <v>SIG-20250701_130711i8d7.jpeg</v>
      </c>
      <c r="AY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1995</v>
      </c>
      <c r="B358" s="2" t="s">
        <v>47</v>
      </c>
      <c r="C358" s="1" t="s">
        <v>1996</v>
      </c>
      <c r="D358" s="1" t="s">
        <v>1996</v>
      </c>
      <c r="E358" s="1" t="s">
        <v>1997</v>
      </c>
      <c r="F358" s="1" t="s">
        <v>72</v>
      </c>
      <c r="G358" s="1">
        <v>100.0</v>
      </c>
      <c r="H358" s="1" t="s">
        <v>52</v>
      </c>
      <c r="I358" s="1">
        <v>16.0</v>
      </c>
      <c r="J358" s="1" t="s">
        <v>1998</v>
      </c>
      <c r="K358" s="1">
        <v>6.0</v>
      </c>
      <c r="L358" s="1">
        <v>10.0</v>
      </c>
      <c r="M358" s="1">
        <v>10.0</v>
      </c>
      <c r="N358" s="1" t="s">
        <v>53</v>
      </c>
      <c r="O358" s="1">
        <v>18.0</v>
      </c>
      <c r="P358" s="1" t="s">
        <v>1998</v>
      </c>
      <c r="Q358" s="1" t="s">
        <v>1998</v>
      </c>
      <c r="R358" s="1">
        <v>12.0</v>
      </c>
      <c r="S358" s="1">
        <v>12.0</v>
      </c>
      <c r="T358" s="1" t="s">
        <v>54</v>
      </c>
      <c r="U358" s="1">
        <v>16.0</v>
      </c>
      <c r="V358" s="1" t="s">
        <v>1999</v>
      </c>
      <c r="W358" s="1" t="s">
        <v>1999</v>
      </c>
      <c r="X358" s="1" t="s">
        <v>2000</v>
      </c>
      <c r="Y358" s="1" t="s">
        <v>2000</v>
      </c>
      <c r="Z358" s="1" t="s">
        <v>56</v>
      </c>
      <c r="AA358" s="1">
        <v>14.0</v>
      </c>
      <c r="AB358" s="1" t="s">
        <v>1998</v>
      </c>
      <c r="AC358" s="1" t="s">
        <v>1998</v>
      </c>
      <c r="AD358" s="1" t="s">
        <v>986</v>
      </c>
      <c r="AE358" s="1" t="s">
        <v>986</v>
      </c>
      <c r="AF358" s="1" t="s">
        <v>57</v>
      </c>
      <c r="AG358" s="1">
        <v>13.0</v>
      </c>
      <c r="AH358" s="1" t="s">
        <v>1999</v>
      </c>
      <c r="AI358" s="1" t="s">
        <v>1999</v>
      </c>
      <c r="AJ358" s="1" t="s">
        <v>1998</v>
      </c>
      <c r="AK358" s="1" t="s">
        <v>1998</v>
      </c>
      <c r="AL358" s="1">
        <f t="shared" si="1"/>
        <v>77</v>
      </c>
      <c r="AM358" s="1">
        <v>100.0</v>
      </c>
      <c r="AN358" s="1">
        <v>112.0</v>
      </c>
      <c r="AO358" s="1">
        <v>77.0</v>
      </c>
      <c r="AP358" s="2">
        <v>11.0</v>
      </c>
      <c r="AQ358" s="1">
        <v>23.0</v>
      </c>
      <c r="AR358" s="1">
        <v>23.0</v>
      </c>
      <c r="AS358" s="1" t="s">
        <v>2001</v>
      </c>
      <c r="AT358" s="3" t="str">
        <f>HYPERLINK("https://icf.clappia.com/app/GMB253374/submission/ORE51117617/ICF247370-GMB253374-9c14goloi8i80000000/SIG-20250703_115329hhc.jpeg", "SIG-20250703_115329hhc.jpeg")</f>
        <v>SIG-20250703_115329hhc.jpeg</v>
      </c>
      <c r="AU358" s="1" t="s">
        <v>2002</v>
      </c>
      <c r="AV358" s="3" t="str">
        <f>HYPERLINK("https://icf.clappia.com/app/GMB253374/submission/ORE51117617/ICF247370-GMB253374-4e8ne3h46l7600000000/SIG-20250703_1154ilmbg.jpeg", "SIG-20250703_1154ilmbg.jpeg")</f>
        <v>SIG-20250703_1154ilmbg.jpeg</v>
      </c>
      <c r="AW358" s="1" t="s">
        <v>2003</v>
      </c>
      <c r="AX358" s="3" t="str">
        <f>HYPERLINK("https://icf.clappia.com/app/GMB253374/submission/ORE51117617/ICF247370-GMB253374-25g0763b18ni00000000/SIG-20250703_11592460a.jpeg", "SIG-20250703_11592460a.jpeg")</f>
        <v>SIG-20250703_11592460a.jpeg</v>
      </c>
      <c r="AY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2004</v>
      </c>
      <c r="B359" s="2" t="s">
        <v>47</v>
      </c>
      <c r="C359" s="1" t="s">
        <v>1996</v>
      </c>
      <c r="D359" s="1" t="s">
        <v>1996</v>
      </c>
      <c r="E359" s="1" t="s">
        <v>2005</v>
      </c>
      <c r="F359" s="1" t="s">
        <v>51</v>
      </c>
      <c r="G359" s="1">
        <v>150.0</v>
      </c>
      <c r="H359" s="1" t="s">
        <v>52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53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54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56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57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f t="shared" si="1"/>
        <v>150</v>
      </c>
      <c r="AM359" s="1">
        <v>150.0</v>
      </c>
      <c r="AN359" s="1">
        <v>162.0</v>
      </c>
      <c r="AO359" s="1">
        <v>127.0</v>
      </c>
      <c r="AP359" s="2">
        <v>11.0</v>
      </c>
      <c r="AQ359" s="1">
        <v>23.0</v>
      </c>
      <c r="AR359" s="1">
        <v>23.0</v>
      </c>
      <c r="AS359" s="1" t="s">
        <v>2006</v>
      </c>
      <c r="AT359" s="3" t="str">
        <f>HYPERLINK("https://icf.clappia.com/app/GMB253374/submission/IRA94497592/ICF247370-GMB253374-4f9ckcooe7oc00000000/SIG-20250703_1200klij1.jpeg", "SIG-20250703_1200klij1.jpeg")</f>
        <v>SIG-20250703_1200klij1.jpeg</v>
      </c>
      <c r="AU359" s="1" t="s">
        <v>895</v>
      </c>
      <c r="AV359" s="3" t="str">
        <f>HYPERLINK("https://icf.clappia.com/app/GMB253374/submission/IRA94497592/ICF247370-GMB253374-5feo5aec04o000000000/SIG-20250703_120214ip5.jpeg", "SIG-20250703_120214ip5.jpeg")</f>
        <v>SIG-20250703_120214ip5.jpeg</v>
      </c>
      <c r="AW359" s="1" t="s">
        <v>2007</v>
      </c>
      <c r="AX359" s="3" t="str">
        <f>HYPERLINK("https://icf.clappia.com/app/GMB253374/submission/IRA94497592/ICF247370-GMB253374-59hgh9abpf6e00000000/SIG-20250703_120219jid2.jpeg", "SIG-20250703_120219jid2.jpeg")</f>
        <v>SIG-20250703_120219jid2.jpeg</v>
      </c>
      <c r="AY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2008</v>
      </c>
      <c r="B360" s="2" t="s">
        <v>47</v>
      </c>
      <c r="C360" s="1" t="s">
        <v>1996</v>
      </c>
      <c r="D360" s="1" t="s">
        <v>1996</v>
      </c>
      <c r="E360" s="1" t="s">
        <v>2009</v>
      </c>
      <c r="F360" s="1" t="s">
        <v>51</v>
      </c>
      <c r="G360" s="1">
        <v>291.0</v>
      </c>
      <c r="H360" s="1" t="s">
        <v>52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53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54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56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57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f t="shared" si="1"/>
        <v>291</v>
      </c>
      <c r="AM360" s="1">
        <v>291.0</v>
      </c>
      <c r="AN360" s="1">
        <v>303.0</v>
      </c>
      <c r="AO360" s="1">
        <v>291.0</v>
      </c>
      <c r="AP360" s="2">
        <v>11.0</v>
      </c>
      <c r="AQ360" s="1">
        <v>0.0</v>
      </c>
      <c r="AR360" s="1">
        <v>0.0</v>
      </c>
      <c r="AS360" s="1" t="s">
        <v>2010</v>
      </c>
      <c r="AT360" s="3" t="str">
        <f>HYPERLINK("https://icf.clappia.com/app/GMB253374/submission/KKO29960896/ICF247370-GMB253374-kl62bhcl6bb60000000/SIG-20250703_1157ba2ep.jpeg", "SIG-20250703_1157ba2ep.jpeg")</f>
        <v>SIG-20250703_1157ba2ep.jpeg</v>
      </c>
      <c r="AU360" s="1" t="s">
        <v>2011</v>
      </c>
      <c r="AV360" s="3" t="str">
        <f>HYPERLINK("https://icf.clappia.com/app/GMB253374/submission/KKO29960896/ICF247370-GMB253374-2k1mnm9k8l5800000000/SIG-20250703_1158e87g4.jpeg", "SIG-20250703_1158e87g4.jpeg")</f>
        <v>SIG-20250703_1158e87g4.jpeg</v>
      </c>
      <c r="AW360" s="1" t="s">
        <v>2012</v>
      </c>
      <c r="AX360" s="3" t="str">
        <f>HYPERLINK("https://icf.clappia.com/app/GMB253374/submission/KKO29960896/ICF247370-GMB253374-59n739d4njko00000000/SIG-20250703_1159p6m91.jpeg", "SIG-20250703_1159p6m91.jpeg")</f>
        <v>SIG-20250703_1159p6m91.jpeg</v>
      </c>
      <c r="AY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2013</v>
      </c>
      <c r="B361" s="2" t="s">
        <v>47</v>
      </c>
      <c r="C361" s="1" t="s">
        <v>2014</v>
      </c>
      <c r="D361" s="1" t="s">
        <v>2014</v>
      </c>
      <c r="E361" s="1" t="s">
        <v>2015</v>
      </c>
      <c r="F361" s="1" t="s">
        <v>51</v>
      </c>
      <c r="G361" s="1">
        <v>250.0</v>
      </c>
      <c r="H361" s="1" t="s">
        <v>52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53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54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56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57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f t="shared" si="1"/>
        <v>247</v>
      </c>
      <c r="AM361" s="1">
        <v>250.0</v>
      </c>
      <c r="AN361" s="1">
        <v>262.0</v>
      </c>
      <c r="AO361" s="1">
        <v>235.0</v>
      </c>
      <c r="AP361" s="2">
        <v>11.0</v>
      </c>
      <c r="AQ361" s="1">
        <v>15.0</v>
      </c>
      <c r="AR361" s="1">
        <v>15.0</v>
      </c>
      <c r="AS361" s="1" t="s">
        <v>2016</v>
      </c>
      <c r="AT361" s="3" t="str">
        <f>HYPERLINK("https://icf.clappia.com/app/GMB253374/submission/JRF00241018/ICF247370-GMB253374-21k3afkkpm41m0000000/SIG-20250703_1159mlpk3.jpeg", "SIG-20250703_1159mlpk3.jpeg")</f>
        <v>SIG-20250703_1159mlpk3.jpeg</v>
      </c>
      <c r="AU361" s="1" t="s">
        <v>2017</v>
      </c>
      <c r="AV361" s="3" t="str">
        <f>HYPERLINK("https://icf.clappia.com/app/GMB253374/submission/JRF00241018/ICF247370-GMB253374-43i747f2ak9400000000/SIG-20250703_1200982d2.jpeg", "SIG-20250703_1200982d2.jpeg")</f>
        <v>SIG-20250703_1200982d2.jpeg</v>
      </c>
      <c r="AW361" s="1" t="s">
        <v>2018</v>
      </c>
      <c r="AX361" s="3" t="str">
        <f>HYPERLINK("https://icf.clappia.com/app/GMB253374/submission/JRF00241018/ICF247370-GMB253374-16fmb02nj69fm0000000/SIG-20250703_1202c6a4i.jpeg", "SIG-20250703_1202c6a4i.jpeg")</f>
        <v>SIG-20250703_1202c6a4i.jpeg</v>
      </c>
      <c r="AY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2019</v>
      </c>
      <c r="B362" s="2" t="s">
        <v>47</v>
      </c>
      <c r="C362" s="1" t="s">
        <v>2020</v>
      </c>
      <c r="D362" s="1" t="s">
        <v>2021</v>
      </c>
      <c r="E362" s="1" t="s">
        <v>2022</v>
      </c>
      <c r="F362" s="1" t="s">
        <v>72</v>
      </c>
      <c r="G362" s="1">
        <v>397.0</v>
      </c>
      <c r="H362" s="1" t="s">
        <v>52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53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54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56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57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f t="shared" si="1"/>
        <v>397</v>
      </c>
      <c r="AM362" s="1">
        <v>397.0</v>
      </c>
      <c r="AN362" s="1">
        <v>409.0</v>
      </c>
      <c r="AO362" s="1">
        <v>397.0</v>
      </c>
      <c r="AP362" s="2">
        <v>11.0</v>
      </c>
      <c r="AQ362" s="1">
        <v>0.0</v>
      </c>
      <c r="AR362" s="1">
        <v>0.0</v>
      </c>
      <c r="AS362" s="1" t="s">
        <v>2023</v>
      </c>
      <c r="AT362" s="3" t="str">
        <f>HYPERLINK("https://icf.clappia.com/app/GMB253374/submission/JGB93655570/ICF247370-GMB253374-2i3cbl5damk000000000/SIG-20250703_11496ji0g.jpeg", "SIG-20250703_11496ji0g.jpeg")</f>
        <v>SIG-20250703_11496ji0g.jpeg</v>
      </c>
      <c r="AU362" s="1" t="s">
        <v>2024</v>
      </c>
      <c r="AV362" s="3" t="str">
        <f>HYPERLINK("https://icf.clappia.com/app/GMB253374/submission/JGB93655570/ICF247370-GMB253374-1f0nkogjcfomi0000000/SIG-20250703_1150ke3kb.jpeg", "SIG-20250703_1150ke3kb.jpeg")</f>
        <v>SIG-20250703_1150ke3kb.jpeg</v>
      </c>
      <c r="AW362" s="1" t="s">
        <v>2025</v>
      </c>
      <c r="AX362" s="3" t="str">
        <f>HYPERLINK("https://icf.clappia.com/app/GMB253374/submission/JGB93655570/ICF247370-GMB253374-931lagbd0c4g0000000/SIG-20250703_1150p8n41.jpeg", "SIG-20250703_1150p8n41.jpeg")</f>
        <v>SIG-20250703_1150p8n41.jpeg</v>
      </c>
      <c r="AY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2026</v>
      </c>
      <c r="B363" s="2" t="s">
        <v>47</v>
      </c>
      <c r="C363" s="1" t="s">
        <v>2027</v>
      </c>
      <c r="D363" s="1" t="s">
        <v>2027</v>
      </c>
      <c r="E363" s="1" t="s">
        <v>2028</v>
      </c>
      <c r="F363" s="1" t="s">
        <v>72</v>
      </c>
      <c r="G363" s="1">
        <v>300.0</v>
      </c>
      <c r="H363" s="1" t="s">
        <v>52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53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54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56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57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f t="shared" si="1"/>
        <v>315</v>
      </c>
      <c r="AM363" s="1">
        <v>300.0</v>
      </c>
      <c r="AN363" s="1">
        <v>312.0</v>
      </c>
      <c r="AO363" s="1">
        <v>300.0</v>
      </c>
      <c r="AP363" s="2">
        <v>11.0</v>
      </c>
      <c r="AQ363" s="1">
        <v>0.0</v>
      </c>
      <c r="AR363" s="1">
        <v>0.0</v>
      </c>
      <c r="AS363" s="1" t="s">
        <v>2029</v>
      </c>
      <c r="AT363" s="3" t="str">
        <f>HYPERLINK("https://icf.clappia.com/app/GMB253374/submission/SAN35324048/ICF247370-GMB253374-11ijd5bcnfe8g0000000/SIG-20250703_11533cp08.jpeg", "SIG-20250703_11533cp08.jpeg")</f>
        <v>SIG-20250703_11533cp08.jpeg</v>
      </c>
      <c r="AU363" s="1" t="s">
        <v>1222</v>
      </c>
      <c r="AV363" s="3" t="str">
        <f>HYPERLINK("https://icf.clappia.com/app/GMB253374/submission/SAN35324048/ICF247370-GMB253374-5nk86fkg2gmg00000000/SIG-20250703_11537pn06.jpeg", "SIG-20250703_11537pn06.jpeg")</f>
        <v>SIG-20250703_11537pn06.jpeg</v>
      </c>
      <c r="AW363" s="1" t="s">
        <v>1223</v>
      </c>
      <c r="AX363" s="3" t="str">
        <f>HYPERLINK("https://icf.clappia.com/app/GMB253374/submission/SAN35324048/ICF247370-GMB253374-2jh32c0a59ia00000000/SIG-20250703_115416nege.jpeg", "SIG-20250703_115416nege.jpeg")</f>
        <v>SIG-20250703_115416nege.jpeg</v>
      </c>
      <c r="AY363" s="3" t="str">
        <f>HYPERLINK("https://www.google.com/maps/place/7.969385%2C-11.7223667", "7.969385,-11.7223667")</f>
        <v>7.969385,-11.7223667</v>
      </c>
    </row>
    <row r="364" ht="15.75" customHeight="1">
      <c r="A364" s="1" t="s">
        <v>2030</v>
      </c>
      <c r="B364" s="2" t="s">
        <v>47</v>
      </c>
      <c r="C364" s="1" t="s">
        <v>2031</v>
      </c>
      <c r="D364" s="1" t="s">
        <v>2031</v>
      </c>
      <c r="E364" s="1" t="s">
        <v>2032</v>
      </c>
      <c r="F364" s="1" t="s">
        <v>51</v>
      </c>
      <c r="G364" s="1">
        <v>99.0</v>
      </c>
      <c r="H364" s="1" t="s">
        <v>52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 s="1" t="s">
        <v>53</v>
      </c>
      <c r="O364" s="1" t="s">
        <v>55</v>
      </c>
      <c r="P364" s="1" t="s">
        <v>55</v>
      </c>
      <c r="Q364" s="1" t="s">
        <v>55</v>
      </c>
      <c r="R364" s="1" t="s">
        <v>55</v>
      </c>
      <c r="S364" s="1" t="s">
        <v>55</v>
      </c>
      <c r="T364" s="1" t="s">
        <v>54</v>
      </c>
      <c r="U364" s="1" t="s">
        <v>55</v>
      </c>
      <c r="V364" s="1" t="s">
        <v>55</v>
      </c>
      <c r="W364" s="1" t="s">
        <v>55</v>
      </c>
      <c r="X364" s="1" t="s">
        <v>55</v>
      </c>
      <c r="Y364" s="1" t="s">
        <v>55</v>
      </c>
      <c r="Z364" s="1" t="s">
        <v>56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57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f t="shared" si="1"/>
        <v>99</v>
      </c>
      <c r="AM364" s="1">
        <v>99.0</v>
      </c>
      <c r="AN364" s="1">
        <v>111.0</v>
      </c>
      <c r="AO364" s="1">
        <v>99.0</v>
      </c>
      <c r="AP364" s="2">
        <v>11.0</v>
      </c>
      <c r="AQ364" s="1">
        <v>0.0</v>
      </c>
      <c r="AR364" s="1">
        <v>0.0</v>
      </c>
      <c r="AS364" s="1" t="s">
        <v>2033</v>
      </c>
      <c r="AT364" s="3" t="str">
        <f>HYPERLINK("https://icf.clappia.com/app/GMB253374/submission/DTQ29077835/ICF247370-GMB253374-6273c9fk8d6800000000/SIG-20250703_1153mipgb.jpeg", "SIG-20250703_1153mipgb.jpeg")</f>
        <v>SIG-20250703_1153mipgb.jpeg</v>
      </c>
      <c r="AU364" s="1" t="s">
        <v>2034</v>
      </c>
      <c r="AV364" s="3" t="str">
        <f>HYPERLINK("https://icf.clappia.com/app/GMB253374/submission/DTQ29077835/ICF247370-GMB253374-3co019halko000000000/SIG-20250703_1154hamf9.jpeg", "SIG-20250703_1154hamf9.jpeg")</f>
        <v>SIG-20250703_1154hamf9.jpeg</v>
      </c>
      <c r="AW364" s="1" t="s">
        <v>2035</v>
      </c>
      <c r="AX364" s="3" t="str">
        <f>HYPERLINK("https://icf.clappia.com/app/GMB253374/submission/DTQ29077835/ICF247370-GMB253374-49bpffigcjpa00000000/SIG-20250703_1154d9kd8.jpeg", "SIG-20250703_1154d9kd8.jpeg")</f>
        <v>SIG-20250703_1154d9kd8.jpeg</v>
      </c>
      <c r="AY364" s="3" t="str">
        <f>HYPERLINK("https://www.google.com/maps/place/7.976625%2C-11.595465", "7.976625,-11.595465")</f>
        <v>7.976625,-11.595465</v>
      </c>
    </row>
    <row r="365" ht="15.75" customHeight="1">
      <c r="A365" s="1" t="s">
        <v>2036</v>
      </c>
      <c r="B365" s="2" t="s">
        <v>47</v>
      </c>
      <c r="C365" s="1" t="s">
        <v>2037</v>
      </c>
      <c r="D365" s="1" t="s">
        <v>2037</v>
      </c>
      <c r="E365" s="1" t="s">
        <v>2038</v>
      </c>
      <c r="F365" s="1" t="s">
        <v>51</v>
      </c>
      <c r="G365" s="1">
        <v>200.0</v>
      </c>
      <c r="H365" s="1" t="s">
        <v>52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53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54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56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57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f t="shared" si="1"/>
        <v>150</v>
      </c>
      <c r="AM365" s="1">
        <v>200.0</v>
      </c>
      <c r="AN365" s="1">
        <v>212.0</v>
      </c>
      <c r="AO365" s="1">
        <v>150.0</v>
      </c>
      <c r="AP365" s="2">
        <v>11.0</v>
      </c>
      <c r="AQ365" s="1">
        <v>50.0</v>
      </c>
      <c r="AR365" s="1">
        <v>50.0</v>
      </c>
      <c r="AS365" s="1" t="s">
        <v>1013</v>
      </c>
      <c r="AT365" s="3" t="str">
        <f>HYPERLINK("https://icf.clappia.com/app/GMB253374/submission/TWN28613379/ICF247370-GMB253374-1a8ajb43326oo0000000/SIG-20250703_115037bnp.jpeg", "SIG-20250703_115037bnp.jpeg")</f>
        <v>SIG-20250703_115037bnp.jpeg</v>
      </c>
      <c r="AU365" s="1" t="s">
        <v>1014</v>
      </c>
      <c r="AV365" s="3" t="str">
        <f>HYPERLINK("https://icf.clappia.com/app/GMB253374/submission/TWN28613379/ICF247370-GMB253374-ojhh02kf3hlo0000000/SIG-20250703_1151bmbkl.jpeg", "SIG-20250703_1151bmbkl.jpeg")</f>
        <v>SIG-20250703_1151bmbkl.jpeg</v>
      </c>
      <c r="AW365" s="1" t="s">
        <v>1015</v>
      </c>
      <c r="AX365" s="3" t="str">
        <f>HYPERLINK("https://icf.clappia.com/app/GMB253374/submission/TWN28613379/ICF247370-GMB253374-1335ac997294k0000000/SIG-20250703_1152h95fk.jpeg", "SIG-20250703_1152h95fk.jpeg")</f>
        <v>SIG-20250703_1152h95fk.jpeg</v>
      </c>
      <c r="AY365" s="3" t="str">
        <f>HYPERLINK("https://www.google.com/maps/place/7.987375%2C-11.7336283", "7.987375,-11.7336283")</f>
        <v>7.987375,-11.7336283</v>
      </c>
    </row>
    <row r="366" ht="15.75" customHeight="1">
      <c r="A366" s="1" t="s">
        <v>2039</v>
      </c>
      <c r="B366" s="2" t="s">
        <v>47</v>
      </c>
      <c r="C366" s="1" t="s">
        <v>910</v>
      </c>
      <c r="D366" s="1" t="s">
        <v>910</v>
      </c>
      <c r="E366" s="2" t="s">
        <v>2040</v>
      </c>
      <c r="F366" s="1" t="s">
        <v>51</v>
      </c>
      <c r="G366" s="1">
        <v>300.0</v>
      </c>
      <c r="H366" s="1" t="s">
        <v>52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53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54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56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57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f t="shared" si="1"/>
        <v>296</v>
      </c>
      <c r="AM366" s="1">
        <v>300.0</v>
      </c>
      <c r="AN366" s="1">
        <v>312.0</v>
      </c>
      <c r="AO366" s="1">
        <v>296.0</v>
      </c>
      <c r="AP366" s="2">
        <v>11.0</v>
      </c>
      <c r="AQ366" s="1">
        <v>4.0</v>
      </c>
      <c r="AR366" s="1">
        <v>4.0</v>
      </c>
      <c r="AS366" s="1" t="s">
        <v>2041</v>
      </c>
      <c r="AT366" s="3" t="str">
        <f>HYPERLINK("https://icf.clappia.com/app/GMB253374/submission/GXR72735746/ICF247370-GMB253374-56kif19dhhao00000000/SIG-20250703_0942g3cdi.jpeg", "SIG-20250703_0942g3cdi.jpeg")</f>
        <v>SIG-20250703_0942g3cdi.jpeg</v>
      </c>
      <c r="AU366" s="1" t="s">
        <v>1309</v>
      </c>
      <c r="AV366" s="3" t="str">
        <f>HYPERLINK("https://icf.clappia.com/app/GMB253374/submission/GXR72735746/ICF247370-GMB253374-13ikhk1cm637e0000000/SIG-20250703_09439g9mp.jpeg", "SIG-20250703_09439g9mp.jpeg")</f>
        <v>SIG-20250703_09439g9mp.jpeg</v>
      </c>
      <c r="AW366" s="1" t="s">
        <v>1309</v>
      </c>
      <c r="AX366" s="3" t="str">
        <f>HYPERLINK("https://icf.clappia.com/app/GMB253374/submission/GXR72735746/ICF247370-GMB253374-9ge436dg6c4o0000000/SIG-20250703_0943123mp5.jpeg", "SIG-20250703_0943123mp5.jpeg")</f>
        <v>SIG-20250703_0943123mp5.jpeg</v>
      </c>
      <c r="AY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2042</v>
      </c>
      <c r="B367" s="2" t="s">
        <v>47</v>
      </c>
      <c r="C367" s="1" t="s">
        <v>910</v>
      </c>
      <c r="D367" s="1" t="s">
        <v>910</v>
      </c>
      <c r="E367" s="1" t="s">
        <v>2043</v>
      </c>
      <c r="F367" s="1" t="s">
        <v>51</v>
      </c>
      <c r="G367" s="1">
        <v>214.0</v>
      </c>
      <c r="H367" s="1" t="s">
        <v>52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53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54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56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57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f t="shared" si="1"/>
        <v>214</v>
      </c>
      <c r="AM367" s="1">
        <v>214.0</v>
      </c>
      <c r="AN367" s="1">
        <v>226.0</v>
      </c>
      <c r="AO367" s="1">
        <v>214.0</v>
      </c>
      <c r="AP367" s="2">
        <v>11.0</v>
      </c>
      <c r="AQ367" s="1">
        <v>0.0</v>
      </c>
      <c r="AR367" s="1">
        <v>0.0</v>
      </c>
      <c r="AS367" s="1" t="s">
        <v>2044</v>
      </c>
      <c r="AT367" s="3" t="str">
        <f>HYPERLINK("https://icf.clappia.com/app/GMB253374/submission/ZML62427325/ICF247370-GMB253374-6421n22ee10400000000/SIG-20250703_115199pgg.jpeg", "SIG-20250703_115199pgg.jpeg")</f>
        <v>SIG-20250703_115199pgg.jpeg</v>
      </c>
      <c r="AU367" s="1" t="s">
        <v>2045</v>
      </c>
      <c r="AV367" s="3" t="str">
        <f>HYPERLINK("https://icf.clappia.com/app/GMB253374/submission/ZML62427325/ICF247370-GMB253374-pmf27dmbf4ec0000000/SIG-20250703_115112h7cn.jpeg", "SIG-20250703_115112h7cn.jpeg")</f>
        <v>SIG-20250703_115112h7cn.jpeg</v>
      </c>
      <c r="AW367" s="1" t="s">
        <v>2046</v>
      </c>
      <c r="AX367" s="3" t="str">
        <f>HYPERLINK("https://icf.clappia.com/app/GMB253374/submission/ZML62427325/ICF247370-GMB253374-494kdojj2ane00000000/SIG-20250703_1152m932n.jpeg", "SIG-20250703_1152m932n.jpeg")</f>
        <v>SIG-20250703_1152m932n.jpeg</v>
      </c>
      <c r="AY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2047</v>
      </c>
      <c r="B368" s="2" t="s">
        <v>47</v>
      </c>
      <c r="C368" s="1" t="s">
        <v>2048</v>
      </c>
      <c r="D368" s="1" t="s">
        <v>2048</v>
      </c>
      <c r="E368" s="1" t="s">
        <v>2049</v>
      </c>
      <c r="F368" s="1" t="s">
        <v>51</v>
      </c>
      <c r="G368" s="1">
        <v>198.0</v>
      </c>
      <c r="H368" s="1" t="s">
        <v>52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53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54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56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57</v>
      </c>
      <c r="AG368" s="1" t="s">
        <v>55</v>
      </c>
      <c r="AH368" s="1" t="s">
        <v>55</v>
      </c>
      <c r="AI368" s="1" t="s">
        <v>55</v>
      </c>
      <c r="AJ368" s="1" t="s">
        <v>55</v>
      </c>
      <c r="AK368" s="1" t="s">
        <v>55</v>
      </c>
      <c r="AL368" s="1">
        <f t="shared" si="1"/>
        <v>50</v>
      </c>
      <c r="AM368" s="1">
        <v>198.0</v>
      </c>
      <c r="AN368" s="1">
        <v>210.0</v>
      </c>
      <c r="AO368" s="1">
        <v>42.0</v>
      </c>
      <c r="AP368" s="2">
        <v>11.0</v>
      </c>
      <c r="AQ368" s="1">
        <v>156.0</v>
      </c>
      <c r="AR368" s="1">
        <v>156.0</v>
      </c>
      <c r="AS368" s="1" t="s">
        <v>2050</v>
      </c>
      <c r="AT368" s="3" t="str">
        <f>HYPERLINK("https://icf.clappia.com/app/GMB253374/submission/PUX54238475/ICF247370-GMB253374-epdn6e5gk33e0000000/SIG-20250703_1146fol2m.jpeg", "SIG-20250703_1146fol2m.jpeg")</f>
        <v>SIG-20250703_1146fol2m.jpeg</v>
      </c>
      <c r="AU368" s="1" t="s">
        <v>2051</v>
      </c>
      <c r="AV368" s="3" t="str">
        <f>HYPERLINK("https://icf.clappia.com/app/GMB253374/submission/PUX54238475/ICF247370-GMB253374-3f0ehgdnci0m00000000/SIG-20250703_1144nc2b3.jpeg", "SIG-20250703_1144nc2b3.jpeg")</f>
        <v>SIG-20250703_1144nc2b3.jpeg</v>
      </c>
      <c r="AW368" s="1" t="s">
        <v>2052</v>
      </c>
      <c r="AX368" s="3" t="str">
        <f>HYPERLINK("https://icf.clappia.com/app/GMB253374/submission/PUX54238475/ICF247370-GMB253374-6a7p5pngmpi600000000/SIG-20250703_11451a6fee.jpeg", "SIG-20250703_11451a6fee.jpeg")</f>
        <v>SIG-20250703_11451a6fee.jpeg</v>
      </c>
      <c r="AY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2053</v>
      </c>
      <c r="B369" s="2" t="s">
        <v>47</v>
      </c>
      <c r="C369" s="1" t="s">
        <v>2054</v>
      </c>
      <c r="D369" s="1" t="s">
        <v>2054</v>
      </c>
      <c r="E369" s="1" t="s">
        <v>2055</v>
      </c>
      <c r="F369" s="1" t="s">
        <v>51</v>
      </c>
      <c r="G369" s="1">
        <v>245.0</v>
      </c>
      <c r="H369" s="1" t="s">
        <v>52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53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54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56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57</v>
      </c>
      <c r="AG369" s="1">
        <v>45.0</v>
      </c>
      <c r="AH369" s="1">
        <v>20.0</v>
      </c>
      <c r="AI369" s="1" t="s">
        <v>55</v>
      </c>
      <c r="AJ369" s="1">
        <v>25.0</v>
      </c>
      <c r="AK369" s="1" t="s">
        <v>55</v>
      </c>
      <c r="AL369" s="1">
        <f t="shared" si="1"/>
        <v>345</v>
      </c>
      <c r="AM369" s="1">
        <v>245.0</v>
      </c>
      <c r="AN369" s="1">
        <v>257.0</v>
      </c>
      <c r="AO369" s="1">
        <v>245.0</v>
      </c>
      <c r="AP369" s="2">
        <v>11.0</v>
      </c>
      <c r="AQ369" s="1">
        <v>0.0</v>
      </c>
      <c r="AR369" s="1">
        <v>0.0</v>
      </c>
      <c r="AS369" s="1" t="s">
        <v>900</v>
      </c>
      <c r="AT369" s="3" t="str">
        <f>HYPERLINK("https://icf.clappia.com/app/GMB253374/submission/KPT23370445/ICF247370-GMB253374-2f592no47l8000000000/SIG-20250703_0943o058.jpeg", "SIG-20250703_0943o058.jpeg")</f>
        <v>SIG-20250703_0943o058.jpeg</v>
      </c>
      <c r="AU369" s="1" t="s">
        <v>901</v>
      </c>
      <c r="AV369" s="3" t="str">
        <f>HYPERLINK("https://icf.clappia.com/app/GMB253374/submission/KPT23370445/ICF247370-GMB253374-417fg6898mmg00000000/SIG-20250703_0943ma1f2.jpeg", "SIG-20250703_0943ma1f2.jpeg")</f>
        <v>SIG-20250703_0943ma1f2.jpeg</v>
      </c>
      <c r="AW369" s="1" t="s">
        <v>902</v>
      </c>
      <c r="AX369" s="3" t="str">
        <f>HYPERLINK("https://icf.clappia.com/app/GMB253374/submission/KPT23370445/ICF247370-GMB253374-4410kj6g1nki00000000/SIG-20250703_0943o2l62.jpeg", "SIG-20250703_0943o2l62.jpeg")</f>
        <v>SIG-20250703_0943o2l62.jpeg</v>
      </c>
      <c r="AY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2056</v>
      </c>
      <c r="B370" s="2" t="s">
        <v>47</v>
      </c>
      <c r="C370" s="1" t="s">
        <v>2057</v>
      </c>
      <c r="D370" s="1" t="s">
        <v>2057</v>
      </c>
      <c r="E370" s="1" t="s">
        <v>2058</v>
      </c>
      <c r="F370" s="1" t="s">
        <v>72</v>
      </c>
      <c r="G370" s="1">
        <v>300.0</v>
      </c>
      <c r="H370" s="1" t="s">
        <v>52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53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54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56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57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f t="shared" si="1"/>
        <v>300</v>
      </c>
      <c r="AM370" s="1">
        <v>300.0</v>
      </c>
      <c r="AN370" s="1">
        <v>312.0</v>
      </c>
      <c r="AO370" s="1">
        <v>269.0</v>
      </c>
      <c r="AP370" s="2">
        <v>11.0</v>
      </c>
      <c r="AQ370" s="1">
        <v>31.0</v>
      </c>
      <c r="AR370" s="1">
        <v>31.0</v>
      </c>
      <c r="AS370" s="1" t="s">
        <v>2059</v>
      </c>
      <c r="AT370" s="3" t="str">
        <f>HYPERLINK("https://icf.clappia.com/app/GMB253374/submission/NDJ37805216/ICF247370-GMB253374-5o1cmo01chhe00000000/SIG-20250703_1135k9j7e.jpeg", "SIG-20250703_1135k9j7e.jpeg")</f>
        <v>SIG-20250703_1135k9j7e.jpeg</v>
      </c>
      <c r="AU370" s="1" t="s">
        <v>2060</v>
      </c>
      <c r="AV370" s="3" t="str">
        <f>HYPERLINK("https://icf.clappia.com/app/GMB253374/submission/NDJ37805216/ICF247370-GMB253374-5b7gh429c9e800000000/SIG-20250703_113613iog3.jpeg", "SIG-20250703_113613iog3.jpeg")</f>
        <v>SIG-20250703_113613iog3.jpeg</v>
      </c>
      <c r="AW370" s="1" t="s">
        <v>2061</v>
      </c>
      <c r="AX370" s="3" t="str">
        <f>HYPERLINK("https://icf.clappia.com/app/GMB253374/submission/NDJ37805216/ICF247370-GMB253374-4l2ikkg6kai800000000/SIG-20250703_1142di47b.jpeg", "SIG-20250703_1142di47b.jpeg")</f>
        <v>SIG-20250703_1142di47b.jpeg</v>
      </c>
      <c r="AY370" s="3" t="str">
        <f>HYPERLINK("https://www.google.com/maps/place/7.963%2C-11.7587267", "7.963,-11.7587267")</f>
        <v>7.963,-11.7587267</v>
      </c>
    </row>
    <row r="371" ht="15.75" customHeight="1">
      <c r="A371" s="1" t="s">
        <v>2062</v>
      </c>
      <c r="B371" s="2" t="s">
        <v>47</v>
      </c>
      <c r="C371" s="1" t="s">
        <v>2057</v>
      </c>
      <c r="D371" s="1" t="s">
        <v>2057</v>
      </c>
      <c r="E371" s="1" t="s">
        <v>2063</v>
      </c>
      <c r="F371" s="1" t="s">
        <v>51</v>
      </c>
      <c r="G371" s="1">
        <v>100.0</v>
      </c>
      <c r="H371" s="1" t="s">
        <v>52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53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54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56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57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f t="shared" si="1"/>
        <v>152</v>
      </c>
      <c r="AM371" s="1">
        <v>100.0</v>
      </c>
      <c r="AN371" s="1">
        <v>112.0</v>
      </c>
      <c r="AO371" s="1">
        <v>99.0</v>
      </c>
      <c r="AP371" s="2">
        <v>11.0</v>
      </c>
      <c r="AQ371" s="1">
        <v>1.0</v>
      </c>
      <c r="AR371" s="1">
        <v>1.0</v>
      </c>
      <c r="AS371" s="1" t="s">
        <v>2064</v>
      </c>
      <c r="AT371" s="3" t="str">
        <f>HYPERLINK("https://icf.clappia.com/app/GMB253374/submission/QOR36752694/ICF247370-GMB253374-4bogjidolpao00000000/SIG-20250703_11371915af.jpeg", "SIG-20250703_11371915af.jpeg")</f>
        <v>SIG-20250703_11371915af.jpeg</v>
      </c>
      <c r="AU371" s="1" t="s">
        <v>2065</v>
      </c>
      <c r="AV371" s="3" t="str">
        <f>HYPERLINK("https://icf.clappia.com/app/GMB253374/submission/QOR36752694/ICF247370-GMB253374-6b6g9pobigkk00000000/SIG-20250703_1137102cb.jpeg", "SIG-20250703_1137102cb.jpeg")</f>
        <v>SIG-20250703_1137102cb.jpeg</v>
      </c>
      <c r="AW371" s="1" t="s">
        <v>2066</v>
      </c>
      <c r="AX371" s="3" t="str">
        <f>HYPERLINK("https://icf.clappia.com/app/GMB253374/submission/QOR36752694/ICF247370-GMB253374-35g4pmabhh1c00000000/SIG-20250703_113817c6f2.jpeg", "SIG-20250703_113817c6f2.jpeg")</f>
        <v>SIG-20250703_113817c6f2.jpeg</v>
      </c>
      <c r="AY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2067</v>
      </c>
      <c r="B372" s="2" t="s">
        <v>47</v>
      </c>
      <c r="C372" s="1" t="s">
        <v>2068</v>
      </c>
      <c r="D372" s="1" t="s">
        <v>2068</v>
      </c>
      <c r="E372" s="1" t="s">
        <v>2069</v>
      </c>
      <c r="F372" s="1" t="s">
        <v>51</v>
      </c>
      <c r="G372" s="1">
        <v>200.0</v>
      </c>
      <c r="H372" s="1" t="s">
        <v>52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53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54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56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57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f t="shared" si="1"/>
        <v>188</v>
      </c>
      <c r="AM372" s="1">
        <v>200.0</v>
      </c>
      <c r="AN372" s="1">
        <v>212.0</v>
      </c>
      <c r="AO372" s="1">
        <v>175.0</v>
      </c>
      <c r="AP372" s="2">
        <v>11.0</v>
      </c>
      <c r="AQ372" s="1">
        <v>25.0</v>
      </c>
      <c r="AR372" s="1">
        <v>25.0</v>
      </c>
      <c r="AS372" s="1" t="s">
        <v>2070</v>
      </c>
      <c r="AT372" s="3" t="str">
        <f>HYPERLINK("https://icf.clappia.com/app/GMB253374/submission/JRB66802557/ICF247370-GMB253374-32kbf3k2e35m00000000/SIG-20250703_1136k501j.jpeg", "SIG-20250703_1136k501j.jpeg")</f>
        <v>SIG-20250703_1136k501j.jpeg</v>
      </c>
      <c r="AU372" s="1" t="s">
        <v>2071</v>
      </c>
      <c r="AV372" s="3" t="str">
        <f>HYPERLINK("https://icf.clappia.com/app/GMB253374/submission/JRB66802557/ICF247370-GMB253374-3e0c535l13ag00000000/SIG-20250703_1137pee1g.jpeg", "SIG-20250703_1137pee1g.jpeg")</f>
        <v>SIG-20250703_1137pee1g.jpeg</v>
      </c>
      <c r="AW372" s="1" t="s">
        <v>2072</v>
      </c>
      <c r="AX372" s="3" t="str">
        <f>HYPERLINK("https://icf.clappia.com/app/GMB253374/submission/JRB66802557/ICF247370-GMB253374-2c1o0379biie00000000/SIG-20250703_1137bh8a9.jpeg", "SIG-20250703_1137bh8a9.jpeg")</f>
        <v>SIG-20250703_1137bh8a9.jpeg</v>
      </c>
      <c r="AY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2073</v>
      </c>
      <c r="B373" s="2" t="s">
        <v>47</v>
      </c>
      <c r="C373" s="1" t="s">
        <v>2074</v>
      </c>
      <c r="D373" s="1" t="s">
        <v>2074</v>
      </c>
      <c r="E373" s="1" t="s">
        <v>2075</v>
      </c>
      <c r="F373" s="1" t="s">
        <v>51</v>
      </c>
      <c r="G373" s="1">
        <v>225.0</v>
      </c>
      <c r="H373" s="1" t="s">
        <v>52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53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54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56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57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f t="shared" si="1"/>
        <v>311</v>
      </c>
      <c r="AM373" s="1">
        <v>225.0</v>
      </c>
      <c r="AN373" s="1">
        <v>237.0</v>
      </c>
      <c r="AO373" s="1">
        <v>217.0</v>
      </c>
      <c r="AP373" s="2">
        <v>11.0</v>
      </c>
      <c r="AQ373" s="1">
        <v>8.0</v>
      </c>
      <c r="AR373" s="1">
        <v>8.0</v>
      </c>
      <c r="AS373" s="1" t="s">
        <v>2076</v>
      </c>
      <c r="AT373" s="3" t="str">
        <f>HYPERLINK("https://icf.clappia.com/app/GMB253374/submission/COB25015984/ICF247370-GMB253374-67an7j79n00800000000/SIG-20250703_1124m1nhj.jpeg", "SIG-20250703_1124m1nhj.jpeg")</f>
        <v>SIG-20250703_1124m1nhj.jpeg</v>
      </c>
      <c r="AU373" s="1" t="s">
        <v>2077</v>
      </c>
      <c r="AV373" s="3" t="str">
        <f>HYPERLINK("https://icf.clappia.com/app/GMB253374/submission/COB25015984/ICF247370-GMB253374-41d5i25enne400000000/SIG-20250703_11251755fi.jpeg", "SIG-20250703_11251755fi.jpeg")</f>
        <v>SIG-20250703_11251755fi.jpeg</v>
      </c>
      <c r="AW373" s="1" t="s">
        <v>2078</v>
      </c>
      <c r="AX373" s="3" t="str">
        <f>HYPERLINK("https://icf.clappia.com/app/GMB253374/submission/COB25015984/ICF247370-GMB253374-69006ekp21ae00000000/SIG-20250703_1125cbi00.jpeg", "SIG-20250703_1125cbi00.jpeg")</f>
        <v>SIG-20250703_1125cbi00.jpeg</v>
      </c>
      <c r="AY373" s="3" t="str">
        <f>HYPERLINK("https://www.google.com/maps/place/7.9521272%2C-11.737206", "7.9521272,-11.737206")</f>
        <v>7.9521272,-11.737206</v>
      </c>
    </row>
    <row r="374" ht="15.75" customHeight="1">
      <c r="A374" s="1" t="s">
        <v>2079</v>
      </c>
      <c r="B374" s="2" t="s">
        <v>47</v>
      </c>
      <c r="C374" s="1" t="s">
        <v>2080</v>
      </c>
      <c r="D374" s="1" t="s">
        <v>2080</v>
      </c>
      <c r="E374" s="2" t="s">
        <v>2081</v>
      </c>
      <c r="F374" s="1" t="s">
        <v>51</v>
      </c>
      <c r="G374" s="1">
        <v>240.0</v>
      </c>
      <c r="H374" s="1" t="s">
        <v>52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53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54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56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57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f t="shared" si="1"/>
        <v>234</v>
      </c>
      <c r="AM374" s="1">
        <v>240.0</v>
      </c>
      <c r="AN374" s="1">
        <v>252.0</v>
      </c>
      <c r="AO374" s="1">
        <v>218.0</v>
      </c>
      <c r="AP374" s="2">
        <v>11.0</v>
      </c>
      <c r="AQ374" s="1">
        <v>22.0</v>
      </c>
      <c r="AR374" s="1">
        <v>22.0</v>
      </c>
      <c r="AS374" s="1" t="s">
        <v>2082</v>
      </c>
      <c r="AT374" s="3" t="str">
        <f>HYPERLINK("https://icf.clappia.com/app/GMB253374/submission/TFF81791923/ICF247370-GMB253374-44apb130630e00000000/SIG-20250703_113213a0ao.jpeg", "SIG-20250703_113213a0ao.jpeg")</f>
        <v>SIG-20250703_113213a0ao.jpeg</v>
      </c>
      <c r="AU374" s="1" t="s">
        <v>2083</v>
      </c>
      <c r="AV374" s="3" t="str">
        <f>HYPERLINK("https://icf.clappia.com/app/GMB253374/submission/TFF81791923/ICF247370-GMB253374-4b8kg60hi7ao00000000/SIG-20250703_1132kj6gl.jpeg", "SIG-20250703_1132kj6gl.jpeg")</f>
        <v>SIG-20250703_1132kj6gl.jpeg</v>
      </c>
      <c r="AW374" s="1" t="s">
        <v>2084</v>
      </c>
      <c r="AX374" s="3" t="str">
        <f>HYPERLINK("https://icf.clappia.com/app/GMB253374/submission/TFF81791923/ICF247370-GMB253374-1fblf9n1fi4hm0000000/SIG-20250703_1133hcg64.jpeg", "SIG-20250703_1133hcg64.jpeg")</f>
        <v>SIG-20250703_1133hcg64.jpeg</v>
      </c>
      <c r="AY374" s="3" t="str">
        <f>HYPERLINK("https://www.google.com/maps/place/8.8963466%2C-12.047742", "8.8963466,-12.047742")</f>
        <v>8.8963466,-12.047742</v>
      </c>
    </row>
    <row r="375" ht="15.75" customHeight="1">
      <c r="A375" s="1" t="s">
        <v>2085</v>
      </c>
      <c r="B375" s="2" t="s">
        <v>47</v>
      </c>
      <c r="C375" s="1" t="s">
        <v>2086</v>
      </c>
      <c r="D375" s="1" t="s">
        <v>2087</v>
      </c>
      <c r="E375" s="1" t="s">
        <v>2088</v>
      </c>
      <c r="F375" s="1" t="s">
        <v>51</v>
      </c>
      <c r="G375" s="1">
        <v>60.0</v>
      </c>
      <c r="H375" s="1" t="s">
        <v>52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53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54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56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57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f t="shared" si="1"/>
        <v>60</v>
      </c>
      <c r="AM375" s="1">
        <v>60.0</v>
      </c>
      <c r="AN375" s="1">
        <v>72.0</v>
      </c>
      <c r="AO375" s="1">
        <v>60.0</v>
      </c>
      <c r="AP375" s="2">
        <v>11.0</v>
      </c>
      <c r="AQ375" s="1">
        <v>0.0</v>
      </c>
      <c r="AR375" s="1">
        <v>0.0</v>
      </c>
      <c r="AS375" s="1" t="s">
        <v>2089</v>
      </c>
      <c r="AT375" s="3" t="str">
        <f>HYPERLINK("https://icf.clappia.com/app/GMB253374/submission/PAX31213955/ICF247370-GMB253374-28l2jnfm184ic000000/SIG-20250702_114114i98f.jpeg", "SIG-20250702_114114i98f.jpeg")</f>
        <v>SIG-20250702_114114i98f.jpeg</v>
      </c>
      <c r="AU375" s="1" t="s">
        <v>2090</v>
      </c>
      <c r="AV375" s="3" t="str">
        <f>HYPERLINK("https://icf.clappia.com/app/GMB253374/submission/PAX31213955/ICF247370-GMB253374-1i83h6dj267ki000000/SIG-20250702_114210j054.jpeg", "SIG-20250702_114210j054.jpeg")</f>
        <v>SIG-20250702_114210j054.jpeg</v>
      </c>
      <c r="AW375" s="1" t="s">
        <v>2091</v>
      </c>
      <c r="AX375" s="3" t="str">
        <f>HYPERLINK("https://icf.clappia.com/app/GMB253374/submission/PAX31213955/ICF247370-GMB253374-5o56b72iem3200000000/SIG-20250702_1142o5c0n.jpeg", "SIG-20250702_1142o5c0n.jpeg")</f>
        <v>SIG-20250702_1142o5c0n.jpeg</v>
      </c>
      <c r="AY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2092</v>
      </c>
      <c r="B376" s="2" t="s">
        <v>47</v>
      </c>
      <c r="C376" s="1" t="s">
        <v>329</v>
      </c>
      <c r="D376" s="1" t="s">
        <v>329</v>
      </c>
      <c r="E376" s="1" t="s">
        <v>2093</v>
      </c>
      <c r="F376" s="1" t="s">
        <v>51</v>
      </c>
      <c r="G376" s="1">
        <v>42.0</v>
      </c>
      <c r="H376" s="1" t="s">
        <v>52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53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54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56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57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f t="shared" si="1"/>
        <v>42</v>
      </c>
      <c r="AM376" s="1">
        <v>42.0</v>
      </c>
      <c r="AN376" s="1">
        <v>54.0</v>
      </c>
      <c r="AO376" s="1">
        <v>42.0</v>
      </c>
      <c r="AP376" s="2">
        <v>11.0</v>
      </c>
      <c r="AQ376" s="1">
        <v>0.0</v>
      </c>
      <c r="AR376" s="1">
        <v>0.0</v>
      </c>
      <c r="AS376" s="1" t="s">
        <v>2094</v>
      </c>
      <c r="AT376" s="3" t="str">
        <f>HYPERLINK("https://icf.clappia.com/app/GMB253374/submission/FIQ32583989/ICF247370-GMB253374-196d2bg60ad120000000/SIG-20250703_11246fnci.jpeg", "SIG-20250703_11246fnci.jpeg")</f>
        <v>SIG-20250703_11246fnci.jpeg</v>
      </c>
      <c r="AU376" s="1" t="s">
        <v>2095</v>
      </c>
      <c r="AV376" s="3" t="str">
        <f>HYPERLINK("https://icf.clappia.com/app/GMB253374/submission/FIQ32583989/ICF247370-GMB253374-588o8hj3ljh600000000/SIG-20250703_112516fihi.jpeg", "SIG-20250703_112516fihi.jpeg")</f>
        <v>SIG-20250703_112516fihi.jpeg</v>
      </c>
      <c r="AW376" s="1" t="s">
        <v>2096</v>
      </c>
      <c r="AX376" s="3" t="str">
        <f>HYPERLINK("https://icf.clappia.com/app/GMB253374/submission/FIQ32583989/ICF247370-GMB253374-4jl47hklnkk800000000/SIG-20250703_1126dm1e0.jpeg", "SIG-20250703_1126dm1e0.jpeg")</f>
        <v>SIG-20250703_1126dm1e0.jpeg</v>
      </c>
      <c r="AY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2097</v>
      </c>
      <c r="B377" s="2" t="s">
        <v>47</v>
      </c>
      <c r="C377" s="1" t="s">
        <v>2098</v>
      </c>
      <c r="D377" s="1" t="s">
        <v>2098</v>
      </c>
      <c r="E377" s="1" t="s">
        <v>2099</v>
      </c>
      <c r="F377" s="1" t="s">
        <v>51</v>
      </c>
      <c r="G377" s="1">
        <v>255.0</v>
      </c>
      <c r="H377" s="1" t="s">
        <v>52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53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54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56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57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f t="shared" si="1"/>
        <v>150</v>
      </c>
      <c r="AM377" s="1">
        <v>255.0</v>
      </c>
      <c r="AN377" s="1">
        <v>267.0</v>
      </c>
      <c r="AO377" s="1">
        <v>150.0</v>
      </c>
      <c r="AP377" s="2">
        <v>11.0</v>
      </c>
      <c r="AQ377" s="1">
        <v>105.0</v>
      </c>
      <c r="AR377" s="1">
        <v>105.0</v>
      </c>
      <c r="AS377" s="1" t="s">
        <v>2100</v>
      </c>
      <c r="AT377" s="3" t="str">
        <f>HYPERLINK("https://icf.clappia.com/app/GMB253374/submission/XCS84447354/ICF247370-GMB253374-2ddn9g8a5ihc00000000/SIG-20250702_1309akaj2.jpeg", "SIG-20250702_1309akaj2.jpeg")</f>
        <v>SIG-20250702_1309akaj2.jpeg</v>
      </c>
      <c r="AU377" s="1" t="s">
        <v>2101</v>
      </c>
      <c r="AV377" s="3" t="str">
        <f>HYPERLINK("https://icf.clappia.com/app/GMB253374/submission/XCS84447354/ICF247370-GMB253374-3dnk86724bpe00000000/SIG-20250702_1309coji.jpeg", "SIG-20250702_1309coji.jpeg")</f>
        <v>SIG-20250702_1309coji.jpeg</v>
      </c>
      <c r="AW377" s="1" t="s">
        <v>2102</v>
      </c>
      <c r="AX377" s="3" t="str">
        <f>HYPERLINK("https://icf.clappia.com/app/GMB253374/submission/XCS84447354/ICF247370-GMB253374-465lj3l0o2ko00000000/SIG-20250702_1309pphjb.jpeg", "SIG-20250702_1309pphjb.jpeg")</f>
        <v>SIG-20250702_1309pphjb.jpeg</v>
      </c>
      <c r="AY377" s="3" t="str">
        <f>HYPERLINK("https://www.google.com/maps/place/7.78502%2C-11.6631867", "7.78502,-11.6631867")</f>
        <v>7.78502,-11.6631867</v>
      </c>
    </row>
    <row r="378" ht="15.75" customHeight="1">
      <c r="A378" s="1" t="s">
        <v>2103</v>
      </c>
      <c r="B378" s="2" t="s">
        <v>47</v>
      </c>
      <c r="C378" s="1" t="s">
        <v>2104</v>
      </c>
      <c r="D378" s="1" t="s">
        <v>2104</v>
      </c>
      <c r="E378" s="1" t="s">
        <v>2105</v>
      </c>
      <c r="F378" s="1" t="s">
        <v>51</v>
      </c>
      <c r="G378" s="1">
        <v>400.0</v>
      </c>
      <c r="H378" s="1" t="s">
        <v>52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53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54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56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57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f t="shared" si="1"/>
        <v>400</v>
      </c>
      <c r="AM378" s="1">
        <v>400.0</v>
      </c>
      <c r="AN378" s="1">
        <v>412.0</v>
      </c>
      <c r="AO378" s="1">
        <v>400.0</v>
      </c>
      <c r="AP378" s="2">
        <v>11.0</v>
      </c>
      <c r="AQ378" s="1">
        <v>0.0</v>
      </c>
      <c r="AR378" s="1">
        <v>0.0</v>
      </c>
      <c r="AS378" s="1" t="s">
        <v>2106</v>
      </c>
      <c r="AT378" s="3" t="str">
        <f>HYPERLINK("https://icf.clappia.com/app/GMB253374/submission/SIJ79835663/ICF247370-GMB253374-57652obakec80000000/SIG-20250703_10186a1mc.jpeg", "SIG-20250703_10186a1mc.jpeg")</f>
        <v>SIG-20250703_10186a1mc.jpeg</v>
      </c>
      <c r="AU378" s="1" t="s">
        <v>2107</v>
      </c>
      <c r="AV378" s="3" t="str">
        <f>HYPERLINK("https://icf.clappia.com/app/GMB253374/submission/SIJ79835663/ICF247370-GMB253374-1h6469p2bn9ge0000000/SIG-20250703_1007egf29.jpeg", "SIG-20250703_1007egf29.jpeg")</f>
        <v>SIG-20250703_1007egf29.jpeg</v>
      </c>
      <c r="AW378" s="1" t="s">
        <v>1535</v>
      </c>
      <c r="AX378" s="3" t="str">
        <f>HYPERLINK("https://icf.clappia.com/app/GMB253374/submission/SIJ79835663/ICF247370-GMB253374-3mioeg5e2o1800000000/SIG-20250703_101847a12.jpeg", "SIG-20250703_101847a12.jpeg")</f>
        <v>SIG-20250703_101847a12.jpeg</v>
      </c>
      <c r="AY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2108</v>
      </c>
      <c r="B379" s="2" t="s">
        <v>47</v>
      </c>
      <c r="C379" s="1" t="s">
        <v>2109</v>
      </c>
      <c r="D379" s="1" t="s">
        <v>2109</v>
      </c>
      <c r="E379" s="1" t="s">
        <v>2110</v>
      </c>
      <c r="F379" s="1" t="s">
        <v>51</v>
      </c>
      <c r="G379" s="1">
        <v>350.0</v>
      </c>
      <c r="H379" s="1" t="s">
        <v>52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53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54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56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57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f t="shared" si="1"/>
        <v>341</v>
      </c>
      <c r="AM379" s="1">
        <v>350.0</v>
      </c>
      <c r="AN379" s="1">
        <v>362.0</v>
      </c>
      <c r="AO379" s="1">
        <v>331.0</v>
      </c>
      <c r="AP379" s="2">
        <v>11.0</v>
      </c>
      <c r="AQ379" s="1">
        <v>19.0</v>
      </c>
      <c r="AR379" s="1">
        <v>19.0</v>
      </c>
      <c r="AS379" s="1" t="s">
        <v>1661</v>
      </c>
      <c r="AT379" s="3" t="str">
        <f>HYPERLINK("https://icf.clappia.com/app/GMB253374/submission/XXR63815919/ICF247370-GMB253374-napi5lbb32fa0000000/SIG-20250703_105717cap5.jpeg", "SIG-20250703_105717cap5.jpeg")</f>
        <v>SIG-20250703_105717cap5.jpeg</v>
      </c>
      <c r="AU379" s="1" t="s">
        <v>1662</v>
      </c>
      <c r="AV379" s="3" t="str">
        <f>HYPERLINK("https://icf.clappia.com/app/GMB253374/submission/XXR63815919/ICF247370-GMB253374-50kb76fpbn2400000000/SIG-20250703_1058ig3m2.jpeg", "SIG-20250703_1058ig3m2.jpeg")</f>
        <v>SIG-20250703_1058ig3m2.jpeg</v>
      </c>
      <c r="AW379" s="1" t="s">
        <v>1663</v>
      </c>
      <c r="AX379" s="3" t="str">
        <f>HYPERLINK("https://icf.clappia.com/app/GMB253374/submission/XXR63815919/ICF247370-GMB253374-5ao3infd3ao200000000/SIG-20250703_111959deh.jpeg", "SIG-20250703_111959deh.jpeg")</f>
        <v>SIG-20250703_111959deh.jpeg</v>
      </c>
      <c r="AY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2111</v>
      </c>
      <c r="B380" s="2" t="s">
        <v>47</v>
      </c>
      <c r="C380" s="1" t="s">
        <v>2112</v>
      </c>
      <c r="D380" s="1" t="s">
        <v>2112</v>
      </c>
      <c r="E380" s="1" t="s">
        <v>2113</v>
      </c>
      <c r="F380" s="1" t="s">
        <v>72</v>
      </c>
      <c r="G380" s="1">
        <v>150.0</v>
      </c>
      <c r="H380" s="1" t="s">
        <v>52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53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54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56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57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f t="shared" si="1"/>
        <v>166</v>
      </c>
      <c r="AM380" s="1">
        <v>150.0</v>
      </c>
      <c r="AN380" s="1">
        <v>162.0</v>
      </c>
      <c r="AO380" s="1">
        <v>72.0</v>
      </c>
      <c r="AP380" s="2">
        <v>11.0</v>
      </c>
      <c r="AQ380" s="1">
        <v>78.0</v>
      </c>
      <c r="AR380" s="1">
        <v>78.0</v>
      </c>
      <c r="AS380" s="1" t="s">
        <v>1469</v>
      </c>
      <c r="AT380" s="3" t="str">
        <f>HYPERLINK("https://icf.clappia.com/app/GMB253374/submission/EIL56508386/ICF247370-GMB253374-2lhkj57o6efo00000000/SIG-20250703_1114o4324.jpeg", "SIG-20250703_1114o4324.jpeg")</f>
        <v>SIG-20250703_1114o4324.jpeg</v>
      </c>
      <c r="AU380" s="1" t="s">
        <v>1470</v>
      </c>
      <c r="AV380" s="3" t="str">
        <f>HYPERLINK("https://icf.clappia.com/app/GMB253374/submission/EIL56508386/ICF247370-GMB253374-1hlone8e1pha00000000/SIG-20250703_1115oobdf.jpeg", "SIG-20250703_1115oobdf.jpeg")</f>
        <v>SIG-20250703_1115oobdf.jpeg</v>
      </c>
      <c r="AW380" s="1" t="s">
        <v>1471</v>
      </c>
      <c r="AX380" s="3" t="str">
        <f>HYPERLINK("https://icf.clappia.com/app/GMB253374/submission/EIL56508386/ICF247370-GMB253374-2j92jc9hagao00000000/SIG-20250703_1115155236.jpeg", "SIG-20250703_1115155236.jpeg")</f>
        <v>SIG-20250703_1115155236.jpeg</v>
      </c>
      <c r="AY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2114</v>
      </c>
      <c r="B381" s="2" t="s">
        <v>47</v>
      </c>
      <c r="C381" s="1" t="s">
        <v>2115</v>
      </c>
      <c r="D381" s="1" t="s">
        <v>2115</v>
      </c>
      <c r="E381" s="2" t="s">
        <v>2116</v>
      </c>
      <c r="F381" s="1" t="s">
        <v>51</v>
      </c>
      <c r="G381" s="1">
        <v>100.0</v>
      </c>
      <c r="H381" s="1" t="s">
        <v>52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53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54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56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57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f t="shared" si="1"/>
        <v>100</v>
      </c>
      <c r="AM381" s="1">
        <v>100.0</v>
      </c>
      <c r="AN381" s="1">
        <v>112.0</v>
      </c>
      <c r="AO381" s="1">
        <v>98.0</v>
      </c>
      <c r="AP381" s="2">
        <v>11.0</v>
      </c>
      <c r="AQ381" s="1">
        <v>2.0</v>
      </c>
      <c r="AR381" s="1">
        <v>2.0</v>
      </c>
      <c r="AS381" s="1" t="s">
        <v>2117</v>
      </c>
      <c r="AT381" s="3" t="str">
        <f>HYPERLINK("https://icf.clappia.com/app/GMB253374/submission/SGK02376057/ICF247370-GMB253374-4ejc95jpb9d200000000/SIG-20250703_110914apmp.jpeg", "SIG-20250703_110914apmp.jpeg")</f>
        <v>SIG-20250703_110914apmp.jpeg</v>
      </c>
      <c r="AU381" s="1" t="s">
        <v>2118</v>
      </c>
      <c r="AV381" s="3" t="str">
        <f>HYPERLINK("https://icf.clappia.com/app/GMB253374/submission/SGK02376057/ICF247370-GMB253374-48dg9dn9dlce00000000/SIG-20250703_11103l2mp.jpeg", "SIG-20250703_11103l2mp.jpeg")</f>
        <v>SIG-20250703_11103l2mp.jpeg</v>
      </c>
      <c r="AW381" s="1" t="s">
        <v>2119</v>
      </c>
      <c r="AX381" s="3" t="str">
        <f>HYPERLINK("https://icf.clappia.com/app/GMB253374/submission/SGK02376057/ICF247370-GMB253374-57n72b01hdgc00000000/SIG-20250703_1112a8ffa.jpeg", "SIG-20250703_1112a8ffa.jpeg")</f>
        <v>SIG-20250703_1112a8ffa.jpeg</v>
      </c>
      <c r="AY381" s="3" t="str">
        <f>HYPERLINK("https://www.google.com/maps/place/8.9019083%2C-12.05606", "8.9019083,-12.05606")</f>
        <v>8.9019083,-12.05606</v>
      </c>
    </row>
    <row r="382" ht="15.75" customHeight="1">
      <c r="A382" s="1" t="s">
        <v>2120</v>
      </c>
      <c r="B382" s="2" t="s">
        <v>47</v>
      </c>
      <c r="C382" s="1" t="s">
        <v>2121</v>
      </c>
      <c r="D382" s="1" t="s">
        <v>2122</v>
      </c>
      <c r="E382" s="1" t="s">
        <v>2123</v>
      </c>
      <c r="F382" s="1" t="s">
        <v>51</v>
      </c>
      <c r="G382" s="1">
        <v>215.0</v>
      </c>
      <c r="H382" s="1" t="s">
        <v>52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53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54</v>
      </c>
      <c r="U382" s="1">
        <v>47.0</v>
      </c>
      <c r="V382" s="1" t="s">
        <v>55</v>
      </c>
      <c r="W382" s="1" t="s">
        <v>55</v>
      </c>
      <c r="X382" s="1">
        <v>29.0</v>
      </c>
      <c r="Y382" s="1" t="s">
        <v>55</v>
      </c>
      <c r="Z382" s="1" t="s">
        <v>56</v>
      </c>
      <c r="AA382" s="1">
        <v>49.0</v>
      </c>
      <c r="AB382" s="1">
        <v>20.0</v>
      </c>
      <c r="AC382" s="1" t="s">
        <v>55</v>
      </c>
      <c r="AD382" s="1">
        <v>29.0</v>
      </c>
      <c r="AE382" s="1" t="s">
        <v>55</v>
      </c>
      <c r="AF382" s="1" t="s">
        <v>57</v>
      </c>
      <c r="AG382" s="1">
        <v>53.0</v>
      </c>
      <c r="AH382" s="1">
        <v>24.0</v>
      </c>
      <c r="AI382" s="1" t="s">
        <v>55</v>
      </c>
      <c r="AJ382" s="1">
        <v>29.0</v>
      </c>
      <c r="AK382" s="1" t="s">
        <v>55</v>
      </c>
      <c r="AL382" s="1">
        <f t="shared" si="1"/>
        <v>349</v>
      </c>
      <c r="AM382" s="1">
        <v>215.0</v>
      </c>
      <c r="AN382" s="1">
        <v>227.0</v>
      </c>
      <c r="AO382" s="1">
        <v>200.0</v>
      </c>
      <c r="AP382" s="2">
        <v>11.0</v>
      </c>
      <c r="AQ382" s="1">
        <v>15.0</v>
      </c>
      <c r="AR382" s="1">
        <v>15.0</v>
      </c>
      <c r="AS382" s="1" t="s">
        <v>2124</v>
      </c>
      <c r="AT382" s="3" t="str">
        <f>HYPERLINK("https://icf.clappia.com/app/GMB253374/submission/MIH17952320/ICF247370-GMB253374-ncegfpdedjoc0000000/SIG-20250702_115415pco2.jpeg", "SIG-20250702_115415pco2.jpeg")</f>
        <v>SIG-20250702_115415pco2.jpeg</v>
      </c>
      <c r="AU382" s="1" t="s">
        <v>2125</v>
      </c>
      <c r="AV382" s="3" t="str">
        <f>HYPERLINK("https://icf.clappia.com/app/GMB253374/submission/MIH17952320/ICF247370-GMB253374-670n4hkh3g460000000/SIG-20250702_115595853.jpeg", "SIG-20250702_115595853.jpeg")</f>
        <v>SIG-20250702_115595853.jpeg</v>
      </c>
      <c r="AW382" s="1" t="s">
        <v>2126</v>
      </c>
      <c r="AX382" s="3" t="str">
        <f>HYPERLINK("https://icf.clappia.com/app/GMB253374/submission/MIH17952320/ICF247370-GMB253374-12o1k9586dcmc0000000/SIG-20250702_1156fa4i9.jpeg", "SIG-20250702_1156fa4i9.jpeg")</f>
        <v>SIG-20250702_1156fa4i9.jpeg</v>
      </c>
      <c r="AY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2127</v>
      </c>
      <c r="B383" s="2" t="s">
        <v>47</v>
      </c>
      <c r="C383" s="1" t="s">
        <v>2122</v>
      </c>
      <c r="D383" s="1" t="s">
        <v>2122</v>
      </c>
      <c r="E383" s="1" t="s">
        <v>2128</v>
      </c>
      <c r="F383" s="1" t="s">
        <v>51</v>
      </c>
      <c r="G383" s="1">
        <v>220.0</v>
      </c>
      <c r="H383" s="1" t="s">
        <v>52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53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54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56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57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f t="shared" si="1"/>
        <v>220</v>
      </c>
      <c r="AM383" s="1">
        <v>220.0</v>
      </c>
      <c r="AN383" s="1">
        <v>232.0</v>
      </c>
      <c r="AO383" s="1">
        <v>210.0</v>
      </c>
      <c r="AP383" s="2">
        <v>11.0</v>
      </c>
      <c r="AQ383" s="1">
        <v>10.0</v>
      </c>
      <c r="AR383" s="1">
        <v>10.0</v>
      </c>
      <c r="AS383" s="1" t="s">
        <v>2129</v>
      </c>
      <c r="AT383" s="3" t="str">
        <f>HYPERLINK("https://icf.clappia.com/app/GMB253374/submission/FQO51746216/ICF247370-GMB253374-6ln1laf5ie720000000/SIG-20250702_130215a3o9.jpeg", "SIG-20250702_130215a3o9.jpeg")</f>
        <v>SIG-20250702_130215a3o9.jpeg</v>
      </c>
      <c r="AU383" s="1" t="s">
        <v>2051</v>
      </c>
      <c r="AV383" s="3" t="str">
        <f>HYPERLINK("https://icf.clappia.com/app/GMB253374/submission/FQO51746216/ICF247370-GMB253374-505bpf2i8oga00000000/SIG-20250702_1302p8b4n.jpeg", "SIG-20250702_1302p8b4n.jpeg")</f>
        <v>SIG-20250702_1302p8b4n.jpeg</v>
      </c>
      <c r="AW383" s="1" t="s">
        <v>2052</v>
      </c>
      <c r="AX383" s="3" t="str">
        <f>HYPERLINK("https://icf.clappia.com/app/GMB253374/submission/FQO51746216/ICF247370-GMB253374-279imghmg3k240000000/SIG-20250702_1308ec6hj.jpeg", "SIG-20250702_1308ec6hj.jpeg")</f>
        <v>SIG-20250702_1308ec6hj.jpeg</v>
      </c>
      <c r="AY383" s="3" t="str">
        <f>HYPERLINK("https://www.google.com/maps/place/7.9146967%2C-11.980445", "7.9146967,-11.980445")</f>
        <v>7.9146967,-11.980445</v>
      </c>
    </row>
    <row r="384" ht="15.75" customHeight="1">
      <c r="A384" s="1" t="s">
        <v>2130</v>
      </c>
      <c r="B384" s="2" t="s">
        <v>47</v>
      </c>
      <c r="C384" s="1" t="s">
        <v>2122</v>
      </c>
      <c r="D384" s="1" t="s">
        <v>2122</v>
      </c>
      <c r="E384" s="1" t="s">
        <v>2131</v>
      </c>
      <c r="F384" s="1" t="s">
        <v>51</v>
      </c>
      <c r="G384" s="1">
        <v>146.0</v>
      </c>
      <c r="H384" s="1" t="s">
        <v>52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53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54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56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57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f t="shared" si="1"/>
        <v>136</v>
      </c>
      <c r="AM384" s="1">
        <v>146.0</v>
      </c>
      <c r="AN384" s="1">
        <v>158.0</v>
      </c>
      <c r="AO384" s="1">
        <v>136.0</v>
      </c>
      <c r="AP384" s="2">
        <v>11.0</v>
      </c>
      <c r="AQ384" s="1">
        <v>10.0</v>
      </c>
      <c r="AR384" s="1">
        <v>10.0</v>
      </c>
      <c r="AS384" s="1" t="s">
        <v>2132</v>
      </c>
      <c r="AT384" s="3" t="str">
        <f>HYPERLINK("https://icf.clappia.com/app/GMB253374/submission/KEF95294078/ICF247370-GMB253374-5foeh26l1pe800000000/SIG-20250703_11116m76f.jpeg", "SIG-20250703_11116m76f.jpeg")</f>
        <v>SIG-20250703_11116m76f.jpeg</v>
      </c>
      <c r="AU384" s="1" t="s">
        <v>2133</v>
      </c>
      <c r="AV384" s="3" t="str">
        <f>HYPERLINK("https://icf.clappia.com/app/GMB253374/submission/KEF95294078/ICF247370-GMB253374-387d6i9i8eia00000000/SIG-20250703_111215ij2a.jpeg", "SIG-20250703_111215ij2a.jpeg")</f>
        <v>SIG-20250703_111215ij2a.jpeg</v>
      </c>
      <c r="AW384" s="1" t="s">
        <v>2134</v>
      </c>
      <c r="AX384" s="3" t="str">
        <f>HYPERLINK("https://icf.clappia.com/app/GMB253374/submission/KEF95294078/ICF247370-GMB253374-4ecp746b27e000000000/SIG-20250703_11122o9a1.jpeg", "SIG-20250703_11122o9a1.jpeg")</f>
        <v>SIG-20250703_11122o9a1.jpeg</v>
      </c>
      <c r="AY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2135</v>
      </c>
      <c r="B385" s="2" t="s">
        <v>47</v>
      </c>
      <c r="C385" s="1" t="s">
        <v>2136</v>
      </c>
      <c r="D385" s="1" t="s">
        <v>2136</v>
      </c>
      <c r="E385" s="1" t="s">
        <v>2137</v>
      </c>
      <c r="F385" s="1" t="s">
        <v>51</v>
      </c>
      <c r="G385" s="1">
        <v>300.0</v>
      </c>
      <c r="H385" s="1" t="s">
        <v>52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53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54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56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57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f t="shared" si="1"/>
        <v>288</v>
      </c>
      <c r="AM385" s="1">
        <v>300.0</v>
      </c>
      <c r="AN385" s="1">
        <v>312.0</v>
      </c>
      <c r="AO385" s="1">
        <v>282.0</v>
      </c>
      <c r="AP385" s="2">
        <v>11.0</v>
      </c>
      <c r="AQ385" s="1">
        <v>18.0</v>
      </c>
      <c r="AR385" s="1">
        <v>18.0</v>
      </c>
      <c r="AS385" s="1" t="s">
        <v>1074</v>
      </c>
      <c r="AT385" s="3" t="str">
        <f>HYPERLINK("https://icf.clappia.com/app/GMB253374/submission/IMV16307731/ICF247370-GMB253374-3g2c7a78dag800000000/SIG-20250702_1105a3b18.jpeg", "SIG-20250702_1105a3b18.jpeg")</f>
        <v>SIG-20250702_1105a3b18.jpeg</v>
      </c>
      <c r="AU385" s="1" t="s">
        <v>2138</v>
      </c>
      <c r="AV385" s="3" t="str">
        <f>HYPERLINK("https://icf.clappia.com/app/GMB253374/submission/IMV16307731/ICF247370-GMB253374-1me1kd7kkgh4e0000000/SIG-20250702_11047jam9.jpeg", "SIG-20250702_11047jam9.jpeg")</f>
        <v>SIG-20250702_11047jam9.jpeg</v>
      </c>
      <c r="AW385" s="1" t="s">
        <v>2139</v>
      </c>
      <c r="AX385" s="3" t="str">
        <f>HYPERLINK("https://icf.clappia.com/app/GMB253374/submission/IMV16307731/ICF247370-GMB253374-1eonimg112jd20000000/SIG-20250702_11049502d.jpeg", "SIG-20250702_11049502d.jpeg")</f>
        <v>SIG-20250702_11049502d.jpeg</v>
      </c>
      <c r="AY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2140</v>
      </c>
      <c r="B386" s="2" t="s">
        <v>47</v>
      </c>
      <c r="C386" s="1" t="s">
        <v>2141</v>
      </c>
      <c r="D386" s="1" t="s">
        <v>2141</v>
      </c>
      <c r="E386" s="1" t="s">
        <v>2142</v>
      </c>
      <c r="F386" s="1" t="s">
        <v>51</v>
      </c>
      <c r="G386" s="1">
        <v>151.0</v>
      </c>
      <c r="H386" s="1" t="s">
        <v>52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53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54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56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57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f t="shared" si="1"/>
        <v>145</v>
      </c>
      <c r="AM386" s="1">
        <v>151.0</v>
      </c>
      <c r="AN386" s="1">
        <v>163.0</v>
      </c>
      <c r="AO386" s="1">
        <v>145.0</v>
      </c>
      <c r="AP386" s="2">
        <v>11.0</v>
      </c>
      <c r="AQ386" s="1">
        <v>6.0</v>
      </c>
      <c r="AR386" s="1">
        <v>6.0</v>
      </c>
      <c r="AS386" s="1" t="s">
        <v>251</v>
      </c>
      <c r="AT386" s="3" t="str">
        <f>HYPERLINK("https://icf.clappia.com/app/GMB253374/submission/ACO04883838/ICF247370-GMB253374-439cfd9e3cge00000000/SIG-20250702_1621dbaca.jpeg", "SIG-20250702_1621dbaca.jpeg")</f>
        <v>SIG-20250702_1621dbaca.jpeg</v>
      </c>
      <c r="AU386" s="1" t="s">
        <v>252</v>
      </c>
      <c r="AV386" s="3" t="str">
        <f>HYPERLINK("https://icf.clappia.com/app/GMB253374/submission/ACO04883838/ICF247370-GMB253374-2cad4fm0ij9600000000/SIG-20250702_1622g2bln.jpeg", "SIG-20250702_1622g2bln.jpeg")</f>
        <v>SIG-20250702_1622g2bln.jpeg</v>
      </c>
      <c r="AW386" s="1" t="s">
        <v>2143</v>
      </c>
      <c r="AX386" s="3" t="str">
        <f>HYPERLINK("https://icf.clappia.com/app/GMB253374/submission/ACO04883838/ICF247370-GMB253374-5k1hlb7pe6mg00000000/SIG-20250702_162219ci52.jpeg", "SIG-20250702_162219ci52.jpeg")</f>
        <v>SIG-20250702_162219ci52.jpeg</v>
      </c>
      <c r="AY386" s="3" t="str">
        <f>HYPERLINK("https://www.google.com/maps/place/7.9609416%2C-11.756454", "7.9609416,-11.756454")</f>
        <v>7.9609416,-11.756454</v>
      </c>
    </row>
    <row r="387" ht="15.75" customHeight="1">
      <c r="A387" s="1" t="s">
        <v>2144</v>
      </c>
      <c r="B387" s="2" t="s">
        <v>47</v>
      </c>
      <c r="C387" s="1" t="s">
        <v>2145</v>
      </c>
      <c r="D387" s="1" t="s">
        <v>2146</v>
      </c>
      <c r="E387" s="1" t="s">
        <v>2147</v>
      </c>
      <c r="F387" s="1" t="s">
        <v>51</v>
      </c>
      <c r="G387" s="1">
        <v>222.0</v>
      </c>
      <c r="H387" s="1" t="s">
        <v>52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53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54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56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57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f t="shared" si="1"/>
        <v>222</v>
      </c>
      <c r="AM387" s="1">
        <v>222.0</v>
      </c>
      <c r="AN387" s="1">
        <v>234.0</v>
      </c>
      <c r="AO387" s="1">
        <v>213.0</v>
      </c>
      <c r="AP387" s="2">
        <v>11.0</v>
      </c>
      <c r="AQ387" s="1">
        <v>9.0</v>
      </c>
      <c r="AR387" s="1">
        <v>9.0</v>
      </c>
      <c r="AS387" s="1" t="s">
        <v>2148</v>
      </c>
      <c r="AT387" s="3" t="str">
        <f>HYPERLINK("https://icf.clappia.com/app/GMB253374/submission/ASZ76605230/ICF247370-GMB253374-5l67nhilifc400000000/SIG-20250703_105310470h.jpeg", "SIG-20250703_105310470h.jpeg")</f>
        <v>SIG-20250703_105310470h.jpeg</v>
      </c>
      <c r="AU387" s="1" t="s">
        <v>2149</v>
      </c>
      <c r="AV387" s="3" t="str">
        <f>HYPERLINK("https://icf.clappia.com/app/GMB253374/submission/ASZ76605230/ICF247370-GMB253374-5ip2pmgc3k8m00000000/SIG-20250703_1054j153i.jpeg", "SIG-20250703_1054j153i.jpeg")</f>
        <v>SIG-20250703_1054j153i.jpeg</v>
      </c>
      <c r="AW387" s="1" t="s">
        <v>2150</v>
      </c>
      <c r="AX387" s="3" t="str">
        <f>HYPERLINK("https://icf.clappia.com/app/GMB253374/submission/ASZ76605230/ICF247370-GMB253374-587ka94l8c8800000000/SIG-20250703_1054pe539.jpeg", "SIG-20250703_1054pe539.jpeg")</f>
        <v>SIG-20250703_1054pe539.jpeg</v>
      </c>
      <c r="AY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2151</v>
      </c>
      <c r="B388" s="2" t="s">
        <v>47</v>
      </c>
      <c r="C388" s="1" t="s">
        <v>2152</v>
      </c>
      <c r="D388" s="1" t="s">
        <v>2152</v>
      </c>
      <c r="E388" s="1" t="s">
        <v>2153</v>
      </c>
      <c r="F388" s="1" t="s">
        <v>51</v>
      </c>
      <c r="G388" s="1">
        <v>138.0</v>
      </c>
      <c r="H388" s="1" t="s">
        <v>52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53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54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56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57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f t="shared" si="1"/>
        <v>138</v>
      </c>
      <c r="AM388" s="1">
        <v>138.0</v>
      </c>
      <c r="AN388" s="1">
        <v>150.0</v>
      </c>
      <c r="AO388" s="1">
        <v>100.0</v>
      </c>
      <c r="AP388" s="2">
        <v>11.0</v>
      </c>
      <c r="AQ388" s="1">
        <v>38.0</v>
      </c>
      <c r="AR388" s="1">
        <v>38.0</v>
      </c>
      <c r="AS388" s="1" t="s">
        <v>1080</v>
      </c>
      <c r="AT388" s="3" t="str">
        <f>HYPERLINK("https://icf.clappia.com/app/GMB253374/submission/EKE91636111/ICF247370-GMB253374-fl96gclcp0c00000000/SIG-20250703_105112bck0.jpeg", "SIG-20250703_105112bck0.jpeg")</f>
        <v>SIG-20250703_105112bck0.jpeg</v>
      </c>
      <c r="AU388" s="1" t="s">
        <v>1298</v>
      </c>
      <c r="AV388" s="3" t="str">
        <f>HYPERLINK("https://icf.clappia.com/app/GMB253374/submission/EKE91636111/ICF247370-GMB253374-63eji1p0ph1i00000000/SIG-20250703_1100lfcjc.jpeg", "SIG-20250703_1100lfcjc.jpeg")</f>
        <v>SIG-20250703_1100lfcjc.jpeg</v>
      </c>
      <c r="AW388" s="1" t="s">
        <v>1082</v>
      </c>
      <c r="AX388" s="3" t="str">
        <f>HYPERLINK("https://icf.clappia.com/app/GMB253374/submission/EKE91636111/ICF247370-GMB253374-27oe66iooo0ii0000000/SIG-20250703_1052c2dhc.jpeg", "SIG-20250703_1052c2dhc.jpeg")</f>
        <v>SIG-20250703_1052c2dhc.jpeg</v>
      </c>
      <c r="AY388" s="3" t="str">
        <f>HYPERLINK("https://www.google.com/maps/place/8.014273%2C-12.0955746", "8.014273,-12.0955746")</f>
        <v>8.014273,-12.0955746</v>
      </c>
    </row>
    <row r="389" ht="15.75" customHeight="1">
      <c r="A389" s="1" t="s">
        <v>2154</v>
      </c>
      <c r="B389" s="2" t="s">
        <v>47</v>
      </c>
      <c r="C389" s="1" t="s">
        <v>2155</v>
      </c>
      <c r="D389" s="1" t="s">
        <v>2155</v>
      </c>
      <c r="E389" s="1" t="s">
        <v>2156</v>
      </c>
      <c r="F389" s="1" t="s">
        <v>51</v>
      </c>
      <c r="G389" s="1">
        <v>270.0</v>
      </c>
      <c r="H389" s="1" t="s">
        <v>52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53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54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56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57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f t="shared" si="1"/>
        <v>268</v>
      </c>
      <c r="AM389" s="1">
        <v>270.0</v>
      </c>
      <c r="AN389" s="1">
        <v>282.0</v>
      </c>
      <c r="AO389" s="1">
        <v>268.0</v>
      </c>
      <c r="AP389" s="2">
        <v>11.0</v>
      </c>
      <c r="AQ389" s="1">
        <v>2.0</v>
      </c>
      <c r="AR389" s="1">
        <v>2.0</v>
      </c>
      <c r="AS389" s="1" t="s">
        <v>1240</v>
      </c>
      <c r="AT389" s="3" t="str">
        <f>HYPERLINK("https://icf.clappia.com/app/GMB253374/submission/OLI28168425/ICF247370-GMB253374-6622g5k1n11200000000/SIG-20250702_1215k747f.jpeg", "SIG-20250702_1215k747f.jpeg")</f>
        <v>SIG-20250702_1215k747f.jpeg</v>
      </c>
      <c r="AU389" s="1" t="s">
        <v>1241</v>
      </c>
      <c r="AV389" s="3" t="str">
        <f>HYPERLINK("https://icf.clappia.com/app/GMB253374/submission/OLI28168425/ICF247370-GMB253374-4nfgo5apfmf400000000/SIG-20250702_1215f8jgn.jpeg", "SIG-20250702_1215f8jgn.jpeg")</f>
        <v>SIG-20250702_1215f8jgn.jpeg</v>
      </c>
      <c r="AW389" s="1" t="s">
        <v>1242</v>
      </c>
      <c r="AX389" s="3" t="str">
        <f>HYPERLINK("https://icf.clappia.com/app/GMB253374/submission/OLI28168425/ICF247370-GMB253374-595baemig67e00000000/SIG-20250703_110010ild6.jpeg", "SIG-20250703_110010ild6.jpeg")</f>
        <v>SIG-20250703_110010ild6.jpeg</v>
      </c>
      <c r="AY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2157</v>
      </c>
      <c r="B390" s="2" t="s">
        <v>47</v>
      </c>
      <c r="C390" s="1" t="s">
        <v>2155</v>
      </c>
      <c r="D390" s="1" t="s">
        <v>2155</v>
      </c>
      <c r="E390" s="1" t="s">
        <v>2158</v>
      </c>
      <c r="F390" s="1" t="s">
        <v>72</v>
      </c>
      <c r="G390" s="1">
        <v>125.0</v>
      </c>
      <c r="H390" s="1" t="s">
        <v>52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53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54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56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57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f t="shared" si="1"/>
        <v>126</v>
      </c>
      <c r="AM390" s="1">
        <v>125.0</v>
      </c>
      <c r="AN390" s="1">
        <v>137.0</v>
      </c>
      <c r="AO390" s="1">
        <v>107.0</v>
      </c>
      <c r="AP390" s="2">
        <v>11.0</v>
      </c>
      <c r="AQ390" s="1">
        <v>18.0</v>
      </c>
      <c r="AR390" s="1">
        <v>18.0</v>
      </c>
      <c r="AS390" s="1" t="s">
        <v>2159</v>
      </c>
      <c r="AT390" s="3" t="str">
        <f>HYPERLINK("https://icf.clappia.com/app/GMB253374/submission/HQK05545275/ICF247370-GMB253374-5ckaca2f1ofi00000000/SIG-20250701_1757c4k03.jpeg", "SIG-20250701_1757c4k03.jpeg")</f>
        <v>SIG-20250701_1757c4k03.jpeg</v>
      </c>
      <c r="AU390" s="1" t="s">
        <v>2160</v>
      </c>
      <c r="AV390" s="3" t="str">
        <f>HYPERLINK("https://icf.clappia.com/app/GMB253374/submission/HQK05545275/ICF247370-GMB253374-51hmca0lgf1e00000000/SIG-20250701_17457j6nc.jpeg", "SIG-20250701_17457j6nc.jpeg")</f>
        <v>SIG-20250701_17457j6nc.jpeg</v>
      </c>
      <c r="AW390" s="1" t="s">
        <v>2161</v>
      </c>
      <c r="AX390" s="3" t="str">
        <f>HYPERLINK("https://icf.clappia.com/app/GMB253374/submission/HQK05545275/ICF247370-GMB253374-38o3peecpo1800000000/SIG-20250701_174910hg6a.jpeg", "SIG-20250701_174910hg6a.jpeg")</f>
        <v>SIG-20250701_174910hg6a.jpeg</v>
      </c>
      <c r="AY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2162</v>
      </c>
      <c r="B391" s="2" t="s">
        <v>47</v>
      </c>
      <c r="C391" s="1" t="s">
        <v>2163</v>
      </c>
      <c r="D391" s="1" t="s">
        <v>2163</v>
      </c>
      <c r="E391" s="1" t="s">
        <v>2164</v>
      </c>
      <c r="F391" s="1" t="s">
        <v>51</v>
      </c>
      <c r="G391" s="1">
        <v>179.0</v>
      </c>
      <c r="H391" s="1" t="s">
        <v>52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53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54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56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57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f t="shared" si="1"/>
        <v>167</v>
      </c>
      <c r="AM391" s="1">
        <v>179.0</v>
      </c>
      <c r="AN391" s="1">
        <v>191.0</v>
      </c>
      <c r="AO391" s="1">
        <v>167.0</v>
      </c>
      <c r="AP391" s="2">
        <v>11.0</v>
      </c>
      <c r="AQ391" s="1">
        <v>12.0</v>
      </c>
      <c r="AR391" s="1">
        <v>12.0</v>
      </c>
      <c r="AS391" s="1" t="s">
        <v>245</v>
      </c>
      <c r="AT391" s="3" t="str">
        <f>HYPERLINK("https://icf.clappia.com/app/GMB253374/submission/TAX00625892/ICF247370-GMB253374-3jba396hf4o200000000/SIG-20250703_1057192ggb.jpeg", "SIG-20250703_1057192ggb.jpeg")</f>
        <v>SIG-20250703_1057192ggb.jpeg</v>
      </c>
      <c r="AU391" s="1" t="s">
        <v>2165</v>
      </c>
      <c r="AV391" s="3" t="str">
        <f>HYPERLINK("https://icf.clappia.com/app/GMB253374/submission/TAX00625892/ICF247370-GMB253374-2617mh1bkmadg0000000/SIG-20250703_105716dnii.jpeg", "SIG-20250703_105716dnii.jpeg")</f>
        <v>SIG-20250703_105716dnii.jpeg</v>
      </c>
      <c r="AW391" s="1" t="s">
        <v>2166</v>
      </c>
      <c r="AX391" s="3" t="str">
        <f>HYPERLINK("https://icf.clappia.com/app/GMB253374/submission/TAX00625892/ICF247370-GMB253374-3jpld23287lc00000000/SIG-20250703_1058cfagn.jpeg", "SIG-20250703_1058cfagn.jpeg")</f>
        <v>SIG-20250703_1058cfagn.jpeg</v>
      </c>
      <c r="AY391" s="3" t="str">
        <f>HYPERLINK("https://www.google.com/maps/place/9.046625%2C-11.7981583", "9.046625,-11.7981583")</f>
        <v>9.046625,-11.7981583</v>
      </c>
    </row>
    <row r="392" ht="15.75" customHeight="1">
      <c r="A392" s="1" t="s">
        <v>2167</v>
      </c>
      <c r="B392" s="2" t="s">
        <v>47</v>
      </c>
      <c r="C392" s="1" t="s">
        <v>2163</v>
      </c>
      <c r="D392" s="1" t="s">
        <v>2163</v>
      </c>
      <c r="E392" s="1" t="s">
        <v>2168</v>
      </c>
      <c r="F392" s="1" t="s">
        <v>51</v>
      </c>
      <c r="G392" s="1">
        <v>110.0</v>
      </c>
      <c r="H392" s="1" t="s">
        <v>52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53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54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56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57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f t="shared" si="1"/>
        <v>110</v>
      </c>
      <c r="AM392" s="1">
        <v>110.0</v>
      </c>
      <c r="AN392" s="1">
        <v>122.0</v>
      </c>
      <c r="AO392" s="1">
        <v>110.0</v>
      </c>
      <c r="AP392" s="2">
        <v>11.0</v>
      </c>
      <c r="AQ392" s="1">
        <v>0.0</v>
      </c>
      <c r="AR392" s="1">
        <v>0.0</v>
      </c>
      <c r="AS392" s="1" t="s">
        <v>2169</v>
      </c>
      <c r="AT392" s="3" t="str">
        <f>HYPERLINK("https://icf.clappia.com/app/GMB253374/submission/VDC76805960/ICF247370-GMB253374-2fhb2chj9fge00000000/SIG-20250703_0944ma9c6.jpeg", "SIG-20250703_0944ma9c6.jpeg")</f>
        <v>SIG-20250703_0944ma9c6.jpeg</v>
      </c>
      <c r="AU392" s="1" t="s">
        <v>2170</v>
      </c>
      <c r="AV392" s="3" t="str">
        <f>HYPERLINK("https://icf.clappia.com/app/GMB253374/submission/VDC76805960/ICF247370-GMB253374-2oala8eomiko00000000/SIG-20250703_0945141m2o.jpeg", "SIG-20250703_0945141m2o.jpeg")</f>
        <v>SIG-20250703_0945141m2o.jpeg</v>
      </c>
      <c r="AW392" s="1" t="s">
        <v>2171</v>
      </c>
      <c r="AX392" s="3" t="str">
        <f>HYPERLINK("https://icf.clappia.com/app/GMB253374/submission/VDC76805960/ICF247370-GMB253374-5684iep7fa7a00000000/SIG-20250703_0946nga6c.jpeg", "SIG-20250703_0946nga6c.jpeg")</f>
        <v>SIG-20250703_0946nga6c.jpeg</v>
      </c>
      <c r="AY392" s="3" t="str">
        <f>HYPERLINK("https://www.google.com/maps/place/7.95737%2C-11.60841", "7.95737,-11.60841")</f>
        <v>7.95737,-11.60841</v>
      </c>
    </row>
    <row r="393" ht="15.75" customHeight="1">
      <c r="A393" s="1" t="s">
        <v>2172</v>
      </c>
      <c r="B393" s="2" t="s">
        <v>47</v>
      </c>
      <c r="C393" s="1" t="s">
        <v>2173</v>
      </c>
      <c r="D393" s="1" t="s">
        <v>2173</v>
      </c>
      <c r="E393" s="1" t="s">
        <v>2174</v>
      </c>
      <c r="F393" s="1" t="s">
        <v>51</v>
      </c>
      <c r="G393" s="1">
        <v>60.0</v>
      </c>
      <c r="H393" s="1" t="s">
        <v>52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53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54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56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55</v>
      </c>
      <c r="AF393" s="1" t="s">
        <v>57</v>
      </c>
      <c r="AG393" s="1" t="s">
        <v>55</v>
      </c>
      <c r="AH393" s="1" t="s">
        <v>55</v>
      </c>
      <c r="AI393" s="1" t="s">
        <v>55</v>
      </c>
      <c r="AJ393" s="1" t="s">
        <v>55</v>
      </c>
      <c r="AK393" s="1" t="s">
        <v>55</v>
      </c>
      <c r="AL393" s="1">
        <f t="shared" si="1"/>
        <v>60</v>
      </c>
      <c r="AM393" s="1">
        <v>60.0</v>
      </c>
      <c r="AN393" s="1">
        <v>72.0</v>
      </c>
      <c r="AO393" s="1">
        <v>57.0</v>
      </c>
      <c r="AP393" s="2">
        <v>11.0</v>
      </c>
      <c r="AQ393" s="1">
        <v>3.0</v>
      </c>
      <c r="AR393" s="1">
        <v>3.0</v>
      </c>
      <c r="AS393" s="1" t="s">
        <v>584</v>
      </c>
      <c r="AT393" s="3" t="str">
        <f>HYPERLINK("https://icf.clappia.com/app/GMB253374/submission/JER29697832/ICF247370-GMB253374-6397m9bieph200000000/SIG-20250703_105518akn2.jpeg", "SIG-20250703_105518akn2.jpeg")</f>
        <v>SIG-20250703_105518akn2.jpeg</v>
      </c>
      <c r="AU393" s="1" t="s">
        <v>2175</v>
      </c>
      <c r="AV393" s="3" t="str">
        <f>HYPERLINK("https://icf.clappia.com/app/GMB253374/submission/JER29697832/ICF247370-GMB253374-3done2fdbmjk00000000/SIG-20250703_10551c90.jpeg", "SIG-20250703_10551c90.jpeg")</f>
        <v>SIG-20250703_10551c90.jpeg</v>
      </c>
      <c r="AW393" s="1" t="s">
        <v>2176</v>
      </c>
      <c r="AX393" s="3" t="str">
        <f>HYPERLINK("https://icf.clappia.com/app/GMB253374/submission/JER29697832/ICF247370-GMB253374-31kom7mg9di600000000/SIG-20250703_1055p5eji.jpeg", "SIG-20250703_1055p5eji.jpeg")</f>
        <v>SIG-20250703_1055p5eji.jpeg</v>
      </c>
      <c r="AY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2177</v>
      </c>
      <c r="B394" s="2" t="s">
        <v>47</v>
      </c>
      <c r="C394" s="1" t="s">
        <v>2173</v>
      </c>
      <c r="D394" s="1" t="s">
        <v>2173</v>
      </c>
      <c r="E394" s="1" t="s">
        <v>2178</v>
      </c>
      <c r="F394" s="1" t="s">
        <v>51</v>
      </c>
      <c r="G394" s="1">
        <v>203.0</v>
      </c>
      <c r="H394" s="1" t="s">
        <v>52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53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54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56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57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f t="shared" si="1"/>
        <v>203</v>
      </c>
      <c r="AM394" s="1">
        <v>203.0</v>
      </c>
      <c r="AN394" s="1">
        <v>215.0</v>
      </c>
      <c r="AO394" s="1">
        <v>203.0</v>
      </c>
      <c r="AP394" s="2">
        <v>11.0</v>
      </c>
      <c r="AQ394" s="1">
        <v>0.0</v>
      </c>
      <c r="AR394" s="1">
        <v>0.0</v>
      </c>
      <c r="AS394" s="1" t="s">
        <v>2179</v>
      </c>
      <c r="AT394" s="3" t="str">
        <f>HYPERLINK("https://icf.clappia.com/app/GMB253374/submission/IEX64467590/ICF247370-GMB253374-cpm0n1feeo6c0000000/SIG-20250703_1054f34h0.jpeg", "SIG-20250703_1054f34h0.jpeg")</f>
        <v>SIG-20250703_1054f34h0.jpeg</v>
      </c>
      <c r="AU394" s="1" t="s">
        <v>2180</v>
      </c>
      <c r="AV394" s="3" t="str">
        <f>HYPERLINK("https://icf.clappia.com/app/GMB253374/submission/IEX64467590/ICF247370-GMB253374-gh3a4em46leg0000000/SIG-20250703_10562occi.jpeg", "SIG-20250703_10562occi.jpeg")</f>
        <v>SIG-20250703_10562occi.jpeg</v>
      </c>
      <c r="AW394" s="1" t="s">
        <v>2181</v>
      </c>
      <c r="AX394" s="3" t="str">
        <f>HYPERLINK("https://icf.clappia.com/app/GMB253374/submission/IEX64467590/ICF247370-GMB253374-5jbh6ph79b4g00000000/SIG-20250703_105611dede.jpeg", "SIG-20250703_105611dede.jpeg")</f>
        <v>SIG-20250703_105611dede.jpeg</v>
      </c>
      <c r="AY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2182</v>
      </c>
      <c r="B395" s="2" t="s">
        <v>47</v>
      </c>
      <c r="C395" s="1" t="s">
        <v>2183</v>
      </c>
      <c r="D395" s="1" t="s">
        <v>2183</v>
      </c>
      <c r="E395" s="1" t="s">
        <v>2184</v>
      </c>
      <c r="F395" s="1" t="s">
        <v>51</v>
      </c>
      <c r="G395" s="1">
        <v>488.0</v>
      </c>
      <c r="H395" s="1" t="s">
        <v>52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53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54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56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57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f t="shared" si="1"/>
        <v>486</v>
      </c>
      <c r="AM395" s="1">
        <v>488.0</v>
      </c>
      <c r="AN395" s="1">
        <v>500.0</v>
      </c>
      <c r="AO395" s="1">
        <v>486.0</v>
      </c>
      <c r="AP395" s="2">
        <v>11.0</v>
      </c>
      <c r="AQ395" s="1">
        <v>2.0</v>
      </c>
      <c r="AR395" s="1">
        <v>2.0</v>
      </c>
      <c r="AS395" s="1" t="s">
        <v>2185</v>
      </c>
      <c r="AT395" s="3" t="str">
        <f>HYPERLINK("https://icf.clappia.com/app/GMB253374/submission/HJO42049933/ICF247370-GMB253374-4ojdk006dkga00000000/SIG-20250703_105570pck.jpeg", "SIG-20250703_105570pck.jpeg")</f>
        <v>SIG-20250703_105570pck.jpeg</v>
      </c>
      <c r="AU395" s="1" t="s">
        <v>2186</v>
      </c>
      <c r="AV395" s="3" t="str">
        <f>HYPERLINK("https://icf.clappia.com/app/GMB253374/submission/HJO42049933/ICF247370-GMB253374-68f90nm2kf1200000000/SIG-20250703_10552jgce.jpeg", "SIG-20250703_10552jgce.jpeg")</f>
        <v>SIG-20250703_10552jgce.jpeg</v>
      </c>
      <c r="AW395" s="1" t="s">
        <v>2187</v>
      </c>
      <c r="AX395" s="3" t="str">
        <f>HYPERLINK("https://icf.clappia.com/app/GMB253374/submission/HJO42049933/ICF247370-GMB253374-3kcd3f2lkeag00000000/SIG-20250703_10568emg3.jpeg", "SIG-20250703_10568emg3.jpeg")</f>
        <v>SIG-20250703_10568emg3.jpeg</v>
      </c>
      <c r="AY395" s="3" t="str">
        <f>HYPERLINK("https://www.google.com/maps/place/9.25129%2C-12.1637733", "9.25129,-12.1637733")</f>
        <v>9.25129,-12.1637733</v>
      </c>
    </row>
    <row r="396" ht="15.75" customHeight="1">
      <c r="A396" s="1" t="s">
        <v>2188</v>
      </c>
      <c r="B396" s="2" t="s">
        <v>47</v>
      </c>
      <c r="C396" s="1" t="s">
        <v>2183</v>
      </c>
      <c r="D396" s="1" t="s">
        <v>2183</v>
      </c>
      <c r="E396" s="1" t="s">
        <v>2189</v>
      </c>
      <c r="F396" s="1" t="s">
        <v>51</v>
      </c>
      <c r="G396" s="1">
        <v>400.0</v>
      </c>
      <c r="H396" s="1" t="s">
        <v>52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53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54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56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57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f t="shared" si="1"/>
        <v>365</v>
      </c>
      <c r="AM396" s="1">
        <v>400.0</v>
      </c>
      <c r="AN396" s="1">
        <v>412.0</v>
      </c>
      <c r="AO396" s="1">
        <v>365.0</v>
      </c>
      <c r="AP396" s="2">
        <v>11.0</v>
      </c>
      <c r="AQ396" s="1">
        <v>35.0</v>
      </c>
      <c r="AR396" s="1">
        <v>35.0</v>
      </c>
      <c r="AS396" s="1" t="s">
        <v>1654</v>
      </c>
      <c r="AT396" s="3" t="str">
        <f>HYPERLINK("https://icf.clappia.com/app/GMB253374/submission/VVL56917713/ICF247370-GMB253374-3mi97bn2pi5c00000000/SIG-20250703_10556e7no.jpeg", "SIG-20250703_10556e7no.jpeg")</f>
        <v>SIG-20250703_10556e7no.jpeg</v>
      </c>
      <c r="AU396" s="1" t="s">
        <v>1656</v>
      </c>
      <c r="AV396" s="3" t="str">
        <f>HYPERLINK("https://icf.clappia.com/app/GMB253374/submission/VVL56917713/ICF247370-GMB253374-5m6f5cap079e00000000/SIG-20250703_1055kn3io.jpeg", "SIG-20250703_1055kn3io.jpeg")</f>
        <v>SIG-20250703_1055kn3io.jpeg</v>
      </c>
      <c r="AW396" s="1" t="s">
        <v>2190</v>
      </c>
      <c r="AX396" s="3" t="str">
        <f>HYPERLINK("https://icf.clappia.com/app/GMB253374/submission/VVL56917713/ICF247370-GMB253374-4bj81nmh149i00000000/SIG-20250703_1054d5m3n.jpeg", "SIG-20250703_1054d5m3n.jpeg")</f>
        <v>SIG-20250703_1054d5m3n.jpeg</v>
      </c>
      <c r="AY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2191</v>
      </c>
      <c r="B397" s="2" t="s">
        <v>47</v>
      </c>
      <c r="C397" s="1" t="s">
        <v>2192</v>
      </c>
      <c r="D397" s="1" t="s">
        <v>2192</v>
      </c>
      <c r="E397" s="2" t="s">
        <v>2193</v>
      </c>
      <c r="F397" s="1" t="s">
        <v>51</v>
      </c>
      <c r="G397" s="1">
        <v>300.0</v>
      </c>
      <c r="H397" s="1" t="s">
        <v>52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53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54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56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57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f t="shared" si="1"/>
        <v>286</v>
      </c>
      <c r="AM397" s="1">
        <v>300.0</v>
      </c>
      <c r="AN397" s="1">
        <v>312.0</v>
      </c>
      <c r="AO397" s="1">
        <v>286.0</v>
      </c>
      <c r="AP397" s="2">
        <v>11.0</v>
      </c>
      <c r="AQ397" s="1">
        <v>14.0</v>
      </c>
      <c r="AR397" s="1">
        <v>14.0</v>
      </c>
      <c r="AS397" s="1" t="s">
        <v>839</v>
      </c>
      <c r="AT397" s="3" t="str">
        <f>HYPERLINK("https://icf.clappia.com/app/GMB253374/submission/XOE35015011/ICF247370-GMB253374-40h9p3m903ik0000000/SIG-20250703_1053igh83.jpeg", "SIG-20250703_1053igh83.jpeg")</f>
        <v>SIG-20250703_1053igh83.jpeg</v>
      </c>
      <c r="AU397" s="1" t="s">
        <v>2194</v>
      </c>
      <c r="AV397" s="3" t="str">
        <f>HYPERLINK("https://icf.clappia.com/app/GMB253374/submission/XOE35015011/ICF247370-GMB253374-5d7b0col5oec00000000/SIG-20250703_10558b5c4.jpeg", "SIG-20250703_10558b5c4.jpeg")</f>
        <v>SIG-20250703_10558b5c4.jpeg</v>
      </c>
      <c r="AW397" s="1" t="s">
        <v>840</v>
      </c>
      <c r="AX397" s="3" t="str">
        <f>HYPERLINK("https://icf.clappia.com/app/GMB253374/submission/XOE35015011/ICF247370-GMB253374-5obajf3dm36000000000/SIG-20250703_10551961p1.jpeg", "SIG-20250703_10551961p1.jpeg")</f>
        <v>SIG-20250703_10551961p1.jpeg</v>
      </c>
      <c r="AY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2195</v>
      </c>
      <c r="B398" s="2" t="s">
        <v>47</v>
      </c>
      <c r="C398" s="1" t="s">
        <v>2192</v>
      </c>
      <c r="D398" s="1" t="s">
        <v>2192</v>
      </c>
      <c r="E398" s="1" t="s">
        <v>2196</v>
      </c>
      <c r="F398" s="1" t="s">
        <v>51</v>
      </c>
      <c r="G398" s="1">
        <v>335.0</v>
      </c>
      <c r="H398" s="1" t="s">
        <v>52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53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54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56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57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f t="shared" si="1"/>
        <v>335</v>
      </c>
      <c r="AM398" s="1">
        <v>335.0</v>
      </c>
      <c r="AN398" s="1">
        <v>347.0</v>
      </c>
      <c r="AO398" s="1">
        <v>335.0</v>
      </c>
      <c r="AP398" s="2">
        <v>11.0</v>
      </c>
      <c r="AQ398" s="1">
        <v>0.0</v>
      </c>
      <c r="AR398" s="1">
        <v>0.0</v>
      </c>
      <c r="AS398" s="1" t="s">
        <v>2197</v>
      </c>
      <c r="AT398" s="3" t="str">
        <f>HYPERLINK("https://icf.clappia.com/app/GMB253374/submission/BAO01691589/ICF247370-GMB253374-6bb9ilgb38go00000000/SIG-20250703_1053146llg.jpeg", "SIG-20250703_1053146llg.jpeg")</f>
        <v>SIG-20250703_1053146llg.jpeg</v>
      </c>
      <c r="AU398" s="1" t="s">
        <v>834</v>
      </c>
      <c r="AV398" s="3" t="str">
        <f>HYPERLINK("https://icf.clappia.com/app/GMB253374/submission/BAO01691589/ICF247370-GMB253374-3oi26946ehgk00000000/SIG-20250703_10544oaf3.jpeg", "SIG-20250703_10544oaf3.jpeg")</f>
        <v>SIG-20250703_10544oaf3.jpeg</v>
      </c>
      <c r="AW398" s="1" t="s">
        <v>1247</v>
      </c>
      <c r="AX398" s="3" t="str">
        <f>HYPERLINK("https://icf.clappia.com/app/GMB253374/submission/BAO01691589/ICF247370-GMB253374-3ed9b43ama6800000000/SIG-20250703_105418nind.jpeg", "SIG-20250703_105418nind.jpeg")</f>
        <v>SIG-20250703_105418nind.jpeg</v>
      </c>
      <c r="AY398" s="3" t="str">
        <f>HYPERLINK("https://www.google.com/maps/place/7.958975%2C-11.7421133", "7.958975,-11.7421133")</f>
        <v>7.958975,-11.7421133</v>
      </c>
    </row>
    <row r="399" ht="15.75" customHeight="1">
      <c r="A399" s="1" t="s">
        <v>2198</v>
      </c>
      <c r="B399" s="2" t="s">
        <v>47</v>
      </c>
      <c r="C399" s="1" t="s">
        <v>2199</v>
      </c>
      <c r="D399" s="1" t="s">
        <v>2199</v>
      </c>
      <c r="E399" s="1" t="s">
        <v>2200</v>
      </c>
      <c r="F399" s="1" t="s">
        <v>51</v>
      </c>
      <c r="G399" s="1">
        <v>244.0</v>
      </c>
      <c r="H399" s="1" t="s">
        <v>52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53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54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56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57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f t="shared" si="1"/>
        <v>244</v>
      </c>
      <c r="AM399" s="1">
        <v>244.0</v>
      </c>
      <c r="AN399" s="1">
        <v>256.0</v>
      </c>
      <c r="AO399" s="1">
        <v>236.0</v>
      </c>
      <c r="AP399" s="2">
        <v>11.0</v>
      </c>
      <c r="AQ399" s="1">
        <v>8.0</v>
      </c>
      <c r="AR399" s="1">
        <v>8.0</v>
      </c>
      <c r="AS399" s="1" t="s">
        <v>2201</v>
      </c>
      <c r="AT399" s="3" t="str">
        <f>HYPERLINK("https://icf.clappia.com/app/GMB253374/submission/ZRW74127801/ICF247370-GMB253374-1m05eko3h5li00000000/SIG-20250703_1050pjaaf.jpeg", "SIG-20250703_1050pjaaf.jpeg")</f>
        <v>SIG-20250703_1050pjaaf.jpeg</v>
      </c>
      <c r="AU399" s="1" t="s">
        <v>2202</v>
      </c>
      <c r="AV399" s="3" t="str">
        <f>HYPERLINK("https://icf.clappia.com/app/GMB253374/submission/ZRW74127801/ICF247370-GMB253374-434n298oh31g00000000/SIG-20250703_1051pikj7.jpeg", "SIG-20250703_1051pikj7.jpeg")</f>
        <v>SIG-20250703_1051pikj7.jpeg</v>
      </c>
      <c r="AW399" s="1" t="s">
        <v>2203</v>
      </c>
      <c r="AX399" s="3" t="str">
        <f>HYPERLINK("https://icf.clappia.com/app/GMB253374/submission/ZRW74127801/ICF247370-GMB253374-mobja4ka0k6k0000000/SIG-20250703_105212jh4f.jpeg", "SIG-20250703_105212jh4f.jpeg")</f>
        <v>SIG-20250703_105212jh4f.jpeg</v>
      </c>
      <c r="AY399" s="3" t="str">
        <f>HYPERLINK("https://www.google.com/maps/place/7.924727%2C-11.4372862", "7.924727,-11.4372862")</f>
        <v>7.924727,-11.4372862</v>
      </c>
    </row>
    <row r="400" ht="15.75" customHeight="1">
      <c r="A400" s="1" t="s">
        <v>2204</v>
      </c>
      <c r="B400" s="2" t="s">
        <v>47</v>
      </c>
      <c r="C400" s="1" t="s">
        <v>2199</v>
      </c>
      <c r="D400" s="1" t="s">
        <v>2199</v>
      </c>
      <c r="E400" s="1" t="s">
        <v>2205</v>
      </c>
      <c r="F400" s="1" t="s">
        <v>51</v>
      </c>
      <c r="G400" s="1">
        <v>750.0</v>
      </c>
      <c r="H400" s="1" t="s">
        <v>52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53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54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56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57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f t="shared" si="1"/>
        <v>750</v>
      </c>
      <c r="AM400" s="1">
        <v>750.0</v>
      </c>
      <c r="AN400" s="1">
        <v>762.0</v>
      </c>
      <c r="AO400" s="1">
        <v>740.0</v>
      </c>
      <c r="AP400" s="2">
        <v>11.0</v>
      </c>
      <c r="AQ400" s="1">
        <v>10.0</v>
      </c>
      <c r="AR400" s="1">
        <v>10.0</v>
      </c>
      <c r="AS400" s="1" t="s">
        <v>2206</v>
      </c>
      <c r="AT400" s="3" t="str">
        <f>HYPERLINK("https://icf.clappia.com/app/GMB253374/submission/INW48200268/ICF247370-GMB253374-66oj4f0298ek00000000/SIG-20250702_1434lm0da.jpeg", "SIG-20250702_1434lm0da.jpeg")</f>
        <v>SIG-20250702_1434lm0da.jpeg</v>
      </c>
      <c r="AU400" s="1" t="s">
        <v>2207</v>
      </c>
      <c r="AV400" s="3" t="str">
        <f>HYPERLINK("https://icf.clappia.com/app/GMB253374/submission/INW48200268/ICF247370-GMB253374-49p6bfjnplja00000000/SIG-20250702_143316kg44.jpeg", "SIG-20250702_143316kg44.jpeg")</f>
        <v>SIG-20250702_143316kg44.jpeg</v>
      </c>
      <c r="AW400" s="1" t="s">
        <v>2208</v>
      </c>
      <c r="AX400" s="3" t="str">
        <f>HYPERLINK("https://icf.clappia.com/app/GMB253374/submission/INW48200268/ICF247370-GMB253374-4c40j5hgkopa0000000/SIG-20250702_14345hh80.jpeg", "SIG-20250702_14345hh80.jpeg")</f>
        <v>SIG-20250702_14345hh80.jpeg</v>
      </c>
      <c r="AY400" s="3" t="str">
        <f>HYPERLINK("https://www.google.com/maps/place/7.957825%2C-11.7223417", "7.957825,-11.7223417")</f>
        <v>7.957825,-11.7223417</v>
      </c>
    </row>
    <row r="401" ht="15.75" customHeight="1">
      <c r="A401" s="1" t="s">
        <v>2209</v>
      </c>
      <c r="B401" s="2" t="s">
        <v>47</v>
      </c>
      <c r="C401" s="1" t="s">
        <v>2210</v>
      </c>
      <c r="D401" s="1" t="s">
        <v>2210</v>
      </c>
      <c r="E401" s="1" t="s">
        <v>2211</v>
      </c>
      <c r="F401" s="1" t="s">
        <v>51</v>
      </c>
      <c r="G401" s="1">
        <v>160.0</v>
      </c>
      <c r="H401" s="1" t="s">
        <v>52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53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54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56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57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f t="shared" si="1"/>
        <v>80</v>
      </c>
      <c r="AM401" s="1">
        <v>160.0</v>
      </c>
      <c r="AN401" s="1">
        <v>172.0</v>
      </c>
      <c r="AO401" s="1">
        <v>80.0</v>
      </c>
      <c r="AP401" s="2">
        <v>11.0</v>
      </c>
      <c r="AQ401" s="1">
        <v>80.0</v>
      </c>
      <c r="AR401" s="1">
        <v>80.0</v>
      </c>
      <c r="AS401" s="1" t="s">
        <v>2212</v>
      </c>
      <c r="AT401" s="3" t="str">
        <f>HYPERLINK("https://icf.clappia.com/app/GMB253374/submission/NWX21603557/ICF247370-GMB253374-4dl5o5k57c7000000000/SIG-20250703_1048gi51k.jpeg", "SIG-20250703_1048gi51k.jpeg")</f>
        <v>SIG-20250703_1048gi51k.jpeg</v>
      </c>
      <c r="AU401" s="1" t="s">
        <v>1185</v>
      </c>
      <c r="AV401" s="3" t="str">
        <f>HYPERLINK("https://icf.clappia.com/app/GMB253374/submission/NWX21603557/ICF247370-GMB253374-4o96jfhc4fme00000000/SIG-20250703_1049pf8l8.jpeg", "SIG-20250703_1049pf8l8.jpeg")</f>
        <v>SIG-20250703_1049pf8l8.jpeg</v>
      </c>
      <c r="AW401" s="1" t="s">
        <v>1186</v>
      </c>
      <c r="AX401" s="3" t="str">
        <f>HYPERLINK("https://icf.clappia.com/app/GMB253374/submission/NWX21603557/ICF247370-GMB253374-56jn0p9fg4km00000000/SIG-20250703_1050hk9lm.jpeg", "SIG-20250703_1050hk9lm.jpeg")</f>
        <v>SIG-20250703_1050hk9lm.jpeg</v>
      </c>
      <c r="AY401" s="3" t="str">
        <f>HYPERLINK("https://www.google.com/maps/place/7.9142325%2C-11.716971", "7.9142325,-11.716971")</f>
        <v>7.9142325,-11.716971</v>
      </c>
    </row>
    <row r="402" ht="15.75" customHeight="1">
      <c r="A402" s="1" t="s">
        <v>2213</v>
      </c>
      <c r="B402" s="2" t="s">
        <v>47</v>
      </c>
      <c r="C402" s="1" t="s">
        <v>2214</v>
      </c>
      <c r="D402" s="1" t="s">
        <v>2214</v>
      </c>
      <c r="E402" s="1" t="s">
        <v>2215</v>
      </c>
      <c r="F402" s="1" t="s">
        <v>51</v>
      </c>
      <c r="G402" s="1">
        <v>356.0</v>
      </c>
      <c r="H402" s="1" t="s">
        <v>52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53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54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56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57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f t="shared" si="1"/>
        <v>356</v>
      </c>
      <c r="AM402" s="1">
        <v>356.0</v>
      </c>
      <c r="AN402" s="1">
        <v>368.0</v>
      </c>
      <c r="AO402" s="1">
        <v>356.0</v>
      </c>
      <c r="AP402" s="2">
        <v>11.0</v>
      </c>
      <c r="AQ402" s="1">
        <v>0.0</v>
      </c>
      <c r="AR402" s="1">
        <v>0.0</v>
      </c>
      <c r="AS402" s="1" t="s">
        <v>1103</v>
      </c>
      <c r="AT402" s="3" t="str">
        <f>HYPERLINK("https://icf.clappia.com/app/GMB253374/submission/NEB50890964/ICF247370-GMB253374-4nh8akb4hmmc00000000/SIG-20250703_1040ak783.jpeg", "SIG-20250703_1040ak783.jpeg")</f>
        <v>SIG-20250703_1040ak783.jpeg</v>
      </c>
      <c r="AU402" s="1" t="s">
        <v>1104</v>
      </c>
      <c r="AV402" s="3" t="str">
        <f>HYPERLINK("https://icf.clappia.com/app/GMB253374/submission/NEB50890964/ICF247370-GMB253374-5nka5b2jkcc800000000/SIG-20250703_10441ie6n.jpeg", "SIG-20250703_10441ie6n.jpeg")</f>
        <v>SIG-20250703_10441ie6n.jpeg</v>
      </c>
      <c r="AW402" s="1" t="s">
        <v>1105</v>
      </c>
      <c r="AX402" s="3" t="str">
        <f>HYPERLINK("https://icf.clappia.com/app/GMB253374/submission/NEB50890964/ICF247370-GMB253374-520dho775koo00000000/SIG-20250703_104716igc1.jpeg", "SIG-20250703_104716igc1.jpeg")</f>
        <v>SIG-20250703_104716igc1.jpeg</v>
      </c>
      <c r="AY402" s="3" t="str">
        <f>HYPERLINK("https://www.google.com/maps/place/7.9360983%2C-11.729955", "7.9360983,-11.729955")</f>
        <v>7.9360983,-11.729955</v>
      </c>
    </row>
    <row r="403" ht="15.75" customHeight="1">
      <c r="A403" s="1" t="s">
        <v>2216</v>
      </c>
      <c r="B403" s="2" t="s">
        <v>47</v>
      </c>
      <c r="C403" s="1" t="s">
        <v>2217</v>
      </c>
      <c r="D403" s="1" t="s">
        <v>2217</v>
      </c>
      <c r="E403" s="1" t="s">
        <v>2218</v>
      </c>
      <c r="F403" s="1" t="s">
        <v>51</v>
      </c>
      <c r="G403" s="1">
        <v>62.0</v>
      </c>
      <c r="H403" s="1" t="s">
        <v>52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53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54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56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57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f t="shared" si="1"/>
        <v>62</v>
      </c>
      <c r="AM403" s="1">
        <v>62.0</v>
      </c>
      <c r="AN403" s="1">
        <v>74.0</v>
      </c>
      <c r="AO403" s="1">
        <v>61.0</v>
      </c>
      <c r="AP403" s="2">
        <v>11.0</v>
      </c>
      <c r="AQ403" s="1">
        <v>1.0</v>
      </c>
      <c r="AR403" s="1">
        <v>1.0</v>
      </c>
      <c r="AS403" s="1" t="s">
        <v>2219</v>
      </c>
      <c r="AT403" s="3" t="str">
        <f>HYPERLINK("https://icf.clappia.com/app/GMB253374/submission/SSI47154244/ICF247370-GMB253374-3m276jk358ki00000000/SIG-20250702_1533mc8e3.jpeg", "SIG-20250702_1533mc8e3.jpeg")</f>
        <v>SIG-20250702_1533mc8e3.jpeg</v>
      </c>
      <c r="AU403" s="1" t="s">
        <v>2220</v>
      </c>
      <c r="AV403" s="3" t="str">
        <f>HYPERLINK("https://icf.clappia.com/app/GMB253374/submission/SSI47154244/ICF247370-GMB253374-2lo82bfi42h800000000/SIG-20250701_11558mnp.jpeg", "SIG-20250701_11558mnp.jpeg")</f>
        <v>SIG-20250701_11558mnp.jpeg</v>
      </c>
      <c r="AW403" s="1" t="s">
        <v>2221</v>
      </c>
      <c r="AX403" s="3" t="str">
        <f>HYPERLINK("https://icf.clappia.com/app/GMB253374/submission/SSI47154244/ICF247370-GMB253374-egkmj1jko7da0000000/SIG-20250701_12002bgbb.jpeg", "SIG-20250701_12002bgbb.jpeg")</f>
        <v>SIG-20250701_12002bgbb.jpeg</v>
      </c>
      <c r="AY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2222</v>
      </c>
      <c r="B404" s="2" t="s">
        <v>47</v>
      </c>
      <c r="C404" s="1" t="s">
        <v>2223</v>
      </c>
      <c r="D404" s="1" t="s">
        <v>2223</v>
      </c>
      <c r="E404" s="1" t="s">
        <v>2224</v>
      </c>
      <c r="F404" s="1" t="s">
        <v>72</v>
      </c>
      <c r="G404" s="1">
        <v>245.0</v>
      </c>
      <c r="H404" s="1" t="s">
        <v>52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53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54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56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57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f t="shared" si="1"/>
        <v>238</v>
      </c>
      <c r="AM404" s="1">
        <v>245.0</v>
      </c>
      <c r="AN404" s="1">
        <v>257.0</v>
      </c>
      <c r="AO404" s="1">
        <v>210.0</v>
      </c>
      <c r="AP404" s="2">
        <v>11.0</v>
      </c>
      <c r="AQ404" s="1">
        <v>35.0</v>
      </c>
      <c r="AR404" s="1">
        <v>35.0</v>
      </c>
      <c r="AS404" s="1" t="s">
        <v>2225</v>
      </c>
      <c r="AT404" s="3" t="str">
        <f>HYPERLINK("https://icf.clappia.com/app/GMB253374/submission/NVX66231644/ICF247370-GMB253374-5edg9j12jin600000000/SIG-20250702_12311852fd.jpeg", "SIG-20250702_12311852fd.jpeg")</f>
        <v>SIG-20250702_12311852fd.jpeg</v>
      </c>
      <c r="AU404" s="1" t="s">
        <v>2226</v>
      </c>
      <c r="AV404" s="3" t="str">
        <f>HYPERLINK("https://icf.clappia.com/app/GMB253374/submission/NVX66231644/ICF247370-GMB253374-5lphpe55bj9200000000/SIG-20250702_12332gp42.jpeg", "SIG-20250702_12332gp42.jpeg")</f>
        <v>SIG-20250702_12332gp42.jpeg</v>
      </c>
      <c r="AW404" s="1" t="s">
        <v>2227</v>
      </c>
      <c r="AX404" s="3" t="str">
        <f>HYPERLINK("https://icf.clappia.com/app/GMB253374/submission/NVX66231644/ICF247370-GMB253374-1ph09165e1gn20000000/SIG-20250702_12347kjc7.jpeg", "SIG-20250702_12347kjc7.jpeg")</f>
        <v>SIG-20250702_12347kjc7.jpeg</v>
      </c>
      <c r="AY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2228</v>
      </c>
      <c r="B405" s="2" t="s">
        <v>47</v>
      </c>
      <c r="C405" s="1" t="s">
        <v>2229</v>
      </c>
      <c r="D405" s="1" t="s">
        <v>2229</v>
      </c>
      <c r="E405" s="1" t="s">
        <v>2230</v>
      </c>
      <c r="F405" s="1" t="s">
        <v>51</v>
      </c>
      <c r="G405" s="1">
        <v>280.0</v>
      </c>
      <c r="H405" s="1" t="s">
        <v>52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53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54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56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57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f t="shared" si="1"/>
        <v>270</v>
      </c>
      <c r="AM405" s="1">
        <v>280.0</v>
      </c>
      <c r="AN405" s="1">
        <v>292.0</v>
      </c>
      <c r="AO405" s="1">
        <v>270.0</v>
      </c>
      <c r="AP405" s="2">
        <v>11.0</v>
      </c>
      <c r="AQ405" s="1">
        <v>10.0</v>
      </c>
      <c r="AR405" s="1">
        <v>10.0</v>
      </c>
      <c r="AS405" s="1" t="s">
        <v>1318</v>
      </c>
      <c r="AT405" s="3" t="str">
        <f>HYPERLINK("https://icf.clappia.com/app/GMB253374/submission/MWY47306440/ICF247370-GMB253374-4nnk24746i6000000000/SIG-20250703_1036b7k5a.jpeg", "SIG-20250703_1036b7k5a.jpeg")</f>
        <v>SIG-20250703_1036b7k5a.jpeg</v>
      </c>
      <c r="AU405" s="1" t="s">
        <v>1319</v>
      </c>
      <c r="AV405" s="3" t="str">
        <f>HYPERLINK("https://icf.clappia.com/app/GMB253374/submission/MWY47306440/ICF247370-GMB253374-4f4ffm7569ng00000000/SIG-20250703_1037opb6c.jpeg", "SIG-20250703_1037opb6c.jpeg")</f>
        <v>SIG-20250703_1037opb6c.jpeg</v>
      </c>
      <c r="AW405" s="1" t="s">
        <v>1320</v>
      </c>
      <c r="AX405" s="3" t="str">
        <f>HYPERLINK("https://icf.clappia.com/app/GMB253374/submission/MWY47306440/ICF247370-GMB253374-5id5fpklicag00000000/SIG-20250703_1037cml84.jpeg", "SIG-20250703_1037cml84.jpeg")</f>
        <v>SIG-20250703_1037cml84.jpeg</v>
      </c>
      <c r="AY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2231</v>
      </c>
      <c r="B406" s="2" t="s">
        <v>47</v>
      </c>
      <c r="C406" s="1" t="s">
        <v>2232</v>
      </c>
      <c r="D406" s="1" t="s">
        <v>2232</v>
      </c>
      <c r="E406" s="1" t="s">
        <v>2233</v>
      </c>
      <c r="F406" s="1" t="s">
        <v>51</v>
      </c>
      <c r="G406" s="1">
        <v>316.0</v>
      </c>
      <c r="H406" s="1" t="s">
        <v>52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53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54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56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57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f t="shared" si="1"/>
        <v>298</v>
      </c>
      <c r="AM406" s="1">
        <v>316.0</v>
      </c>
      <c r="AN406" s="1">
        <v>328.0</v>
      </c>
      <c r="AO406" s="1">
        <v>238.0</v>
      </c>
      <c r="AP406" s="2">
        <v>11.0</v>
      </c>
      <c r="AQ406" s="1">
        <v>78.0</v>
      </c>
      <c r="AR406" s="1">
        <v>78.0</v>
      </c>
      <c r="AS406" s="1" t="s">
        <v>993</v>
      </c>
      <c r="AT406" s="3" t="str">
        <f>HYPERLINK("https://icf.clappia.com/app/GMB253374/submission/FBN47856380/ICF247370-GMB253374-3c34684k2f5400000000/SIG-20250703_10346pchh.jpeg", "SIG-20250703_10346pchh.jpeg")</f>
        <v>SIG-20250703_10346pchh.jpeg</v>
      </c>
      <c r="AU406" s="1" t="s">
        <v>994</v>
      </c>
      <c r="AV406" s="3" t="str">
        <f>HYPERLINK("https://icf.clappia.com/app/GMB253374/submission/FBN47856380/ICF247370-GMB253374-hbadlinc067a0000000/SIG-20250703_103518h4ai.jpeg", "SIG-20250703_103518h4ai.jpeg")</f>
        <v>SIG-20250703_103518h4ai.jpeg</v>
      </c>
      <c r="AW406" s="1" t="s">
        <v>1282</v>
      </c>
      <c r="AX406" s="3" t="str">
        <f>HYPERLINK("https://icf.clappia.com/app/GMB253374/submission/FBN47856380/ICF247370-GMB253374-4ei3okgba1c800000000/SIG-20250703_1035iajii.jpeg", "SIG-20250703_1035iajii.jpeg")</f>
        <v>SIG-20250703_1035iajii.jpeg</v>
      </c>
      <c r="AY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2234</v>
      </c>
      <c r="B407" s="2" t="s">
        <v>47</v>
      </c>
      <c r="C407" s="1" t="s">
        <v>2232</v>
      </c>
      <c r="D407" s="1" t="s">
        <v>2232</v>
      </c>
      <c r="E407" s="1" t="s">
        <v>2235</v>
      </c>
      <c r="F407" s="1" t="s">
        <v>51</v>
      </c>
      <c r="G407" s="1">
        <v>300.0</v>
      </c>
      <c r="H407" s="1" t="s">
        <v>52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53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54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56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57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f t="shared" si="1"/>
        <v>318</v>
      </c>
      <c r="AM407" s="1">
        <v>300.0</v>
      </c>
      <c r="AN407" s="1">
        <v>312.0</v>
      </c>
      <c r="AO407" s="1">
        <v>250.0</v>
      </c>
      <c r="AP407" s="2">
        <v>11.0</v>
      </c>
      <c r="AQ407" s="1">
        <v>50.0</v>
      </c>
      <c r="AR407" s="1">
        <v>50.0</v>
      </c>
      <c r="AS407" s="1" t="s">
        <v>987</v>
      </c>
      <c r="AT407" s="3" t="str">
        <f>HYPERLINK("https://icf.clappia.com/app/GMB253374/submission/ULU51276543/ICF247370-GMB253374-6629887go63m0000000/SIG-20250702_114515i8me.jpeg", "SIG-20250702_114515i8me.jpeg")</f>
        <v>SIG-20250702_114515i8me.jpeg</v>
      </c>
      <c r="AU407" s="1" t="s">
        <v>1367</v>
      </c>
      <c r="AV407" s="3" t="str">
        <f>HYPERLINK("https://icf.clappia.com/app/GMB253374/submission/ULU51276543/ICF247370-GMB253374-69o5e6655c0k00000000/SIG-20250702_1145ag67f.jpeg", "SIG-20250702_1145ag67f.jpeg")</f>
        <v>SIG-20250702_1145ag67f.jpeg</v>
      </c>
      <c r="AW407" s="1" t="s">
        <v>2236</v>
      </c>
      <c r="AX407" s="3" t="str">
        <f>HYPERLINK("https://icf.clappia.com/app/GMB253374/submission/ULU51276543/ICF247370-GMB253374-2eekh4p4an8800000000/SIG-20250702_114596kl.jpeg", "SIG-20250702_114596kl.jpeg")</f>
        <v>SIG-20250702_114596kl.jpeg</v>
      </c>
      <c r="AY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2237</v>
      </c>
      <c r="B408" s="2" t="s">
        <v>47</v>
      </c>
      <c r="C408" s="1" t="s">
        <v>2232</v>
      </c>
      <c r="D408" s="1" t="s">
        <v>2232</v>
      </c>
      <c r="E408" s="1" t="s">
        <v>2238</v>
      </c>
      <c r="F408" s="1" t="s">
        <v>51</v>
      </c>
      <c r="G408" s="1">
        <v>100.0</v>
      </c>
      <c r="H408" s="1" t="s">
        <v>52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53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54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56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57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f t="shared" si="1"/>
        <v>55</v>
      </c>
      <c r="AM408" s="1">
        <v>100.0</v>
      </c>
      <c r="AN408" s="1">
        <v>112.0</v>
      </c>
      <c r="AO408" s="1">
        <v>55.0</v>
      </c>
      <c r="AP408" s="2">
        <v>11.0</v>
      </c>
      <c r="AQ408" s="1">
        <v>45.0</v>
      </c>
      <c r="AR408" s="1">
        <v>45.0</v>
      </c>
      <c r="AS408" s="1" t="s">
        <v>2239</v>
      </c>
      <c r="AT408" s="3" t="str">
        <f>HYPERLINK("https://icf.clappia.com/app/GMB253374/submission/MLK70584207/ICF247370-GMB253374-31o2k1k7dela00000000/SIG-20250703_1033188h4a.jpeg", "SIG-20250703_1033188h4a.jpeg")</f>
        <v>SIG-20250703_1033188h4a.jpeg</v>
      </c>
      <c r="AU408" s="1" t="s">
        <v>2240</v>
      </c>
      <c r="AV408" s="3" t="str">
        <f>HYPERLINK("https://icf.clappia.com/app/GMB253374/submission/MLK70584207/ICF247370-GMB253374-23l149injpb8c0000000/SIG-20250703_10345m77h.jpeg", "SIG-20250703_10345m77h.jpeg")</f>
        <v>SIG-20250703_10345m77h.jpeg</v>
      </c>
      <c r="AW408" s="1" t="s">
        <v>2241</v>
      </c>
      <c r="AX408" s="3" t="str">
        <f>HYPERLINK("https://icf.clappia.com/app/GMB253374/submission/MLK70584207/ICF247370-GMB253374-2bd24ge3b0mae0000000/SIG-20250703_1034f5j95.jpeg", "SIG-20250703_1034f5j95.jpeg")</f>
        <v>SIG-20250703_1034f5j95.jpeg</v>
      </c>
      <c r="AY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2242</v>
      </c>
      <c r="B409" s="2" t="s">
        <v>47</v>
      </c>
      <c r="C409" s="1" t="s">
        <v>2243</v>
      </c>
      <c r="D409" s="1" t="s">
        <v>2243</v>
      </c>
      <c r="E409" s="1" t="s">
        <v>2244</v>
      </c>
      <c r="F409" s="1" t="s">
        <v>72</v>
      </c>
      <c r="G409" s="1">
        <v>31.0</v>
      </c>
      <c r="H409" s="1" t="s">
        <v>52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53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54</v>
      </c>
      <c r="U409" s="1" t="s">
        <v>55</v>
      </c>
      <c r="V409" s="1" t="s">
        <v>55</v>
      </c>
      <c r="W409" s="1" t="s">
        <v>55</v>
      </c>
      <c r="X409" s="1" t="s">
        <v>55</v>
      </c>
      <c r="Y409" s="1" t="s">
        <v>55</v>
      </c>
      <c r="Z409" s="1" t="s">
        <v>56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57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f t="shared" si="1"/>
        <v>31</v>
      </c>
      <c r="AM409" s="1">
        <v>31.0</v>
      </c>
      <c r="AN409" s="1">
        <v>43.0</v>
      </c>
      <c r="AO409" s="1">
        <v>31.0</v>
      </c>
      <c r="AP409" s="2">
        <v>11.0</v>
      </c>
      <c r="AQ409" s="1">
        <v>0.0</v>
      </c>
      <c r="AR409" s="1">
        <v>0.0</v>
      </c>
      <c r="AS409" s="1" t="s">
        <v>2245</v>
      </c>
      <c r="AT409" s="3" t="str">
        <f>HYPERLINK("https://icf.clappia.com/app/GMB253374/submission/TDV70896513/ICF247370-GMB253374-9g31fjl7l11e0000000/SIG-20250703_10203k7cl.jpeg", "SIG-20250703_10203k7cl.jpeg")</f>
        <v>SIG-20250703_10203k7cl.jpeg</v>
      </c>
      <c r="AU409" s="1" t="s">
        <v>2246</v>
      </c>
      <c r="AV409" s="3" t="str">
        <f>HYPERLINK("https://icf.clappia.com/app/GMB253374/submission/TDV70896513/ICF247370-GMB253374-1nm4f0kbpa9n60000000/SIG-20250703_1020eg38j.jpeg", "SIG-20250703_1020eg38j.jpeg")</f>
        <v>SIG-20250703_1020eg38j.jpeg</v>
      </c>
      <c r="AW409" s="1" t="s">
        <v>2247</v>
      </c>
      <c r="AX409" s="3" t="str">
        <f>HYPERLINK("https://icf.clappia.com/app/GMB253374/submission/TDV70896513/ICF247370-GMB253374-41p90mmpm7lm00000000/SIG-20250703_1021jnf1i.jpeg", "SIG-20250703_1021jnf1i.jpeg")</f>
        <v>SIG-20250703_1021jnf1i.jpeg</v>
      </c>
      <c r="AY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2248</v>
      </c>
      <c r="B410" s="2" t="s">
        <v>47</v>
      </c>
      <c r="C410" s="1" t="s">
        <v>2249</v>
      </c>
      <c r="D410" s="1" t="s">
        <v>2249</v>
      </c>
      <c r="E410" s="1" t="s">
        <v>2250</v>
      </c>
      <c r="F410" s="1" t="s">
        <v>72</v>
      </c>
      <c r="G410" s="1">
        <v>95.0</v>
      </c>
      <c r="H410" s="1" t="s">
        <v>52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53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54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56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57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f t="shared" si="1"/>
        <v>44</v>
      </c>
      <c r="AM410" s="1">
        <v>95.0</v>
      </c>
      <c r="AN410" s="1">
        <v>107.0</v>
      </c>
      <c r="AO410" s="1">
        <v>44.0</v>
      </c>
      <c r="AP410" s="2">
        <v>11.0</v>
      </c>
      <c r="AQ410" s="1">
        <v>51.0</v>
      </c>
      <c r="AR410" s="1">
        <v>51.0</v>
      </c>
      <c r="AS410" s="1" t="s">
        <v>2251</v>
      </c>
      <c r="AT410" s="3" t="str">
        <f>HYPERLINK("https://icf.clappia.com/app/GMB253374/submission/GSA77897528/ICF247370-GMB253374-2o5eb3ebp3lc00000000/SIG-20250703_1015ch67j.jpeg", "SIG-20250703_1015ch67j.jpeg")</f>
        <v>SIG-20250703_1015ch67j.jpeg</v>
      </c>
      <c r="AU410" s="1" t="s">
        <v>2252</v>
      </c>
      <c r="AV410" s="3" t="str">
        <f>HYPERLINK("https://icf.clappia.com/app/GMB253374/submission/GSA77897528/ICF247370-GMB253374-1a76mckdlll3m0000000/SIG-20250703_101611914f.jpeg", "SIG-20250703_101611914f.jpeg")</f>
        <v>SIG-20250703_101611914f.jpeg</v>
      </c>
      <c r="AW410" s="1" t="s">
        <v>2253</v>
      </c>
      <c r="AX410" s="3" t="str">
        <f>HYPERLINK("https://icf.clappia.com/app/GMB253374/submission/GSA77897528/ICF247370-GMB253374-37ina8m5bm0800000000/SIG-20250703_10165fhg1.jpeg", "SIG-20250703_10165fhg1.jpeg")</f>
        <v>SIG-20250703_10165fhg1.jpeg</v>
      </c>
      <c r="AY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2254</v>
      </c>
      <c r="B411" s="2" t="s">
        <v>47</v>
      </c>
      <c r="C411" s="1" t="s">
        <v>2255</v>
      </c>
      <c r="D411" s="1" t="s">
        <v>2256</v>
      </c>
      <c r="E411" s="1" t="s">
        <v>2257</v>
      </c>
      <c r="F411" s="1" t="s">
        <v>51</v>
      </c>
      <c r="G411" s="1">
        <v>100.0</v>
      </c>
      <c r="H411" s="1" t="s">
        <v>52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53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54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56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57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f t="shared" si="1"/>
        <v>100</v>
      </c>
      <c r="AM411" s="1">
        <v>100.0</v>
      </c>
      <c r="AN411" s="1">
        <v>112.0</v>
      </c>
      <c r="AO411" s="1">
        <v>96.0</v>
      </c>
      <c r="AP411" s="2">
        <v>11.0</v>
      </c>
      <c r="AQ411" s="1">
        <v>4.0</v>
      </c>
      <c r="AR411" s="1">
        <v>4.0</v>
      </c>
      <c r="AS411" s="1" t="s">
        <v>2258</v>
      </c>
      <c r="AT411" s="3" t="str">
        <f>HYPERLINK("https://icf.clappia.com/app/GMB253374/submission/NAC07266887/ICF247370-GMB253374-43b48df8kd2k00000000/SIG-20250703_09557g64l.jpeg", "SIG-20250703_09557g64l.jpeg")</f>
        <v>SIG-20250703_09557g64l.jpeg</v>
      </c>
      <c r="AU411" s="1" t="s">
        <v>2259</v>
      </c>
      <c r="AV411" s="3" t="str">
        <f>HYPERLINK("https://icf.clappia.com/app/GMB253374/submission/NAC07266887/ICF247370-GMB253374-2p58coooj4mk00000000/SIG-20250703_0955g3hap.jpeg", "SIG-20250703_0955g3hap.jpeg")</f>
        <v>SIG-20250703_0955g3hap.jpeg</v>
      </c>
      <c r="AW411" s="1" t="s">
        <v>2260</v>
      </c>
      <c r="AX411" s="3" t="str">
        <f>HYPERLINK("https://icf.clappia.com/app/GMB253374/submission/NAC07266887/ICF247370-GMB253374-2an91f59cel4e0000000/SIG-20250703_0956841d6.jpeg", "SIG-20250703_0956841d6.jpeg")</f>
        <v>SIG-20250703_0956841d6.jpeg</v>
      </c>
      <c r="AY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2261</v>
      </c>
      <c r="B412" s="2" t="s">
        <v>47</v>
      </c>
      <c r="C412" s="1" t="s">
        <v>2256</v>
      </c>
      <c r="D412" s="1" t="s">
        <v>2256</v>
      </c>
      <c r="E412" s="1" t="s">
        <v>2262</v>
      </c>
      <c r="F412" s="1" t="s">
        <v>72</v>
      </c>
      <c r="G412" s="1">
        <v>231.0</v>
      </c>
      <c r="H412" s="1" t="s">
        <v>52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53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54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56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57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f t="shared" si="1"/>
        <v>231</v>
      </c>
      <c r="AM412" s="1">
        <v>231.0</v>
      </c>
      <c r="AN412" s="1">
        <v>243.0</v>
      </c>
      <c r="AO412" s="1">
        <v>229.0</v>
      </c>
      <c r="AP412" s="2">
        <v>11.0</v>
      </c>
      <c r="AQ412" s="1">
        <v>2.0</v>
      </c>
      <c r="AR412" s="1">
        <v>2.0</v>
      </c>
      <c r="AS412" s="1" t="s">
        <v>2263</v>
      </c>
      <c r="AT412" s="3" t="str">
        <f>HYPERLINK("https://icf.clappia.com/app/GMB253374/submission/YSH85598555/ICF247370-GMB253374-k49aea139n1i0000000/SIG-20250703_102861k2e.jpeg", "SIG-20250703_102861k2e.jpeg")</f>
        <v>SIG-20250703_102861k2e.jpeg</v>
      </c>
      <c r="AU412" s="1" t="s">
        <v>2264</v>
      </c>
      <c r="AV412" s="3" t="str">
        <f>HYPERLINK("https://icf.clappia.com/app/GMB253374/submission/YSH85598555/ICF247370-GMB253374-4e0d6d05akkk00000000/SIG-20250703_102811m9ek.jpeg", "SIG-20250703_102811m9ek.jpeg")</f>
        <v>SIG-20250703_102811m9ek.jpeg</v>
      </c>
      <c r="AW412" s="1" t="s">
        <v>2265</v>
      </c>
      <c r="AX412" s="3" t="str">
        <f>HYPERLINK("https://icf.clappia.com/app/GMB253374/submission/YSH85598555/ICF247370-GMB253374-27jp8obb0j8ik0000000/SIG-20250703_10297fp05.jpeg", "SIG-20250703_10297fp05.jpeg")</f>
        <v>SIG-20250703_10297fp05.jpeg</v>
      </c>
      <c r="AY412" s="3" t="str">
        <f>HYPERLINK("https://www.google.com/maps/place/8.86593%2C-12.0433117", "8.86593,-12.0433117")</f>
        <v>8.86593,-12.0433117</v>
      </c>
    </row>
    <row r="413" ht="15.75" customHeight="1">
      <c r="A413" s="1" t="s">
        <v>2266</v>
      </c>
      <c r="B413" s="2" t="s">
        <v>47</v>
      </c>
      <c r="C413" s="1" t="s">
        <v>2267</v>
      </c>
      <c r="D413" s="1" t="s">
        <v>2268</v>
      </c>
      <c r="E413" s="1" t="s">
        <v>2269</v>
      </c>
      <c r="F413" s="1" t="s">
        <v>51</v>
      </c>
      <c r="G413" s="1">
        <v>237.0</v>
      </c>
      <c r="H413" s="1" t="s">
        <v>52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53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54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56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57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f t="shared" si="1"/>
        <v>237</v>
      </c>
      <c r="AM413" s="1">
        <v>237.0</v>
      </c>
      <c r="AN413" s="1">
        <v>249.0</v>
      </c>
      <c r="AO413" s="1">
        <v>230.0</v>
      </c>
      <c r="AP413" s="2">
        <v>11.0</v>
      </c>
      <c r="AQ413" s="1">
        <v>7.0</v>
      </c>
      <c r="AR413" s="1">
        <v>7.0</v>
      </c>
      <c r="AS413" s="1" t="s">
        <v>2270</v>
      </c>
      <c r="AT413" s="3" t="str">
        <f>HYPERLINK("https://icf.clappia.com/app/GMB253374/submission/LAO92566947/ICF247370-GMB253374-kg6g4n0g144g0000000/SIG-20250703_0942p3eco.jpeg", "SIG-20250703_0942p3eco.jpeg")</f>
        <v>SIG-20250703_0942p3eco.jpeg</v>
      </c>
      <c r="AU413" s="1" t="s">
        <v>2271</v>
      </c>
      <c r="AV413" s="3" t="str">
        <f>HYPERLINK("https://icf.clappia.com/app/GMB253374/submission/LAO92566947/ICF247370-GMB253374-5flgdhej1ig400000000/SIG-20250703_094318mmb2.jpeg", "SIG-20250703_094318mmb2.jpeg")</f>
        <v>SIG-20250703_094318mmb2.jpeg</v>
      </c>
      <c r="AW413" s="1" t="s">
        <v>2272</v>
      </c>
      <c r="AX413" s="3" t="str">
        <f>HYPERLINK("https://icf.clappia.com/app/GMB253374/submission/LAO92566947/ICF247370-GMB253374-19p25j5a6fae40000000/SIG-20250703_09434nigk.jpeg", "SIG-20250703_09434nigk.jpeg")</f>
        <v>SIG-20250703_09434nigk.jpeg</v>
      </c>
      <c r="AY413" s="3" t="str">
        <f>HYPERLINK("https://www.google.com/maps/place/7.77417%2C-11.4667333", "7.77417,-11.4667333")</f>
        <v>7.77417,-11.4667333</v>
      </c>
    </row>
    <row r="414" ht="15.75" customHeight="1">
      <c r="A414" s="1" t="s">
        <v>2273</v>
      </c>
      <c r="B414" s="2" t="s">
        <v>47</v>
      </c>
      <c r="C414" s="1" t="s">
        <v>2274</v>
      </c>
      <c r="D414" s="1" t="s">
        <v>2274</v>
      </c>
      <c r="E414" s="1" t="s">
        <v>2275</v>
      </c>
      <c r="F414" s="1" t="s">
        <v>51</v>
      </c>
      <c r="G414" s="1">
        <v>152.0</v>
      </c>
      <c r="H414" s="1" t="s">
        <v>52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53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54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56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57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f t="shared" si="1"/>
        <v>149</v>
      </c>
      <c r="AM414" s="1">
        <v>152.0</v>
      </c>
      <c r="AN414" s="1">
        <v>164.0</v>
      </c>
      <c r="AO414" s="1">
        <v>142.0</v>
      </c>
      <c r="AP414" s="2">
        <v>11.0</v>
      </c>
      <c r="AQ414" s="1">
        <v>10.0</v>
      </c>
      <c r="AR414" s="1">
        <v>10.0</v>
      </c>
      <c r="AS414" s="1" t="s">
        <v>2276</v>
      </c>
      <c r="AT414" s="3" t="str">
        <f>HYPERLINK("https://icf.clappia.com/app/GMB253374/submission/XSJ93890299/ICF247370-GMB253374-2paa4pbh036e00000000/SIG-20250703_1017709f8.jpeg", "SIG-20250703_1017709f8.jpeg")</f>
        <v>SIG-20250703_1017709f8.jpeg</v>
      </c>
      <c r="AU414" s="1" t="s">
        <v>2277</v>
      </c>
      <c r="AV414" s="3" t="str">
        <f>HYPERLINK("https://icf.clappia.com/app/GMB253374/submission/XSJ93890299/ICF247370-GMB253374-3ogn4adio2ii00000000/SIG-20250703_10181k2ag.jpeg", "SIG-20250703_10181k2ag.jpeg")</f>
        <v>SIG-20250703_10181k2ag.jpeg</v>
      </c>
      <c r="AW414" s="1" t="s">
        <v>2278</v>
      </c>
      <c r="AX414" s="3" t="str">
        <f>HYPERLINK("https://icf.clappia.com/app/GMB253374/submission/XSJ93890299/ICF247370-GMB253374-59pf8mj77nh600000000/SIG-20250703_1020b2515.jpeg", "SIG-20250703_1020b2515.jpeg")</f>
        <v>SIG-20250703_1020b2515.jpeg</v>
      </c>
      <c r="AY414" s="3" t="str">
        <f>HYPERLINK("https://www.google.com/maps/place/8.12706%2C-11.6527317", "8.12706,-11.6527317")</f>
        <v>8.12706,-11.6527317</v>
      </c>
    </row>
    <row r="415" ht="15.75" customHeight="1">
      <c r="A415" s="1" t="s">
        <v>2279</v>
      </c>
      <c r="B415" s="2" t="s">
        <v>47</v>
      </c>
      <c r="C415" s="1" t="s">
        <v>2280</v>
      </c>
      <c r="D415" s="1" t="s">
        <v>2280</v>
      </c>
      <c r="E415" s="1" t="s">
        <v>2281</v>
      </c>
      <c r="F415" s="1" t="s">
        <v>51</v>
      </c>
      <c r="G415" s="1">
        <v>263.0</v>
      </c>
      <c r="H415" s="1" t="s">
        <v>52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53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54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56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57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f t="shared" si="1"/>
        <v>263</v>
      </c>
      <c r="AM415" s="1">
        <v>263.0</v>
      </c>
      <c r="AN415" s="1">
        <v>275.0</v>
      </c>
      <c r="AO415" s="1">
        <v>263.0</v>
      </c>
      <c r="AP415" s="2">
        <v>11.0</v>
      </c>
      <c r="AQ415" s="1">
        <v>0.0</v>
      </c>
      <c r="AR415" s="1">
        <v>0.0</v>
      </c>
      <c r="AS415" s="1" t="s">
        <v>2282</v>
      </c>
      <c r="AT415" s="3" t="str">
        <f>HYPERLINK("https://icf.clappia.com/app/GMB253374/submission/QOU18765372/ICF247370-GMB253374-43ob314c4omg00000000/SIG-20250703_1014i001e.jpeg", "SIG-20250703_1014i001e.jpeg")</f>
        <v>SIG-20250703_1014i001e.jpeg</v>
      </c>
      <c r="AU415" s="1" t="s">
        <v>2283</v>
      </c>
      <c r="AV415" s="3" t="str">
        <f>HYPERLINK("https://icf.clappia.com/app/GMB253374/submission/QOU18765372/ICF247370-GMB253374-503h77chcfa800000000/SIG-20250703_101591com.jpeg", "SIG-20250703_101591com.jpeg")</f>
        <v>SIG-20250703_101591com.jpeg</v>
      </c>
      <c r="AW415" s="1" t="s">
        <v>2284</v>
      </c>
      <c r="AX415" s="3" t="str">
        <f>HYPERLINK("https://icf.clappia.com/app/GMB253374/submission/QOU18765372/ICF247370-GMB253374-p9jd02eakehe0000000/SIG-20250703_1016jjhl0.jpeg", "SIG-20250703_1016jjhl0.jpeg")</f>
        <v>SIG-20250703_1016jjhl0.jpeg</v>
      </c>
      <c r="AY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2285</v>
      </c>
      <c r="B416" s="2" t="s">
        <v>47</v>
      </c>
      <c r="C416" s="1" t="s">
        <v>2280</v>
      </c>
      <c r="D416" s="1" t="s">
        <v>2280</v>
      </c>
      <c r="E416" s="1" t="s">
        <v>2286</v>
      </c>
      <c r="F416" s="1" t="s">
        <v>51</v>
      </c>
      <c r="G416" s="1">
        <v>150.0</v>
      </c>
      <c r="H416" s="1" t="s">
        <v>52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53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54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56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57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f t="shared" si="1"/>
        <v>374</v>
      </c>
      <c r="AM416" s="1">
        <v>150.0</v>
      </c>
      <c r="AN416" s="1">
        <v>162.0</v>
      </c>
      <c r="AO416" s="1">
        <v>150.0</v>
      </c>
      <c r="AP416" s="2">
        <v>11.0</v>
      </c>
      <c r="AQ416" s="1">
        <v>0.0</v>
      </c>
      <c r="AR416" s="1">
        <v>0.0</v>
      </c>
      <c r="AS416" s="1" t="s">
        <v>2287</v>
      </c>
      <c r="AT416" s="3" t="str">
        <f>HYPERLINK("https://icf.clappia.com/app/GMB253374/submission/EHF99297605/ICF247370-GMB253374-276pjjco61n8c000000/SIG-20250703_1012a3kmh.jpeg", "SIG-20250703_1012a3kmh.jpeg")</f>
        <v>SIG-20250703_1012a3kmh.jpeg</v>
      </c>
      <c r="AU416" s="1" t="s">
        <v>2288</v>
      </c>
      <c r="AV416" s="3" t="str">
        <f>HYPERLINK("https://icf.clappia.com/app/GMB253374/submission/EHF99297605/ICF247370-GMB253374-2o4gi3n473k800000000/SIG-20250703_100913ddjg.jpeg", "SIG-20250703_100913ddjg.jpeg")</f>
        <v>SIG-20250703_100913ddjg.jpeg</v>
      </c>
      <c r="AW416" s="1" t="s">
        <v>1010</v>
      </c>
      <c r="AX416" s="3" t="str">
        <f>HYPERLINK("https://icf.clappia.com/app/GMB253374/submission/EHF99297605/ICF247370-GMB253374-gba1o3mmdpjm0000000/SIG-20250703_10091a90g8.jpeg", "SIG-20250703_10091a90g8.jpeg")</f>
        <v>SIG-20250703_10091a90g8.jpeg</v>
      </c>
      <c r="AY416" s="3" t="str">
        <f>HYPERLINK("https://www.google.com/maps/place/8.89485%2C-12.06525", "8.89485,-12.06525")</f>
        <v>8.89485,-12.06525</v>
      </c>
    </row>
    <row r="417" ht="15.75" customHeight="1">
      <c r="A417" s="1" t="s">
        <v>2289</v>
      </c>
      <c r="B417" s="2" t="s">
        <v>47</v>
      </c>
      <c r="C417" s="1" t="s">
        <v>2290</v>
      </c>
      <c r="D417" s="1" t="s">
        <v>2290</v>
      </c>
      <c r="E417" s="1" t="s">
        <v>2291</v>
      </c>
      <c r="F417" s="1" t="s">
        <v>51</v>
      </c>
      <c r="G417" s="1">
        <v>63.0</v>
      </c>
      <c r="H417" s="1" t="s">
        <v>52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53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54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56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57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f t="shared" si="1"/>
        <v>83</v>
      </c>
      <c r="AM417" s="1">
        <v>63.0</v>
      </c>
      <c r="AN417" s="1">
        <v>75.0</v>
      </c>
      <c r="AO417" s="1">
        <v>63.0</v>
      </c>
      <c r="AP417" s="2">
        <v>11.0</v>
      </c>
      <c r="AQ417" s="1">
        <v>0.0</v>
      </c>
      <c r="AR417" s="1">
        <v>0.0</v>
      </c>
      <c r="AS417" s="1" t="s">
        <v>1276</v>
      </c>
      <c r="AT417" s="3" t="str">
        <f>HYPERLINK("https://icf.clappia.com/app/GMB253374/submission/FYT90571379/ICF247370-GMB253374-69jpnl6io7go00000000/SIG-20250703_1011cn21b.jpeg", "SIG-20250703_1011cn21b.jpeg")</f>
        <v>SIG-20250703_1011cn21b.jpeg</v>
      </c>
      <c r="AU417" s="1" t="s">
        <v>1277</v>
      </c>
      <c r="AV417" s="3" t="str">
        <f>HYPERLINK("https://icf.clappia.com/app/GMB253374/submission/FYT90571379/ICF247370-GMB253374-64ehjd0kie800000000/SIG-20250703_1013kg860.jpeg", "SIG-20250703_1013kg860.jpeg")</f>
        <v>SIG-20250703_1013kg860.jpeg</v>
      </c>
      <c r="AW417" s="1" t="s">
        <v>1278</v>
      </c>
      <c r="AX417" s="3" t="str">
        <f>HYPERLINK("https://icf.clappia.com/app/GMB253374/submission/FYT90571379/ICF247370-GMB253374-4ddcncplpi3800000000/SIG-20250703_1012e9f2d.jpeg", "SIG-20250703_1012e9f2d.jpeg")</f>
        <v>SIG-20250703_1012e9f2d.jpeg</v>
      </c>
      <c r="AY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2292</v>
      </c>
      <c r="B418" s="2" t="s">
        <v>47</v>
      </c>
      <c r="C418" s="1" t="s">
        <v>2293</v>
      </c>
      <c r="D418" s="1" t="s">
        <v>2290</v>
      </c>
      <c r="E418" s="1" t="s">
        <v>2294</v>
      </c>
      <c r="F418" s="1" t="s">
        <v>72</v>
      </c>
      <c r="G418" s="1">
        <v>200.0</v>
      </c>
      <c r="H418" s="1" t="s">
        <v>52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53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54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56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57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f t="shared" si="1"/>
        <v>218</v>
      </c>
      <c r="AM418" s="1">
        <v>200.0</v>
      </c>
      <c r="AN418" s="1">
        <v>212.0</v>
      </c>
      <c r="AO418" s="1">
        <v>166.0</v>
      </c>
      <c r="AP418" s="2">
        <v>11.0</v>
      </c>
      <c r="AQ418" s="1">
        <v>34.0</v>
      </c>
      <c r="AR418" s="1">
        <v>34.0</v>
      </c>
      <c r="AS418" s="1" t="s">
        <v>2295</v>
      </c>
      <c r="AT418" s="3" t="str">
        <f>HYPERLINK("https://icf.clappia.com/app/GMB253374/submission/JLL92041508/ICF247370-GMB253374-i70dhk0cgamk0000000/SIG-20250703_1010jfkgo.jpeg", "SIG-20250703_1010jfkgo.jpeg")</f>
        <v>SIG-20250703_1010jfkgo.jpeg</v>
      </c>
      <c r="AU418" s="1" t="s">
        <v>2296</v>
      </c>
      <c r="AV418" s="3" t="str">
        <f>HYPERLINK("https://icf.clappia.com/app/GMB253374/submission/JLL92041508/ICF247370-GMB253374-ckh8jm56k1p20000000/SIG-20250703_101018a03c.jpeg", "SIG-20250703_101018a03c.jpeg")</f>
        <v>SIG-20250703_101018a03c.jpeg</v>
      </c>
      <c r="AW418" s="1" t="s">
        <v>2297</v>
      </c>
      <c r="AX418" s="3" t="str">
        <f>HYPERLINK("https://icf.clappia.com/app/GMB253374/submission/JLL92041508/ICF247370-GMB253374-nb32bpdo29gc0000000/SIG-20250703_1011pjm0j.jpeg", "SIG-20250703_1011pjm0j.jpeg")</f>
        <v>SIG-20250703_1011pjm0j.jpeg</v>
      </c>
      <c r="AY418" s="3" t="str">
        <f>HYPERLINK("https://www.google.com/maps/place/8.9767689%2C-12.099146", "8.9767689,-12.099146")</f>
        <v>8.9767689,-12.099146</v>
      </c>
    </row>
    <row r="419" ht="15.75" customHeight="1">
      <c r="A419" s="1" t="s">
        <v>2298</v>
      </c>
      <c r="B419" s="2" t="s">
        <v>47</v>
      </c>
      <c r="C419" s="1" t="s">
        <v>2299</v>
      </c>
      <c r="D419" s="1" t="s">
        <v>2300</v>
      </c>
      <c r="E419" s="1" t="s">
        <v>2301</v>
      </c>
      <c r="F419" s="1" t="s">
        <v>51</v>
      </c>
      <c r="G419" s="1">
        <v>100.0</v>
      </c>
      <c r="H419" s="1" t="s">
        <v>52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53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54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56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57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f t="shared" si="1"/>
        <v>99</v>
      </c>
      <c r="AM419" s="1">
        <v>100.0</v>
      </c>
      <c r="AN419" s="1">
        <v>112.0</v>
      </c>
      <c r="AO419" s="1">
        <v>76.0</v>
      </c>
      <c r="AP419" s="2">
        <v>11.0</v>
      </c>
      <c r="AQ419" s="1">
        <v>24.0</v>
      </c>
      <c r="AR419" s="1">
        <v>24.0</v>
      </c>
      <c r="AS419" s="1" t="s">
        <v>2295</v>
      </c>
      <c r="AT419" s="3" t="str">
        <f>HYPERLINK("https://icf.clappia.com/app/GMB253374/submission/QBU10737151/ICF247370-GMB253374-33o0kpo67hp600000000/SIG-20250702_16041g95f.jpeg", "SIG-20250702_16041g95f.jpeg")</f>
        <v>SIG-20250702_16041g95f.jpeg</v>
      </c>
      <c r="AU419" s="1" t="s">
        <v>2296</v>
      </c>
      <c r="AV419" s="3" t="str">
        <f>HYPERLINK("https://icf.clappia.com/app/GMB253374/submission/QBU10737151/ICF247370-GMB253374-k5mkk0k9hji80000000/SIG-20250702_16052n3cp.jpeg", "SIG-20250702_16052n3cp.jpeg")</f>
        <v>SIG-20250702_16052n3cp.jpeg</v>
      </c>
      <c r="AW419" s="1" t="s">
        <v>2297</v>
      </c>
      <c r="AX419" s="3" t="str">
        <f>HYPERLINK("https://icf.clappia.com/app/GMB253374/submission/QBU10737151/ICF247370-GMB253374-18jk24617hcf20000000/SIG-20250702_160614jdm9.jpeg", "SIG-20250702_160614jdm9.jpeg")</f>
        <v>SIG-20250702_160614jdm9.jpeg</v>
      </c>
      <c r="AY419" s="3" t="str">
        <f>HYPERLINK("https://www.google.com/maps/place/8.99453%2C-12.1108433", "8.99453,-12.1108433")</f>
        <v>8.99453,-12.1108433</v>
      </c>
    </row>
    <row r="420" ht="15.75" customHeight="1">
      <c r="A420" s="1" t="s">
        <v>2302</v>
      </c>
      <c r="B420" s="2" t="s">
        <v>47</v>
      </c>
      <c r="C420" s="1" t="s">
        <v>2300</v>
      </c>
      <c r="D420" s="1" t="s">
        <v>2300</v>
      </c>
      <c r="E420" s="2" t="s">
        <v>2303</v>
      </c>
      <c r="F420" s="1" t="s">
        <v>51</v>
      </c>
      <c r="G420" s="1">
        <v>150.0</v>
      </c>
      <c r="H420" s="1" t="s">
        <v>52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53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54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56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57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f t="shared" si="1"/>
        <v>104</v>
      </c>
      <c r="AM420" s="1">
        <v>150.0</v>
      </c>
      <c r="AN420" s="1">
        <v>162.0</v>
      </c>
      <c r="AO420" s="1">
        <v>104.0</v>
      </c>
      <c r="AP420" s="2">
        <v>11.0</v>
      </c>
      <c r="AQ420" s="1">
        <v>46.0</v>
      </c>
      <c r="AR420" s="1">
        <v>46.0</v>
      </c>
      <c r="AS420" s="1" t="s">
        <v>2304</v>
      </c>
      <c r="AT420" s="3" t="str">
        <f>HYPERLINK("https://icf.clappia.com/app/GMB253374/submission/TQO65087990/ICF247370-GMB253374-4d6imialh4i800000000/SIG-20250703_10091af2g5.jpeg", "SIG-20250703_10091af2g5.jpeg")</f>
        <v>SIG-20250703_10091af2g5.jpeg</v>
      </c>
      <c r="AU420" s="1" t="s">
        <v>2305</v>
      </c>
      <c r="AV420" s="3" t="str">
        <f>HYPERLINK("https://icf.clappia.com/app/GMB253374/submission/TQO65087990/ICF247370-GMB253374-641nl9ccokoo00000000/SIG-20250703_1008fmha0.jpeg", "SIG-20250703_1008fmha0.jpeg")</f>
        <v>SIG-20250703_1008fmha0.jpeg</v>
      </c>
      <c r="AW420" s="1" t="s">
        <v>2306</v>
      </c>
      <c r="AX420" s="3" t="str">
        <f>HYPERLINK("https://icf.clappia.com/app/GMB253374/submission/TQO65087990/ICF247370-GMB253374-2g8o214fpbia00000000/SIG-20250703_1009d1djh.jpeg", "SIG-20250703_1009d1djh.jpeg")</f>
        <v>SIG-20250703_1009d1djh.jpeg</v>
      </c>
      <c r="AY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2307</v>
      </c>
      <c r="B421" s="2" t="s">
        <v>47</v>
      </c>
      <c r="C421" s="1" t="s">
        <v>2308</v>
      </c>
      <c r="D421" s="1" t="s">
        <v>2308</v>
      </c>
      <c r="E421" s="2" t="s">
        <v>2309</v>
      </c>
      <c r="F421" s="1" t="s">
        <v>72</v>
      </c>
      <c r="G421" s="1">
        <v>250.0</v>
      </c>
      <c r="H421" s="1" t="s">
        <v>52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53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54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56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57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f t="shared" si="1"/>
        <v>250</v>
      </c>
      <c r="AM421" s="1">
        <v>250.0</v>
      </c>
      <c r="AN421" s="1">
        <v>262.0</v>
      </c>
      <c r="AO421" s="1">
        <v>240.0</v>
      </c>
      <c r="AP421" s="2">
        <v>11.0</v>
      </c>
      <c r="AQ421" s="1">
        <v>10.0</v>
      </c>
      <c r="AR421" s="1">
        <v>10.0</v>
      </c>
      <c r="AS421" s="1" t="s">
        <v>2310</v>
      </c>
      <c r="AT421" s="3" t="str">
        <f>HYPERLINK("https://icf.clappia.com/app/GMB253374/submission/NNA05750341/ICF247370-GMB253374-1cek19gb0foba0000000/SIG-20250703_100692kfb.jpeg", "SIG-20250703_100692kfb.jpeg")</f>
        <v>SIG-20250703_100692kfb.jpeg</v>
      </c>
      <c r="AU421" s="1" t="s">
        <v>2311</v>
      </c>
      <c r="AV421" s="3" t="str">
        <f>HYPERLINK("https://icf.clappia.com/app/GMB253374/submission/NNA05750341/ICF247370-GMB253374-52ccgb3b316800000000/SIG-20250703_1005c62kc.jpeg", "SIG-20250703_1005c62kc.jpeg")</f>
        <v>SIG-20250703_1005c62kc.jpeg</v>
      </c>
      <c r="AW421" s="1" t="s">
        <v>2312</v>
      </c>
      <c r="AX421" s="3" t="str">
        <f>HYPERLINK("https://icf.clappia.com/app/GMB253374/submission/NNA05750341/ICF247370-GMB253374-4e56837d873400000000/SIG-20250703_10062feap.jpeg", "SIG-20250703_10062feap.jpeg")</f>
        <v>SIG-20250703_10062feap.jpeg</v>
      </c>
      <c r="AY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2313</v>
      </c>
      <c r="B422" s="2" t="s">
        <v>47</v>
      </c>
      <c r="C422" s="1" t="s">
        <v>2314</v>
      </c>
      <c r="D422" s="1" t="s">
        <v>2314</v>
      </c>
      <c r="E422" s="1" t="s">
        <v>2315</v>
      </c>
      <c r="F422" s="1" t="s">
        <v>51</v>
      </c>
      <c r="G422" s="1">
        <v>170.0</v>
      </c>
      <c r="H422" s="1" t="s">
        <v>52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53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54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56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57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f t="shared" si="1"/>
        <v>170</v>
      </c>
      <c r="AM422" s="1">
        <v>170.0</v>
      </c>
      <c r="AN422" s="1">
        <v>182.0</v>
      </c>
      <c r="AO422" s="1">
        <v>170.0</v>
      </c>
      <c r="AP422" s="2">
        <v>11.0</v>
      </c>
      <c r="AQ422" s="1">
        <v>0.0</v>
      </c>
      <c r="AR422" s="1">
        <v>0.0</v>
      </c>
      <c r="AS422" s="1" t="s">
        <v>2316</v>
      </c>
      <c r="AT422" s="3" t="str">
        <f>HYPERLINK("https://icf.clappia.com/app/GMB253374/submission/WJV08269387/ICF247370-GMB253374-pn0jo7k3kd0c0000000/SIG-20250703_100211b1de.jpeg", "SIG-20250703_100211b1de.jpeg")</f>
        <v>SIG-20250703_100211b1de.jpeg</v>
      </c>
      <c r="AU422" s="1" t="s">
        <v>2317</v>
      </c>
      <c r="AV422" s="3" t="str">
        <f>HYPERLINK("https://icf.clappia.com/app/GMB253374/submission/WJV08269387/ICF247370-GMB253374-3c7jdmebl8a40000000/SIG-20250703_1003k8hh4.jpeg", "SIG-20250703_1003k8hh4.jpeg")</f>
        <v>SIG-20250703_1003k8hh4.jpeg</v>
      </c>
      <c r="AW422" s="1" t="s">
        <v>2318</v>
      </c>
      <c r="AX422" s="3" t="str">
        <f>HYPERLINK("https://icf.clappia.com/app/GMB253374/submission/WJV08269387/ICF247370-GMB253374-6290mdg693he00000000/SIG-20250703_1003i0bfn.jpeg", "SIG-20250703_1003i0bfn.jpeg")</f>
        <v>SIG-20250703_1003i0bfn.jpeg</v>
      </c>
      <c r="AY422" s="3" t="str">
        <f>HYPERLINK("https://www.google.com/maps/place/7.9253527%2C-11.536456", "7.9253527,-11.536456")</f>
        <v>7.9253527,-11.536456</v>
      </c>
    </row>
    <row r="423" ht="15.75" customHeight="1">
      <c r="A423" s="1" t="s">
        <v>2319</v>
      </c>
      <c r="B423" s="2" t="s">
        <v>47</v>
      </c>
      <c r="C423" s="1" t="s">
        <v>2320</v>
      </c>
      <c r="D423" s="1" t="s">
        <v>2320</v>
      </c>
      <c r="E423" s="1" t="s">
        <v>2321</v>
      </c>
      <c r="F423" s="1" t="s">
        <v>51</v>
      </c>
      <c r="G423" s="1">
        <v>230.0</v>
      </c>
      <c r="H423" s="1" t="s">
        <v>52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53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54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56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57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f t="shared" si="1"/>
        <v>230</v>
      </c>
      <c r="AM423" s="1">
        <v>230.0</v>
      </c>
      <c r="AN423" s="1">
        <v>242.0</v>
      </c>
      <c r="AO423" s="1">
        <v>230.0</v>
      </c>
      <c r="AP423" s="2">
        <v>11.0</v>
      </c>
      <c r="AQ423" s="1">
        <v>0.0</v>
      </c>
      <c r="AR423" s="1">
        <v>0.0</v>
      </c>
      <c r="AS423" s="1" t="s">
        <v>2044</v>
      </c>
      <c r="AT423" s="3" t="str">
        <f>HYPERLINK("https://icf.clappia.com/app/GMB253374/submission/XTI21784346/ICF247370-GMB253374-2gfb9b4933ic00000000/SIG-20250703_09463kkli.jpeg", "SIG-20250703_09463kkli.jpeg")</f>
        <v>SIG-20250703_09463kkli.jpeg</v>
      </c>
      <c r="AU423" s="1" t="s">
        <v>2322</v>
      </c>
      <c r="AV423" s="3" t="str">
        <f>HYPERLINK("https://icf.clappia.com/app/GMB253374/submission/XTI21784346/ICF247370-GMB253374-1ed09p2di04co0000000/SIG-20250703_0946g277d.jpeg", "SIG-20250703_0946g277d.jpeg")</f>
        <v>SIG-20250703_0946g277d.jpeg</v>
      </c>
      <c r="AW423" s="1" t="s">
        <v>2046</v>
      </c>
      <c r="AX423" s="3" t="str">
        <f>HYPERLINK("https://icf.clappia.com/app/GMB253374/submission/XTI21784346/ICF247370-GMB253374-5i4g99e9e4og00000000/SIG-20250703_0947f0ghp.jpeg", "SIG-20250703_0947f0ghp.jpeg")</f>
        <v>SIG-20250703_0947f0ghp.jpeg</v>
      </c>
      <c r="AY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2323</v>
      </c>
      <c r="B424" s="2" t="s">
        <v>47</v>
      </c>
      <c r="C424" s="1" t="s">
        <v>2267</v>
      </c>
      <c r="D424" s="1" t="s">
        <v>2267</v>
      </c>
      <c r="E424" s="1" t="s">
        <v>2324</v>
      </c>
      <c r="F424" s="1" t="s">
        <v>51</v>
      </c>
      <c r="G424" s="1">
        <v>50.0</v>
      </c>
      <c r="H424" s="1" t="s">
        <v>52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53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54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56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57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f t="shared" si="1"/>
        <v>50</v>
      </c>
      <c r="AM424" s="1">
        <v>50.0</v>
      </c>
      <c r="AN424" s="1">
        <v>62.0</v>
      </c>
      <c r="AO424" s="1">
        <v>50.0</v>
      </c>
      <c r="AP424" s="2">
        <v>11.0</v>
      </c>
      <c r="AQ424" s="1">
        <v>0.0</v>
      </c>
      <c r="AR424" s="1">
        <v>0.0</v>
      </c>
      <c r="AS424" s="1" t="s">
        <v>2325</v>
      </c>
      <c r="AT424" s="3" t="str">
        <f>HYPERLINK("https://icf.clappia.com/app/GMB253374/submission/NKU85685002/ICF247370-GMB253374-3d72o20g21fi00000000/SIG-20250703_0941ea2ca.jpeg", "SIG-20250703_0941ea2ca.jpeg")</f>
        <v>SIG-20250703_0941ea2ca.jpeg</v>
      </c>
      <c r="AU424" s="1" t="s">
        <v>2326</v>
      </c>
      <c r="AV424" s="3" t="str">
        <f>HYPERLINK("https://icf.clappia.com/app/GMB253374/submission/NKU85685002/ICF247370-GMB253374-cd432of7b83a0000000/SIG-20250703_0942one6f.jpeg", "SIG-20250703_0942one6f.jpeg")</f>
        <v>SIG-20250703_0942one6f.jpeg</v>
      </c>
      <c r="AW424" s="1" t="s">
        <v>2327</v>
      </c>
      <c r="AX424" s="3" t="str">
        <f>HYPERLINK("https://icf.clappia.com/app/GMB253374/submission/NKU85685002/ICF247370-GMB253374-6a751cm9kkmk00000000/SIG-20250703_09424ifed.jpeg", "SIG-20250703_09424ifed.jpeg")</f>
        <v>SIG-20250703_09424ifed.jpeg</v>
      </c>
      <c r="AY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2328</v>
      </c>
      <c r="B425" s="2" t="s">
        <v>47</v>
      </c>
      <c r="C425" s="1" t="s">
        <v>2329</v>
      </c>
      <c r="D425" s="1" t="s">
        <v>2330</v>
      </c>
      <c r="E425" s="1" t="s">
        <v>2331</v>
      </c>
      <c r="F425" s="1" t="s">
        <v>51</v>
      </c>
      <c r="G425" s="1">
        <v>200.0</v>
      </c>
      <c r="H425" s="1" t="s">
        <v>52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53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54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56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57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f t="shared" si="1"/>
        <v>178</v>
      </c>
      <c r="AM425" s="1">
        <v>200.0</v>
      </c>
      <c r="AN425" s="1">
        <v>212.0</v>
      </c>
      <c r="AO425" s="1">
        <v>167.0</v>
      </c>
      <c r="AP425" s="2">
        <v>11.0</v>
      </c>
      <c r="AQ425" s="1">
        <v>33.0</v>
      </c>
      <c r="AR425" s="1">
        <v>33.0</v>
      </c>
      <c r="AS425" s="1" t="s">
        <v>2332</v>
      </c>
      <c r="AT425" s="3" t="str">
        <f>HYPERLINK("https://icf.clappia.com/app/GMB253374/submission/SGK28973896/ICF247370-GMB253374-4apfn3be060g00000000/SIG-20250701_1203d41n8.jpeg", "SIG-20250701_1203d41n8.jpeg")</f>
        <v>SIG-20250701_1203d41n8.jpeg</v>
      </c>
      <c r="AU425" s="1" t="s">
        <v>2333</v>
      </c>
      <c r="AV425" s="3" t="str">
        <f>HYPERLINK("https://icf.clappia.com/app/GMB253374/submission/SGK28973896/ICF247370-GMB253374-26ig8ebpdfbk40000000/SIG-20250701_120313kdjf.jpeg", "SIG-20250701_120313kdjf.jpeg")</f>
        <v>SIG-20250701_120313kdjf.jpeg</v>
      </c>
      <c r="AW425" s="1" t="s">
        <v>2334</v>
      </c>
      <c r="AX425" s="3" t="str">
        <f>HYPERLINK("https://icf.clappia.com/app/GMB253374/submission/SGK28973896/ICF247370-GMB253374-612nnkkm7oci00000000/SIG-20250701_1204l66fe.jpeg", "SIG-20250701_1204l66fe.jpeg")</f>
        <v>SIG-20250701_1204l66fe.jpeg</v>
      </c>
      <c r="AY425" s="3" t="str">
        <f>HYPERLINK("https://www.google.com/maps/place/8.084885%2C-11.501635", "8.084885,-11.501635")</f>
        <v>8.084885,-11.501635</v>
      </c>
    </row>
    <row r="426" ht="15.75" customHeight="1">
      <c r="A426" s="1" t="s">
        <v>2335</v>
      </c>
      <c r="B426" s="2" t="s">
        <v>47</v>
      </c>
      <c r="C426" s="1" t="s">
        <v>2336</v>
      </c>
      <c r="D426" s="1" t="s">
        <v>2337</v>
      </c>
      <c r="E426" s="1" t="s">
        <v>2338</v>
      </c>
      <c r="F426" s="1" t="s">
        <v>51</v>
      </c>
      <c r="G426" s="1">
        <v>200.0</v>
      </c>
      <c r="H426" s="1" t="s">
        <v>52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53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54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56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57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f t="shared" si="1"/>
        <v>175</v>
      </c>
      <c r="AM426" s="1">
        <v>200.0</v>
      </c>
      <c r="AN426" s="1">
        <v>212.0</v>
      </c>
      <c r="AO426" s="1">
        <v>175.0</v>
      </c>
      <c r="AP426" s="2">
        <v>11.0</v>
      </c>
      <c r="AQ426" s="1">
        <v>25.0</v>
      </c>
      <c r="AR426" s="1">
        <v>25.0</v>
      </c>
      <c r="AS426" s="1" t="s">
        <v>80</v>
      </c>
      <c r="AT426" s="3" t="str">
        <f>HYPERLINK("https://icf.clappia.com/app/GMB253374/submission/STU22734926/ICF247370-GMB253374-5l2i64n5fdpi00000000/SIG-20250703_003311p9pj.jpeg", "SIG-20250703_003311p9pj.jpeg")</f>
        <v>SIG-20250703_003311p9pj.jpeg</v>
      </c>
      <c r="AU426" s="1" t="s">
        <v>2339</v>
      </c>
      <c r="AV426" s="3" t="str">
        <f>HYPERLINK("https://icf.clappia.com/app/GMB253374/submission/STU22734926/ICF247370-GMB253374-eaiige2pbk240000000/SIG-20250703_0033k9a3e.jpeg", "SIG-20250703_0033k9a3e.jpeg")</f>
        <v>SIG-20250703_0033k9a3e.jpeg</v>
      </c>
      <c r="AW426" s="1" t="s">
        <v>2340</v>
      </c>
      <c r="AX426" s="3" t="str">
        <f>HYPERLINK("https://icf.clappia.com/app/GMB253374/submission/STU22734926/ICF247370-GMB253374-40gjpeea970600000000/SIG-20250703_00349ddok.jpeg", "SIG-20250703_00349ddok.jpeg")</f>
        <v>SIG-20250703_00349ddok.jpeg</v>
      </c>
      <c r="AY426" s="3" t="str">
        <f>HYPERLINK("https://www.google.com/maps/place/8.2853233%2C-11.596875", "8.2853233,-11.596875")</f>
        <v>8.2853233,-11.596875</v>
      </c>
    </row>
    <row r="427" ht="15.75" customHeight="1">
      <c r="A427" s="1" t="s">
        <v>2341</v>
      </c>
      <c r="B427" s="2" t="s">
        <v>47</v>
      </c>
      <c r="C427" s="1" t="s">
        <v>2342</v>
      </c>
      <c r="D427" s="1" t="s">
        <v>2342</v>
      </c>
      <c r="E427" s="1" t="s">
        <v>2343</v>
      </c>
      <c r="F427" s="1" t="s">
        <v>72</v>
      </c>
      <c r="G427" s="1">
        <v>120.0</v>
      </c>
      <c r="H427" s="1" t="s">
        <v>52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53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54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56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57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f t="shared" si="1"/>
        <v>120</v>
      </c>
      <c r="AM427" s="1">
        <v>120.0</v>
      </c>
      <c r="AN427" s="1">
        <v>132.0</v>
      </c>
      <c r="AO427" s="1">
        <v>119.0</v>
      </c>
      <c r="AP427" s="2">
        <v>11.0</v>
      </c>
      <c r="AQ427" s="1">
        <v>1.0</v>
      </c>
      <c r="AR427" s="1">
        <v>1.0</v>
      </c>
      <c r="AS427" s="1" t="s">
        <v>2344</v>
      </c>
      <c r="AT427" s="3" t="str">
        <f>HYPERLINK("https://icf.clappia.com/app/GMB253374/submission/OBJ88285811/ICF247370-GMB253374-50bla7jajd4k00000000/SIG-20250703_092812pdpm.jpeg", "SIG-20250703_092812pdpm.jpeg")</f>
        <v>SIG-20250703_092812pdpm.jpeg</v>
      </c>
      <c r="AU427" s="1" t="s">
        <v>2345</v>
      </c>
      <c r="AV427" s="3" t="str">
        <f>HYPERLINK("https://icf.clappia.com/app/GMB253374/submission/OBJ88285811/ICF247370-GMB253374-13n3g8d4p4ohm0000000/SIG-20250703_09297cag4.jpeg", "SIG-20250703_09297cag4.jpeg")</f>
        <v>SIG-20250703_09297cag4.jpeg</v>
      </c>
      <c r="AW427" s="1" t="s">
        <v>2346</v>
      </c>
      <c r="AX427" s="3" t="str">
        <f>HYPERLINK("https://icf.clappia.com/app/GMB253374/submission/OBJ88285811/ICF247370-GMB253374-62i0b2agl0k800000000/SIG-20250703_09298ggfl.jpeg", "SIG-20250703_09298ggfl.jpeg")</f>
        <v>SIG-20250703_09298ggfl.jpeg</v>
      </c>
      <c r="AY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2347</v>
      </c>
      <c r="B428" s="2" t="s">
        <v>47</v>
      </c>
      <c r="C428" s="1" t="s">
        <v>2348</v>
      </c>
      <c r="D428" s="1" t="s">
        <v>2348</v>
      </c>
      <c r="E428" s="1" t="s">
        <v>2349</v>
      </c>
      <c r="F428" s="1" t="s">
        <v>51</v>
      </c>
      <c r="G428" s="1">
        <v>160.0</v>
      </c>
      <c r="H428" s="1" t="s">
        <v>52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53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54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56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57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f t="shared" si="1"/>
        <v>160</v>
      </c>
      <c r="AM428" s="1">
        <v>160.0</v>
      </c>
      <c r="AN428" s="1">
        <v>172.0</v>
      </c>
      <c r="AO428" s="1">
        <v>160.0</v>
      </c>
      <c r="AP428" s="2">
        <v>11.0</v>
      </c>
      <c r="AQ428" s="1">
        <v>0.0</v>
      </c>
      <c r="AR428" s="1">
        <v>0.0</v>
      </c>
      <c r="AS428" s="1" t="s">
        <v>2169</v>
      </c>
      <c r="AT428" s="3" t="str">
        <f>HYPERLINK("https://icf.clappia.com/app/GMB253374/submission/FUH35023530/ICF247370-GMB253374-3pim6h7m28j000000000/SIG-20250702_1234kcad3.jpeg", "SIG-20250702_1234kcad3.jpeg")</f>
        <v>SIG-20250702_1234kcad3.jpeg</v>
      </c>
      <c r="AU428" s="1" t="s">
        <v>2170</v>
      </c>
      <c r="AV428" s="3" t="str">
        <f>HYPERLINK("https://icf.clappia.com/app/GMB253374/submission/FUH35023530/ICF247370-GMB253374-3a7efi3k2m2800000000/SIG-20250702_123514c10d.jpeg", "SIG-20250702_123514c10d.jpeg")</f>
        <v>SIG-20250702_123514c10d.jpeg</v>
      </c>
      <c r="AW428" s="1" t="s">
        <v>2350</v>
      </c>
      <c r="AX428" s="3" t="str">
        <f>HYPERLINK("https://icf.clappia.com/app/GMB253374/submission/FUH35023530/ICF247370-GMB253374-22c5p8di7plmo0000000/SIG-20250702_12368ka5a.jpeg", "SIG-20250702_12368ka5a.jpeg")</f>
        <v>SIG-20250702_12368ka5a.jpeg</v>
      </c>
      <c r="AY428" s="3" t="str">
        <f>HYPERLINK("https://www.google.com/maps/place/8.017421%2C-11.5821865", "8.017421,-11.5821865")</f>
        <v>8.017421,-11.5821865</v>
      </c>
    </row>
    <row r="429" ht="15.75" customHeight="1">
      <c r="A429" s="1" t="s">
        <v>2351</v>
      </c>
      <c r="B429" s="2" t="s">
        <v>47</v>
      </c>
      <c r="C429" s="1" t="s">
        <v>2352</v>
      </c>
      <c r="D429" s="1" t="s">
        <v>2352</v>
      </c>
      <c r="E429" s="1" t="s">
        <v>2353</v>
      </c>
      <c r="F429" s="1" t="s">
        <v>51</v>
      </c>
      <c r="G429" s="1">
        <v>300.0</v>
      </c>
      <c r="H429" s="1" t="s">
        <v>52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53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54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56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57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f t="shared" si="1"/>
        <v>260</v>
      </c>
      <c r="AM429" s="1">
        <v>300.0</v>
      </c>
      <c r="AN429" s="1">
        <v>312.0</v>
      </c>
      <c r="AO429" s="1">
        <v>260.0</v>
      </c>
      <c r="AP429" s="2">
        <v>11.0</v>
      </c>
      <c r="AQ429" s="1">
        <v>40.0</v>
      </c>
      <c r="AR429" s="1">
        <v>40.0</v>
      </c>
      <c r="AS429" s="1" t="s">
        <v>2354</v>
      </c>
      <c r="AT429" s="3" t="str">
        <f>HYPERLINK("https://icf.clappia.com/app/GMB253374/submission/PFW71727651/ICF247370-GMB253374-1f1m5l6pgghoc0000000/SIG-20250703_0925md9o5.jpeg", "SIG-20250703_0925md9o5.jpeg")</f>
        <v>SIG-20250703_0925md9o5.jpeg</v>
      </c>
      <c r="AU429" s="1" t="s">
        <v>2355</v>
      </c>
      <c r="AV429" s="3" t="str">
        <f>HYPERLINK("https://icf.clappia.com/app/GMB253374/submission/PFW71727651/ICF247370-GMB253374-6a0bechdni0c00000000/SIG-20250703_09263l52m.jpeg", "SIG-20250703_09263l52m.jpeg")</f>
        <v>SIG-20250703_09263l52m.jpeg</v>
      </c>
      <c r="AW429" s="1" t="s">
        <v>2356</v>
      </c>
      <c r="AX429" s="3" t="str">
        <f>HYPERLINK("https://icf.clappia.com/app/GMB253374/submission/PFW71727651/ICF247370-GMB253374-5gh5ij81e9kg00000000/SIG-20250703_0926l9le4.jpeg", "SIG-20250703_0926l9le4.jpeg")</f>
        <v>SIG-20250703_0926l9le4.jpeg</v>
      </c>
      <c r="AY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2357</v>
      </c>
      <c r="B430" s="2" t="s">
        <v>47</v>
      </c>
      <c r="C430" s="1" t="s">
        <v>2358</v>
      </c>
      <c r="D430" s="1" t="s">
        <v>2358</v>
      </c>
      <c r="E430" s="1" t="s">
        <v>2359</v>
      </c>
      <c r="F430" s="1" t="s">
        <v>51</v>
      </c>
      <c r="G430" s="1">
        <v>97.0</v>
      </c>
      <c r="H430" s="1" t="s">
        <v>52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53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54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56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57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f t="shared" si="1"/>
        <v>88</v>
      </c>
      <c r="AM430" s="1">
        <v>97.0</v>
      </c>
      <c r="AN430" s="1">
        <v>109.0</v>
      </c>
      <c r="AO430" s="1">
        <v>88.0</v>
      </c>
      <c r="AP430" s="2">
        <v>11.0</v>
      </c>
      <c r="AQ430" s="1">
        <v>9.0</v>
      </c>
      <c r="AR430" s="1">
        <v>9.0</v>
      </c>
      <c r="AS430" s="1" t="s">
        <v>2360</v>
      </c>
      <c r="AT430" s="3" t="str">
        <f>HYPERLINK("https://icf.clappia.com/app/GMB253374/submission/KLM13266837/ICF247370-GMB253374-2im7ak81f8ma00000000/SIG-20250703_0911k9d4d.jpeg", "SIG-20250703_0911k9d4d.jpeg")</f>
        <v>SIG-20250703_0911k9d4d.jpeg</v>
      </c>
      <c r="AU430" s="1" t="s">
        <v>2361</v>
      </c>
      <c r="AV430" s="3" t="str">
        <f>HYPERLINK("https://icf.clappia.com/app/GMB253374/submission/KLM13266837/ICF247370-GMB253374-16pbh2kacik0g0000000/SIG-20250703_0911119n02.jpeg", "SIG-20250703_0911119n02.jpeg")</f>
        <v>SIG-20250703_0911119n02.jpeg</v>
      </c>
      <c r="AW430" s="1" t="s">
        <v>2362</v>
      </c>
      <c r="AX430" s="3" t="str">
        <f>HYPERLINK("https://icf.clappia.com/app/GMB253374/submission/KLM13266837/ICF247370-GMB253374-1p9mh18ha5bp20000000/SIG-20250703_0913p42go.jpeg", "SIG-20250703_0913p42go.jpeg")</f>
        <v>SIG-20250703_0913p42go.jpeg</v>
      </c>
      <c r="AY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2363</v>
      </c>
      <c r="B431" s="2" t="s">
        <v>47</v>
      </c>
      <c r="C431" s="1" t="s">
        <v>2364</v>
      </c>
      <c r="D431" s="1" t="s">
        <v>2364</v>
      </c>
      <c r="E431" s="1" t="s">
        <v>2365</v>
      </c>
      <c r="F431" s="1" t="s">
        <v>51</v>
      </c>
      <c r="G431" s="1">
        <v>183.0</v>
      </c>
      <c r="H431" s="1" t="s">
        <v>52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53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54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56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57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f t="shared" si="1"/>
        <v>183</v>
      </c>
      <c r="AM431" s="1">
        <v>183.0</v>
      </c>
      <c r="AN431" s="1">
        <v>195.0</v>
      </c>
      <c r="AO431" s="1">
        <v>173.0</v>
      </c>
      <c r="AP431" s="2">
        <v>11.0</v>
      </c>
      <c r="AQ431" s="1">
        <v>10.0</v>
      </c>
      <c r="AR431" s="1">
        <v>10.0</v>
      </c>
      <c r="AS431" s="1" t="s">
        <v>808</v>
      </c>
      <c r="AT431" s="3" t="str">
        <f>HYPERLINK("https://icf.clappia.com/app/GMB253374/submission/QWR12243882/ICF247370-GMB253374-1jk2j6goh1im40000000/SIG-20250702_14469mk46.jpeg", "SIG-20250702_14469mk46.jpeg")</f>
        <v>SIG-20250702_14469mk46.jpeg</v>
      </c>
      <c r="AU431" s="1" t="s">
        <v>809</v>
      </c>
      <c r="AV431" s="3" t="str">
        <f>HYPERLINK("https://icf.clappia.com/app/GMB253374/submission/QWR12243882/ICF247370-GMB253374-1lfamkhb8m70e0000000/SIG-20250702_1447hbi41.jpeg", "SIG-20250702_1447hbi41.jpeg")</f>
        <v>SIG-20250702_1447hbi41.jpeg</v>
      </c>
      <c r="AW431" s="1" t="s">
        <v>2366</v>
      </c>
      <c r="AX431" s="3" t="str">
        <f>HYPERLINK("https://icf.clappia.com/app/GMB253374/submission/QWR12243882/ICF247370-GMB253374-4oa5enfmp5he00000000/SIG-20250702_1447kolab.jpeg", "SIG-20250702_1447kolab.jpeg")</f>
        <v>SIG-20250702_1447kolab.jpeg</v>
      </c>
      <c r="AY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2367</v>
      </c>
      <c r="B432" s="2" t="s">
        <v>47</v>
      </c>
      <c r="C432" s="1" t="s">
        <v>2368</v>
      </c>
      <c r="D432" s="1" t="s">
        <v>2368</v>
      </c>
      <c r="E432" s="1" t="s">
        <v>2369</v>
      </c>
      <c r="F432" s="1" t="s">
        <v>51</v>
      </c>
      <c r="G432" s="1">
        <v>220.0</v>
      </c>
      <c r="H432" s="1" t="s">
        <v>52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53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54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56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57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f t="shared" si="1"/>
        <v>224</v>
      </c>
      <c r="AM432" s="1">
        <v>220.0</v>
      </c>
      <c r="AN432" s="1">
        <v>232.0</v>
      </c>
      <c r="AO432" s="1">
        <v>214.0</v>
      </c>
      <c r="AP432" s="2">
        <v>11.0</v>
      </c>
      <c r="AQ432" s="1">
        <v>6.0</v>
      </c>
      <c r="AR432" s="1">
        <v>6.0</v>
      </c>
      <c r="AS432" s="1" t="s">
        <v>2370</v>
      </c>
      <c r="AT432" s="3" t="str">
        <f>HYPERLINK("https://icf.clappia.com/app/GMB253374/submission/TKK93596220/ICF247370-GMB253374-4ehbagnfefda00000000/SIG-20250703_083111ea1m.jpeg", "SIG-20250703_083111ea1m.jpeg")</f>
        <v>SIG-20250703_083111ea1m.jpeg</v>
      </c>
      <c r="AU432" s="1" t="s">
        <v>2371</v>
      </c>
      <c r="AV432" s="3" t="str">
        <f>HYPERLINK("https://icf.clappia.com/app/GMB253374/submission/TKK93596220/ICF247370-GMB253374-5ib85ho9fble00000000/SIG-20250703_083199ngg.jpeg", "SIG-20250703_083199ngg.jpeg")</f>
        <v>SIG-20250703_083199ngg.jpeg</v>
      </c>
      <c r="AW432" s="1" t="s">
        <v>610</v>
      </c>
      <c r="AX432" s="3" t="str">
        <f>HYPERLINK("https://icf.clappia.com/app/GMB253374/submission/TKK93596220/ICF247370-GMB253374-15gdmei7bonbm0000000/SIG-20250703_083217041b.jpeg", "SIG-20250703_083217041b.jpeg")</f>
        <v>SIG-20250703_083217041b.jpeg</v>
      </c>
      <c r="AY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2372</v>
      </c>
      <c r="B433" s="2" t="s">
        <v>47</v>
      </c>
      <c r="C433" s="1" t="s">
        <v>2373</v>
      </c>
      <c r="D433" s="1" t="s">
        <v>2373</v>
      </c>
      <c r="E433" s="1" t="s">
        <v>2374</v>
      </c>
      <c r="F433" s="1" t="s">
        <v>51</v>
      </c>
      <c r="G433" s="1">
        <v>200.0</v>
      </c>
      <c r="H433" s="1" t="s">
        <v>52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53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54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56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57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f t="shared" si="1"/>
        <v>119</v>
      </c>
      <c r="AM433" s="1">
        <v>200.0</v>
      </c>
      <c r="AN433" s="1">
        <v>212.0</v>
      </c>
      <c r="AO433" s="1">
        <v>119.0</v>
      </c>
      <c r="AP433" s="2">
        <v>11.0</v>
      </c>
      <c r="AQ433" s="1">
        <v>81.0</v>
      </c>
      <c r="AR433" s="1">
        <v>81.0</v>
      </c>
      <c r="AS433" s="1" t="s">
        <v>2375</v>
      </c>
      <c r="AT433" s="3" t="str">
        <f>HYPERLINK("https://icf.clappia.com/app/GMB253374/submission/WSK99629132/ICF247370-GMB253374-1dog7j51fnkba0000000/SIG-20250702_1234mbcka.jpeg", "SIG-20250702_1234mbcka.jpeg")</f>
        <v>SIG-20250702_1234mbcka.jpeg</v>
      </c>
      <c r="AU433" s="1" t="s">
        <v>2376</v>
      </c>
      <c r="AV433" s="3" t="str">
        <f>HYPERLINK("https://icf.clappia.com/app/GMB253374/submission/WSK99629132/ICF247370-GMB253374-2cd3k8akcc6e00000000/SIG-20250702_123317o23i.jpeg", "SIG-20250702_123317o23i.jpeg")</f>
        <v>SIG-20250702_123317o23i.jpeg</v>
      </c>
      <c r="AW433" s="1" t="s">
        <v>2377</v>
      </c>
      <c r="AX433" s="3" t="str">
        <f>HYPERLINK("https://icf.clappia.com/app/GMB253374/submission/WSK99629132/ICF247370-GMB253374-625nnnfei2680000000/SIG-20250702_1233a7hgn.jpeg", "SIG-20250702_1233a7hgn.jpeg")</f>
        <v>SIG-20250702_1233a7hgn.jpeg</v>
      </c>
      <c r="AY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2378</v>
      </c>
      <c r="B434" s="2" t="s">
        <v>47</v>
      </c>
      <c r="C434" s="1" t="s">
        <v>2379</v>
      </c>
      <c r="D434" s="1" t="s">
        <v>2379</v>
      </c>
      <c r="E434" s="1" t="s">
        <v>2380</v>
      </c>
      <c r="F434" s="1" t="s">
        <v>51</v>
      </c>
      <c r="G434" s="1">
        <v>168.0</v>
      </c>
      <c r="H434" s="1" t="s">
        <v>52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53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54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56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57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f t="shared" si="1"/>
        <v>168</v>
      </c>
      <c r="AM434" s="1">
        <v>168.0</v>
      </c>
      <c r="AN434" s="1">
        <v>180.0</v>
      </c>
      <c r="AO434" s="1">
        <v>168.0</v>
      </c>
      <c r="AP434" s="2">
        <v>11.0</v>
      </c>
      <c r="AQ434" s="1">
        <v>0.0</v>
      </c>
      <c r="AR434" s="1">
        <v>0.0</v>
      </c>
      <c r="AS434" s="1" t="s">
        <v>1393</v>
      </c>
      <c r="AT434" s="3" t="str">
        <f>HYPERLINK("https://icf.clappia.com/app/GMB253374/submission/OUD82457005/ICF247370-GMB253374-69c4icnlb56c00000000/SIG-20250702_1042dlbb9.jpeg", "SIG-20250702_1042dlbb9.jpeg")</f>
        <v>SIG-20250702_1042dlbb9.jpeg</v>
      </c>
      <c r="AU434" s="1" t="s">
        <v>1394</v>
      </c>
      <c r="AV434" s="3" t="str">
        <f>HYPERLINK("https://icf.clappia.com/app/GMB253374/submission/OUD82457005/ICF247370-GMB253374-6aom3e91ef5i00000000/SIG-20250702_1041mjfal.jpeg", "SIG-20250702_1041mjfal.jpeg")</f>
        <v>SIG-20250702_1041mjfal.jpeg</v>
      </c>
      <c r="AW434" s="1" t="s">
        <v>1395</v>
      </c>
      <c r="AX434" s="3" t="str">
        <f>HYPERLINK("https://icf.clappia.com/app/GMB253374/submission/OUD82457005/ICF247370-GMB253374-2icao6gpb1io00000000/SIG-20250702_104116g7eb.jpeg", "SIG-20250702_104116g7eb.jpeg")</f>
        <v>SIG-20250702_104116g7eb.jpeg</v>
      </c>
      <c r="AY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2381</v>
      </c>
      <c r="B435" s="2" t="s">
        <v>47</v>
      </c>
      <c r="C435" s="1" t="s">
        <v>2382</v>
      </c>
      <c r="D435" s="1" t="s">
        <v>2383</v>
      </c>
      <c r="E435" s="1" t="s">
        <v>2384</v>
      </c>
      <c r="F435" s="1" t="s">
        <v>51</v>
      </c>
      <c r="G435" s="1">
        <v>136.0</v>
      </c>
      <c r="H435" s="1" t="s">
        <v>52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53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54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56</v>
      </c>
      <c r="AA435" s="1">
        <v>59.0</v>
      </c>
      <c r="AB435" s="1">
        <v>33.0</v>
      </c>
      <c r="AC435" s="1" t="s">
        <v>55</v>
      </c>
      <c r="AD435" s="1">
        <v>26.0</v>
      </c>
      <c r="AE435" s="1" t="s">
        <v>55</v>
      </c>
      <c r="AF435" s="1" t="s">
        <v>57</v>
      </c>
      <c r="AG435" s="1">
        <v>22.0</v>
      </c>
      <c r="AH435" s="1">
        <v>10.0</v>
      </c>
      <c r="AI435" s="1" t="s">
        <v>55</v>
      </c>
      <c r="AJ435" s="1">
        <v>12.0</v>
      </c>
      <c r="AK435" s="1" t="s">
        <v>55</v>
      </c>
      <c r="AL435" s="1">
        <f t="shared" si="1"/>
        <v>262</v>
      </c>
      <c r="AM435" s="1">
        <v>136.0</v>
      </c>
      <c r="AN435" s="1">
        <v>148.0</v>
      </c>
      <c r="AO435" s="1">
        <v>136.0</v>
      </c>
      <c r="AP435" s="2">
        <v>11.0</v>
      </c>
      <c r="AQ435" s="1">
        <v>0.0</v>
      </c>
      <c r="AR435" s="1">
        <v>0.0</v>
      </c>
      <c r="AS435" s="1" t="s">
        <v>2385</v>
      </c>
      <c r="AT435" s="3" t="str">
        <f>HYPERLINK("https://icf.clappia.com/app/GMB253374/submission/JBK53515484/ICF247370-GMB253374-425egclk1jhg00000000/SIG-20250702_1157d904j.jpeg", "SIG-20250702_1157d904j.jpeg")</f>
        <v>SIG-20250702_1157d904j.jpeg</v>
      </c>
      <c r="AU435" s="1" t="s">
        <v>2386</v>
      </c>
      <c r="AV435" s="3" t="str">
        <f>HYPERLINK("https://icf.clappia.com/app/GMB253374/submission/JBK53515484/ICF247370-GMB253374-1o3gepbk98fi00000000/SIG-20250702_115813p1kf.jpeg", "SIG-20250702_115813p1kf.jpeg")</f>
        <v>SIG-20250702_115813p1kf.jpeg</v>
      </c>
      <c r="AW435" s="1" t="s">
        <v>2387</v>
      </c>
      <c r="AX435" s="3" t="str">
        <f>HYPERLINK("https://icf.clappia.com/app/GMB253374/submission/JBK53515484/ICF247370-GMB253374-500lg4ki7mmk00000000/SIG-20250703_08005cme7.jpeg", "SIG-20250703_08005cme7.jpeg")</f>
        <v>SIG-20250703_08005cme7.jpeg</v>
      </c>
      <c r="AY435" s="3" t="str">
        <f>HYPERLINK("https://www.google.com/maps/place/8.909925%2C-11.904035", "8.909925,-11.904035")</f>
        <v>8.909925,-11.904035</v>
      </c>
    </row>
    <row r="436" ht="15.75" customHeight="1">
      <c r="A436" s="1" t="s">
        <v>2388</v>
      </c>
      <c r="B436" s="2" t="s">
        <v>47</v>
      </c>
      <c r="C436" s="1" t="s">
        <v>2389</v>
      </c>
      <c r="D436" s="1" t="s">
        <v>2389</v>
      </c>
      <c r="E436" s="1" t="s">
        <v>2390</v>
      </c>
      <c r="F436" s="1" t="s">
        <v>51</v>
      </c>
      <c r="G436" s="1">
        <v>150.0</v>
      </c>
      <c r="H436" s="1" t="s">
        <v>52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53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54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56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57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f t="shared" si="1"/>
        <v>150</v>
      </c>
      <c r="AM436" s="1">
        <v>150.0</v>
      </c>
      <c r="AN436" s="1">
        <v>162.0</v>
      </c>
      <c r="AO436" s="1">
        <v>147.0</v>
      </c>
      <c r="AP436" s="2">
        <v>11.0</v>
      </c>
      <c r="AQ436" s="1">
        <v>3.0</v>
      </c>
      <c r="AR436" s="1">
        <v>3.0</v>
      </c>
      <c r="AS436" s="1" t="s">
        <v>1481</v>
      </c>
      <c r="AT436" s="3" t="str">
        <f>HYPERLINK("https://icf.clappia.com/app/GMB253374/submission/VFM17506604/ICF247370-GMB253374-5hjdg2ld16m400000000/SIG-20250702_20262g9il.jpeg", "SIG-20250702_20262g9il.jpeg")</f>
        <v>SIG-20250702_20262g9il.jpeg</v>
      </c>
      <c r="AU436" s="1" t="s">
        <v>1482</v>
      </c>
      <c r="AV436" s="3" t="str">
        <f>HYPERLINK("https://icf.clappia.com/app/GMB253374/submission/VFM17506604/ICF247370-GMB253374-3j0a2i5b3ie600000000/SIG-20250702_12289eo4h.jpeg", "SIG-20250702_12289eo4h.jpeg")</f>
        <v>SIG-20250702_12289eo4h.jpeg</v>
      </c>
      <c r="AW436" s="1" t="s">
        <v>1483</v>
      </c>
      <c r="AX436" s="3" t="str">
        <f>HYPERLINK("https://icf.clappia.com/app/GMB253374/submission/VFM17506604/ICF247370-GMB253374-16mae8j867hm80000000/SIG-20250702_2026emhb7.jpeg", "SIG-20250702_2026emhb7.jpeg")</f>
        <v>SIG-20250702_2026emhb7.jpeg</v>
      </c>
      <c r="AY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2391</v>
      </c>
      <c r="B437" s="2" t="s">
        <v>47</v>
      </c>
      <c r="C437" s="1" t="s">
        <v>2389</v>
      </c>
      <c r="D437" s="1" t="s">
        <v>2389</v>
      </c>
      <c r="E437" s="1" t="s">
        <v>2392</v>
      </c>
      <c r="F437" s="1" t="s">
        <v>51</v>
      </c>
      <c r="G437" s="1">
        <v>91.0</v>
      </c>
      <c r="H437" s="1" t="s">
        <v>52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53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54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56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57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f t="shared" si="1"/>
        <v>91</v>
      </c>
      <c r="AM437" s="1">
        <v>91.0</v>
      </c>
      <c r="AN437" s="1">
        <v>103.0</v>
      </c>
      <c r="AO437" s="1">
        <v>91.0</v>
      </c>
      <c r="AP437" s="2">
        <v>11.0</v>
      </c>
      <c r="AQ437" s="1">
        <v>0.0</v>
      </c>
      <c r="AR437" s="1">
        <v>0.0</v>
      </c>
      <c r="AS437" s="1" t="s">
        <v>2101</v>
      </c>
      <c r="AT437" s="3" t="str">
        <f>HYPERLINK("https://icf.clappia.com/app/GMB253374/submission/XUT21696431/ICF247370-GMB253374-3caem27mbc440000000/SIG-20250702_200131dp8.jpeg", "SIG-20250702_200131dp8.jpeg")</f>
        <v>SIG-20250702_200131dp8.jpeg</v>
      </c>
      <c r="AU437" s="1" t="s">
        <v>2393</v>
      </c>
      <c r="AV437" s="3" t="str">
        <f>HYPERLINK("https://icf.clappia.com/app/GMB253374/submission/XUT21696431/ICF247370-GMB253374-246hb27563mfa0000000/SIG-20250702_20018fnhh.jpeg", "SIG-20250702_20018fnhh.jpeg")</f>
        <v>SIG-20250702_20018fnhh.jpeg</v>
      </c>
      <c r="AW437" s="1" t="s">
        <v>2394</v>
      </c>
      <c r="AX437" s="3" t="str">
        <f>HYPERLINK("https://icf.clappia.com/app/GMB253374/submission/XUT21696431/ICF247370-GMB253374-fagf2gg9omko0000000/SIG-20250702_20022la3b.jpeg", "SIG-20250702_20022la3b.jpeg")</f>
        <v>SIG-20250702_20022la3b.jpeg</v>
      </c>
      <c r="AY437" s="3" t="str">
        <f>HYPERLINK("https://www.google.com/maps/place/8.7972133%2C-12.311155", "8.7972133,-12.311155")</f>
        <v>8.7972133,-12.311155</v>
      </c>
    </row>
    <row r="438" ht="15.75" customHeight="1">
      <c r="A438" s="1" t="s">
        <v>2395</v>
      </c>
      <c r="B438" s="2" t="s">
        <v>47</v>
      </c>
      <c r="C438" s="1" t="s">
        <v>2396</v>
      </c>
      <c r="D438" s="1" t="s">
        <v>2397</v>
      </c>
      <c r="E438" s="1" t="s">
        <v>2398</v>
      </c>
      <c r="F438" s="1" t="s">
        <v>51</v>
      </c>
      <c r="G438" s="1">
        <v>164.0</v>
      </c>
      <c r="H438" s="1" t="s">
        <v>52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53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54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56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57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f t="shared" si="1"/>
        <v>164</v>
      </c>
      <c r="AM438" s="1">
        <v>164.0</v>
      </c>
      <c r="AN438" s="1">
        <v>176.0</v>
      </c>
      <c r="AO438" s="1">
        <v>164.0</v>
      </c>
      <c r="AP438" s="2">
        <v>11.0</v>
      </c>
      <c r="AQ438" s="1">
        <v>0.0</v>
      </c>
      <c r="AR438" s="1">
        <v>0.0</v>
      </c>
      <c r="AS438" s="1" t="s">
        <v>2101</v>
      </c>
      <c r="AT438" s="3" t="str">
        <f>HYPERLINK("https://icf.clappia.com/app/GMB253374/submission/PZM54262711/ICF247370-GMB253374-1c4jcop9c84ic0000000/SIG-20250702_184813ci2h.jpeg", "SIG-20250702_184813ci2h.jpeg")</f>
        <v>SIG-20250702_184813ci2h.jpeg</v>
      </c>
      <c r="AU438" s="1" t="s">
        <v>2393</v>
      </c>
      <c r="AV438" s="3" t="str">
        <f>HYPERLINK("https://icf.clappia.com/app/GMB253374/submission/PZM54262711/ICF247370-GMB253374-452hh92jh4220000000/SIG-20250702_184815gllo.jpeg", "SIG-20250702_184815gllo.jpeg")</f>
        <v>SIG-20250702_184815gllo.jpeg</v>
      </c>
      <c r="AW438" s="1" t="s">
        <v>2394</v>
      </c>
      <c r="AX438" s="3" t="str">
        <f>HYPERLINK("https://icf.clappia.com/app/GMB253374/submission/PZM54262711/ICF247370-GMB253374-2dhlfbde6mda00000000/SIG-20250702_1849d8oi.jpeg", "SIG-20250702_1849d8oi.jpeg")</f>
        <v>SIG-20250702_1849d8oi.jpeg</v>
      </c>
      <c r="AY438" s="3" t="str">
        <f>HYPERLINK("https://www.google.com/maps/place/8.7966383%2C-12.3115483", "8.7966383,-12.3115483")</f>
        <v>8.7966383,-12.3115483</v>
      </c>
    </row>
    <row r="439" ht="15.75" customHeight="1">
      <c r="A439" s="1" t="s">
        <v>2399</v>
      </c>
      <c r="B439" s="2" t="s">
        <v>47</v>
      </c>
      <c r="C439" s="1" t="s">
        <v>2400</v>
      </c>
      <c r="D439" s="1" t="s">
        <v>2400</v>
      </c>
      <c r="E439" s="1" t="s">
        <v>2401</v>
      </c>
      <c r="F439" s="1" t="s">
        <v>51</v>
      </c>
      <c r="G439" s="1">
        <v>100.0</v>
      </c>
      <c r="H439" s="1" t="s">
        <v>52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53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54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56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57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f t="shared" si="1"/>
        <v>100</v>
      </c>
      <c r="AM439" s="1">
        <v>100.0</v>
      </c>
      <c r="AN439" s="1">
        <v>112.0</v>
      </c>
      <c r="AO439" s="1">
        <v>100.0</v>
      </c>
      <c r="AP439" s="2">
        <v>11.0</v>
      </c>
      <c r="AQ439" s="1">
        <v>0.0</v>
      </c>
      <c r="AR439" s="1">
        <v>0.0</v>
      </c>
      <c r="AS439" s="1" t="s">
        <v>2402</v>
      </c>
      <c r="AT439" s="3" t="str">
        <f>HYPERLINK("https://icf.clappia.com/app/GMB253374/submission/JRK88654794/ICF247370-GMB253374-51l345iadja400000000/SIG-20250702_123021696.jpeg", "SIG-20250702_123021696.jpeg")</f>
        <v>SIG-20250702_123021696.jpeg</v>
      </c>
      <c r="AU439" s="1" t="s">
        <v>2403</v>
      </c>
      <c r="AV439" s="3" t="str">
        <f>HYPERLINK("https://icf.clappia.com/app/GMB253374/submission/JRK88654794/ICF247370-GMB253374-38opio6b3b2600000000/SIG-20250702_1225nekhj.jpeg", "SIG-20250702_1225nekhj.jpeg")</f>
        <v>SIG-20250702_1225nekhj.jpeg</v>
      </c>
      <c r="AW439" s="1" t="s">
        <v>2404</v>
      </c>
      <c r="AX439" s="3" t="str">
        <f>HYPERLINK("https://icf.clappia.com/app/GMB253374/submission/JRK88654794/ICF247370-GMB253374-1gb2ile0hg5da0000000/SIG-20250702_1230gpe25.jpeg", "SIG-20250702_1230gpe25.jpeg")</f>
        <v>SIG-20250702_1230gpe25.jpeg</v>
      </c>
      <c r="AY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2405</v>
      </c>
      <c r="B440" s="2" t="s">
        <v>47</v>
      </c>
      <c r="C440" s="1" t="s">
        <v>2406</v>
      </c>
      <c r="D440" s="1" t="s">
        <v>2406</v>
      </c>
      <c r="E440" s="1" t="s">
        <v>2407</v>
      </c>
      <c r="F440" s="1" t="s">
        <v>72</v>
      </c>
      <c r="G440" s="1">
        <v>100.0</v>
      </c>
      <c r="H440" s="1" t="s">
        <v>52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53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54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56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57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f t="shared" si="1"/>
        <v>56</v>
      </c>
      <c r="AM440" s="1">
        <v>100.0</v>
      </c>
      <c r="AN440" s="1">
        <v>112.0</v>
      </c>
      <c r="AO440" s="1">
        <v>56.0</v>
      </c>
      <c r="AP440" s="2">
        <v>11.0</v>
      </c>
      <c r="AQ440" s="1">
        <v>44.0</v>
      </c>
      <c r="AR440" s="1">
        <v>44.0</v>
      </c>
      <c r="AS440" s="1" t="s">
        <v>748</v>
      </c>
      <c r="AT440" s="3" t="str">
        <f>HYPERLINK("https://icf.clappia.com/app/GMB253374/submission/SSH72394792/ICF247370-GMB253374-3cdhp4p5m3b400000000/SIG-20250702_19036p0cb.jpeg", "SIG-20250702_19036p0cb.jpeg")</f>
        <v>SIG-20250702_19036p0cb.jpeg</v>
      </c>
      <c r="AU440" s="1" t="s">
        <v>749</v>
      </c>
      <c r="AV440" s="3" t="str">
        <f>HYPERLINK("https://icf.clappia.com/app/GMB253374/submission/SSH72394792/ICF247370-GMB253374-3oe26m0aiid200000000/SIG-20250702_1903ea1b4.jpeg", "SIG-20250702_1903ea1b4.jpeg")</f>
        <v>SIG-20250702_1903ea1b4.jpeg</v>
      </c>
      <c r="AW440" s="1" t="s">
        <v>750</v>
      </c>
      <c r="AX440" s="3" t="str">
        <f>HYPERLINK("https://icf.clappia.com/app/GMB253374/submission/SSH72394792/ICF247370-GMB253374-3hlfplkpin5c00000000/SIG-20250702_1904d0ini.jpeg", "SIG-20250702_1904d0ini.jpeg")</f>
        <v>SIG-20250702_1904d0ini.jpeg</v>
      </c>
      <c r="AY440" s="3" t="str">
        <f>HYPERLINK("https://www.google.com/maps/place/7.97923%2C-11.6615183", "7.97923,-11.6615183")</f>
        <v>7.97923,-11.6615183</v>
      </c>
    </row>
    <row r="441" ht="15.75" customHeight="1">
      <c r="A441" s="1" t="s">
        <v>2408</v>
      </c>
      <c r="B441" s="2" t="s">
        <v>47</v>
      </c>
      <c r="C441" s="1" t="s">
        <v>2409</v>
      </c>
      <c r="D441" s="1" t="s">
        <v>2409</v>
      </c>
      <c r="E441" s="1" t="s">
        <v>2410</v>
      </c>
      <c r="F441" s="1" t="s">
        <v>51</v>
      </c>
      <c r="G441" s="1">
        <v>200.0</v>
      </c>
      <c r="H441" s="1" t="s">
        <v>52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53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54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56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57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f t="shared" si="1"/>
        <v>182</v>
      </c>
      <c r="AM441" s="1">
        <v>200.0</v>
      </c>
      <c r="AN441" s="1">
        <v>212.0</v>
      </c>
      <c r="AO441" s="1">
        <v>182.0</v>
      </c>
      <c r="AP441" s="2">
        <v>11.0</v>
      </c>
      <c r="AQ441" s="1">
        <v>18.0</v>
      </c>
      <c r="AR441" s="1">
        <v>18.0</v>
      </c>
      <c r="AS441" s="1" t="s">
        <v>781</v>
      </c>
      <c r="AT441" s="3" t="str">
        <f>HYPERLINK("https://icf.clappia.com/app/GMB253374/submission/FEH05018525/ICF247370-GMB253374-4mf3fpp01a1800000000/SIG-20250702_1856l95im.jpeg", "SIG-20250702_1856l95im.jpeg")</f>
        <v>SIG-20250702_1856l95im.jpeg</v>
      </c>
      <c r="AU441" s="1" t="s">
        <v>2411</v>
      </c>
      <c r="AV441" s="3" t="str">
        <f>HYPERLINK("https://icf.clappia.com/app/GMB253374/submission/FEH05018525/ICF247370-GMB253374-3g4l8p50fl7m00000000/SIG-20250702_190113f69f.jpeg", "SIG-20250702_190113f69f.jpeg")</f>
        <v>SIG-20250702_190113f69f.jpeg</v>
      </c>
      <c r="AW441" s="1" t="s">
        <v>2412</v>
      </c>
      <c r="AX441" s="3" t="str">
        <f>HYPERLINK("https://icf.clappia.com/app/GMB253374/submission/FEH05018525/ICF247370-GMB253374-148d39phbe35i0000000/SIG-20250702_1900pa5bk.jpeg", "SIG-20250702_1900pa5bk.jpeg")</f>
        <v>SIG-20250702_1900pa5bk.jpeg</v>
      </c>
      <c r="AY441" s="3" t="str">
        <f>HYPERLINK("https://www.google.com/maps/place/8.0229536%2C-11.587873", "8.0229536,-11.587873")</f>
        <v>8.0229536,-11.587873</v>
      </c>
    </row>
    <row r="442" ht="15.75" customHeight="1">
      <c r="A442" s="1" t="s">
        <v>2413</v>
      </c>
      <c r="B442" s="2" t="s">
        <v>47</v>
      </c>
      <c r="C442" s="1" t="s">
        <v>2414</v>
      </c>
      <c r="D442" s="1" t="s">
        <v>2414</v>
      </c>
      <c r="E442" s="1" t="s">
        <v>2415</v>
      </c>
      <c r="F442" s="1" t="s">
        <v>51</v>
      </c>
      <c r="G442" s="1">
        <v>135.0</v>
      </c>
      <c r="H442" s="1" t="s">
        <v>52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53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54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56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57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f t="shared" si="1"/>
        <v>124</v>
      </c>
      <c r="AM442" s="1">
        <v>135.0</v>
      </c>
      <c r="AN442" s="1">
        <v>147.0</v>
      </c>
      <c r="AO442" s="1">
        <v>124.0</v>
      </c>
      <c r="AP442" s="2">
        <v>11.0</v>
      </c>
      <c r="AQ442" s="1">
        <v>11.0</v>
      </c>
      <c r="AR442" s="1">
        <v>11.0</v>
      </c>
      <c r="AS442" s="1" t="s">
        <v>2416</v>
      </c>
      <c r="AT442" s="3" t="str">
        <f>HYPERLINK("https://icf.clappia.com/app/GMB253374/submission/IFX05843362/ICF247370-GMB253374-344b6hohk7g600000000/SIG-20250702_1840180n11.jpeg", "SIG-20250702_1840180n11.jpeg")</f>
        <v>SIG-20250702_1840180n11.jpeg</v>
      </c>
      <c r="AU442" s="1" t="s">
        <v>2417</v>
      </c>
      <c r="AV442" s="3" t="str">
        <f>HYPERLINK("https://icf.clappia.com/app/GMB253374/submission/IFX05843362/ICF247370-GMB253374-35hpil2ni71i00000000/SIG-20250702_1841jh215.jpeg", "SIG-20250702_1841jh215.jpeg")</f>
        <v>SIG-20250702_1841jh215.jpeg</v>
      </c>
      <c r="AW442" s="1" t="s">
        <v>2418</v>
      </c>
      <c r="AX442" s="3" t="str">
        <f>HYPERLINK("https://icf.clappia.com/app/GMB253374/submission/IFX05843362/ICF247370-GMB253374-3ho9hn8mmf620000000/SIG-20250702_1842f697o.jpeg", "SIG-20250702_1842f697o.jpeg")</f>
        <v>SIG-20250702_1842f697o.jpeg</v>
      </c>
      <c r="AY442" s="3" t="str">
        <f>HYPERLINK("https://www.google.com/maps/place/8.1580117%2C-11.597125", "8.1580117,-11.597125")</f>
        <v>8.1580117,-11.597125</v>
      </c>
    </row>
    <row r="443" ht="15.75" customHeight="1">
      <c r="A443" s="1" t="s">
        <v>2419</v>
      </c>
      <c r="B443" s="2" t="s">
        <v>47</v>
      </c>
      <c r="C443" s="1" t="s">
        <v>2420</v>
      </c>
      <c r="D443" s="1" t="s">
        <v>2420</v>
      </c>
      <c r="E443" s="1" t="s">
        <v>2421</v>
      </c>
      <c r="F443" s="1" t="s">
        <v>51</v>
      </c>
      <c r="G443" s="1">
        <v>300.0</v>
      </c>
      <c r="H443" s="1" t="s">
        <v>52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53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54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56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57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f t="shared" si="1"/>
        <v>292</v>
      </c>
      <c r="AM443" s="1">
        <v>300.0</v>
      </c>
      <c r="AN443" s="1">
        <v>312.0</v>
      </c>
      <c r="AO443" s="1">
        <v>226.0</v>
      </c>
      <c r="AP443" s="2">
        <v>11.0</v>
      </c>
      <c r="AQ443" s="1">
        <v>74.0</v>
      </c>
      <c r="AR443" s="1">
        <v>74.0</v>
      </c>
      <c r="AS443" s="1" t="s">
        <v>2422</v>
      </c>
      <c r="AT443" s="3" t="str">
        <f>HYPERLINK("https://icf.clappia.com/app/GMB253374/submission/HZG01884111/ICF247370-GMB253374-45808hj02kgc00000000/SIG-20250702_1748159jnp.jpeg", "SIG-20250702_1748159jnp.jpeg")</f>
        <v>SIG-20250702_1748159jnp.jpeg</v>
      </c>
      <c r="AU443" s="1" t="s">
        <v>2423</v>
      </c>
      <c r="AV443" s="3" t="str">
        <f>HYPERLINK("https://icf.clappia.com/app/GMB253374/submission/HZG01884111/ICF247370-GMB253374-p071eop788g00000000/SIG-20250702_17491074dk.jpeg", "SIG-20250702_17491074dk.jpeg")</f>
        <v>SIG-20250702_17491074dk.jpeg</v>
      </c>
      <c r="AW443" s="1" t="s">
        <v>2424</v>
      </c>
      <c r="AX443" s="3" t="str">
        <f>HYPERLINK("https://icf.clappia.com/app/GMB253374/submission/HZG01884111/ICF247370-GMB253374-lp9ch301mf2g0000000/SIG-20250702_1749i58eh.jpeg", "SIG-20250702_1749i58eh.jpeg")</f>
        <v>SIG-20250702_1749i58eh.jpeg</v>
      </c>
      <c r="AY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2425</v>
      </c>
      <c r="B444" s="2" t="s">
        <v>47</v>
      </c>
      <c r="C444" s="1" t="s">
        <v>2426</v>
      </c>
      <c r="D444" s="1" t="s">
        <v>2426</v>
      </c>
      <c r="E444" s="1" t="s">
        <v>2427</v>
      </c>
      <c r="F444" s="1" t="s">
        <v>51</v>
      </c>
      <c r="G444" s="1">
        <v>112.0</v>
      </c>
      <c r="H444" s="1" t="s">
        <v>52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53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54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56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57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f t="shared" si="1"/>
        <v>96</v>
      </c>
      <c r="AM444" s="1">
        <v>112.0</v>
      </c>
      <c r="AN444" s="1">
        <v>124.0</v>
      </c>
      <c r="AO444" s="1">
        <v>96.0</v>
      </c>
      <c r="AP444" s="2">
        <v>11.0</v>
      </c>
      <c r="AQ444" s="1">
        <v>16.0</v>
      </c>
      <c r="AR444" s="1">
        <v>16.0</v>
      </c>
      <c r="AS444" s="1" t="s">
        <v>2361</v>
      </c>
      <c r="AT444" s="3" t="str">
        <f>HYPERLINK("https://icf.clappia.com/app/GMB253374/submission/MZP20513526/ICF247370-GMB253374-23lf5704oeg6k0000000/SIG-20250702_1829d70a0.jpeg", "SIG-20250702_1829d70a0.jpeg")</f>
        <v>SIG-20250702_1829d70a0.jpeg</v>
      </c>
      <c r="AU444" s="1" t="s">
        <v>2418</v>
      </c>
      <c r="AV444" s="3" t="str">
        <f>HYPERLINK("https://icf.clappia.com/app/GMB253374/submission/MZP20513526/ICF247370-GMB253374-1jkjld9f8em3g0000000/SIG-20250702_18299dde2.jpeg", "SIG-20250702_18299dde2.jpeg")</f>
        <v>SIG-20250702_18299dde2.jpeg</v>
      </c>
      <c r="AW444" s="1" t="s">
        <v>2360</v>
      </c>
      <c r="AX444" s="3" t="str">
        <f>HYPERLINK("https://icf.clappia.com/app/GMB253374/submission/MZP20513526/ICF247370-GMB253374-2j1oe4778jdo00000000/SIG-20250702_18309oc2m.jpeg", "SIG-20250702_18309oc2m.jpeg")</f>
        <v>SIG-20250702_18309oc2m.jpeg</v>
      </c>
      <c r="AY444" s="3" t="str">
        <f>HYPERLINK("https://www.google.com/maps/place/8.15826%2C-11.5976667", "8.15826,-11.5976667")</f>
        <v>8.15826,-11.5976667</v>
      </c>
    </row>
    <row r="445" ht="15.75" customHeight="1">
      <c r="A445" s="1" t="s">
        <v>2428</v>
      </c>
      <c r="B445" s="2" t="s">
        <v>47</v>
      </c>
      <c r="C445" s="1" t="s">
        <v>2429</v>
      </c>
      <c r="D445" s="1" t="s">
        <v>2429</v>
      </c>
      <c r="E445" s="1" t="s">
        <v>2430</v>
      </c>
      <c r="F445" s="1" t="s">
        <v>51</v>
      </c>
      <c r="G445" s="1">
        <v>200.0</v>
      </c>
      <c r="H445" s="1" t="s">
        <v>52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53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54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56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57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f t="shared" si="1"/>
        <v>200</v>
      </c>
      <c r="AM445" s="1">
        <v>200.0</v>
      </c>
      <c r="AN445" s="1">
        <v>212.0</v>
      </c>
      <c r="AO445" s="1">
        <v>200.0</v>
      </c>
      <c r="AP445" s="2">
        <v>11.0</v>
      </c>
      <c r="AQ445" s="1">
        <v>0.0</v>
      </c>
      <c r="AR445" s="1">
        <v>0.0</v>
      </c>
      <c r="AS445" s="1" t="s">
        <v>2431</v>
      </c>
      <c r="AT445" s="3" t="str">
        <f>HYPERLINK("https://icf.clappia.com/app/GMB253374/submission/BKD86704380/ICF247370-GMB253374-17f0ookdf6li80000000/SIG-20250702_1821fcfn3.jpeg", "SIG-20250702_1821fcfn3.jpeg")</f>
        <v>SIG-20250702_1821fcfn3.jpeg</v>
      </c>
      <c r="AU445" s="1" t="s">
        <v>2432</v>
      </c>
      <c r="AV445" s="3" t="str">
        <f>HYPERLINK("https://icf.clappia.com/app/GMB253374/submission/BKD86704380/ICF247370-GMB253374-2fhjj4f677pg00000000/SIG-20250702_13551463b9.jpeg", "SIG-20250702_13551463b9.jpeg")</f>
        <v>SIG-20250702_13551463b9.jpeg</v>
      </c>
      <c r="AW445" s="1" t="s">
        <v>2433</v>
      </c>
      <c r="AX445" s="3" t="str">
        <f>HYPERLINK("https://icf.clappia.com/app/GMB253374/submission/BKD86704380/ICF247370-GMB253374-5i4n6lgbef5m00000000/SIG-20250702_1356p7nf2.jpeg", "SIG-20250702_1356p7nf2.jpeg")</f>
        <v>SIG-20250702_1356p7nf2.jpeg</v>
      </c>
      <c r="AY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2434</v>
      </c>
      <c r="B446" s="2" t="s">
        <v>47</v>
      </c>
      <c r="C446" s="1" t="s">
        <v>2435</v>
      </c>
      <c r="D446" s="1" t="s">
        <v>2435</v>
      </c>
      <c r="E446" s="1" t="s">
        <v>2436</v>
      </c>
      <c r="F446" s="1" t="s">
        <v>51</v>
      </c>
      <c r="G446" s="1">
        <v>50.0</v>
      </c>
      <c r="H446" s="1" t="s">
        <v>52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53</v>
      </c>
      <c r="O446" s="1" t="s">
        <v>55</v>
      </c>
      <c r="P446" s="1" t="s">
        <v>55</v>
      </c>
      <c r="Q446" s="1" t="s">
        <v>55</v>
      </c>
      <c r="R446" s="1" t="s">
        <v>55</v>
      </c>
      <c r="S446" s="1" t="s">
        <v>55</v>
      </c>
      <c r="T446" s="1" t="s">
        <v>54</v>
      </c>
      <c r="U446" s="1" t="s">
        <v>55</v>
      </c>
      <c r="V446" s="1" t="s">
        <v>55</v>
      </c>
      <c r="W446" s="1" t="s">
        <v>55</v>
      </c>
      <c r="X446" s="1" t="s">
        <v>55</v>
      </c>
      <c r="Y446" s="1" t="s">
        <v>55</v>
      </c>
      <c r="Z446" s="1" t="s">
        <v>56</v>
      </c>
      <c r="AA446" s="1" t="s">
        <v>55</v>
      </c>
      <c r="AB446" s="1" t="s">
        <v>55</v>
      </c>
      <c r="AC446" s="1" t="s">
        <v>55</v>
      </c>
      <c r="AD446" s="1" t="s">
        <v>55</v>
      </c>
      <c r="AE446" s="1" t="s">
        <v>55</v>
      </c>
      <c r="AF446" s="1" t="s">
        <v>57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f t="shared" si="1"/>
        <v>30</v>
      </c>
      <c r="AM446" s="1">
        <v>50.0</v>
      </c>
      <c r="AN446" s="1">
        <v>62.0</v>
      </c>
      <c r="AO446" s="1">
        <v>30.0</v>
      </c>
      <c r="AP446" s="2">
        <v>11.0</v>
      </c>
      <c r="AQ446" s="1">
        <v>20.0</v>
      </c>
      <c r="AR446" s="1">
        <v>20.0</v>
      </c>
      <c r="AS446" s="1" t="s">
        <v>1529</v>
      </c>
      <c r="AT446" s="3" t="str">
        <f>HYPERLINK("https://icf.clappia.com/app/GMB253374/submission/YGH41478781/ICF247370-GMB253374-65e286o430co00000000/SIG-20250702_1806gnp5g.jpeg", "SIG-20250702_1806gnp5g.jpeg")</f>
        <v>SIG-20250702_1806gnp5g.jpeg</v>
      </c>
      <c r="AU446" s="1" t="s">
        <v>2437</v>
      </c>
      <c r="AV446" s="3" t="str">
        <f>HYPERLINK("https://icf.clappia.com/app/GMB253374/submission/YGH41478781/ICF247370-GMB253374-3fae7p2d45o200000000/SIG-20250702_18066akib.jpeg", "SIG-20250702_18066akib.jpeg")</f>
        <v>SIG-20250702_18066akib.jpeg</v>
      </c>
      <c r="AW446" s="1" t="s">
        <v>2438</v>
      </c>
      <c r="AX446" s="3" t="str">
        <f>HYPERLINK("https://icf.clappia.com/app/GMB253374/submission/YGH41478781/ICF247370-GMB253374-568n6fcfm82400000000/SIG-20250702_1820oc8o7.jpeg", "SIG-20250702_1820oc8o7.jpeg")</f>
        <v>SIG-20250702_1820oc8o7.jpeg</v>
      </c>
      <c r="AY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2439</v>
      </c>
      <c r="B447" s="2" t="s">
        <v>47</v>
      </c>
      <c r="C447" s="1" t="s">
        <v>2440</v>
      </c>
      <c r="D447" s="1" t="s">
        <v>2440</v>
      </c>
      <c r="E447" s="1" t="s">
        <v>2441</v>
      </c>
      <c r="F447" s="1" t="s">
        <v>72</v>
      </c>
      <c r="G447" s="1">
        <v>300.0</v>
      </c>
      <c r="H447" s="1" t="s">
        <v>52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53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54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56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57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f t="shared" si="1"/>
        <v>281</v>
      </c>
      <c r="AM447" s="1">
        <v>300.0</v>
      </c>
      <c r="AN447" s="1">
        <v>312.0</v>
      </c>
      <c r="AO447" s="1">
        <v>281.0</v>
      </c>
      <c r="AP447" s="2">
        <v>11.0</v>
      </c>
      <c r="AQ447" s="1">
        <v>19.0</v>
      </c>
      <c r="AR447" s="1">
        <v>19.0</v>
      </c>
      <c r="AS447" s="1" t="s">
        <v>748</v>
      </c>
      <c r="AT447" s="3" t="str">
        <f>HYPERLINK("https://icf.clappia.com/app/GMB253374/submission/GDE41870872/ICF247370-GMB253374-2h8cpbkh927i00000000/SIG-20250702_1630eo6od.jpeg", "SIG-20250702_1630eo6od.jpeg")</f>
        <v>SIG-20250702_1630eo6od.jpeg</v>
      </c>
      <c r="AU447" s="1" t="s">
        <v>749</v>
      </c>
      <c r="AV447" s="3" t="str">
        <f>HYPERLINK("https://icf.clappia.com/app/GMB253374/submission/GDE41870872/ICF247370-GMB253374-3ee380em3ene00000000/SIG-20250702_1630170j7g.jpeg", "SIG-20250702_1630170j7g.jpeg")</f>
        <v>SIG-20250702_1630170j7g.jpeg</v>
      </c>
      <c r="AW447" s="1" t="s">
        <v>750</v>
      </c>
      <c r="AX447" s="3" t="str">
        <f>HYPERLINK("https://icf.clappia.com/app/GMB253374/submission/GDE41870872/ICF247370-GMB253374-4i5ijjmo958600000000/SIG-20250702_1631cc9g3.jpeg", "SIG-20250702_1631cc9g3.jpeg")</f>
        <v>SIG-20250702_1631cc9g3.jpeg</v>
      </c>
      <c r="AY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2442</v>
      </c>
      <c r="B448" s="2" t="s">
        <v>47</v>
      </c>
      <c r="C448" s="1" t="s">
        <v>2443</v>
      </c>
      <c r="D448" s="1" t="s">
        <v>2443</v>
      </c>
      <c r="E448" s="1" t="s">
        <v>2444</v>
      </c>
      <c r="F448" s="1" t="s">
        <v>51</v>
      </c>
      <c r="G448" s="1">
        <v>154.0</v>
      </c>
      <c r="H448" s="1" t="s">
        <v>52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53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54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56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57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f t="shared" si="1"/>
        <v>144</v>
      </c>
      <c r="AM448" s="1">
        <v>154.0</v>
      </c>
      <c r="AN448" s="1">
        <v>166.0</v>
      </c>
      <c r="AO448" s="1">
        <v>144.0</v>
      </c>
      <c r="AP448" s="2">
        <v>11.0</v>
      </c>
      <c r="AQ448" s="1">
        <v>10.0</v>
      </c>
      <c r="AR448" s="1">
        <v>10.0</v>
      </c>
      <c r="AS448" s="1" t="s">
        <v>1493</v>
      </c>
      <c r="AT448" s="3" t="str">
        <f>HYPERLINK("https://icf.clappia.com/app/GMB253374/submission/IJT38877221/ICF247370-GMB253374-5ajb0mh6288c00000000/SIG-20250702_1809pf99d.jpeg", "SIG-20250702_1809pf99d.jpeg")</f>
        <v>SIG-20250702_1809pf99d.jpeg</v>
      </c>
      <c r="AU448" s="1" t="s">
        <v>1494</v>
      </c>
      <c r="AV448" s="3" t="str">
        <f>HYPERLINK("https://icf.clappia.com/app/GMB253374/submission/IJT38877221/ICF247370-GMB253374-1jhj2ongmi2a40000000/SIG-20250702_18091l8bm.jpeg", "SIG-20250702_18091l8bm.jpeg")</f>
        <v>SIG-20250702_18091l8bm.jpeg</v>
      </c>
      <c r="AW448" s="1" t="s">
        <v>1495</v>
      </c>
      <c r="AX448" s="3" t="str">
        <f>HYPERLINK("https://icf.clappia.com/app/GMB253374/submission/IJT38877221/ICF247370-GMB253374-3i39d516p7am00000000/SIG-20250702_180917l7l2.jpeg", "SIG-20250702_180917l7l2.jpeg")</f>
        <v>SIG-20250702_180917l7l2.jpeg</v>
      </c>
      <c r="AY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2445</v>
      </c>
      <c r="B449" s="2" t="s">
        <v>47</v>
      </c>
      <c r="C449" s="1" t="s">
        <v>2446</v>
      </c>
      <c r="D449" s="1" t="s">
        <v>2447</v>
      </c>
      <c r="E449" s="1" t="s">
        <v>2448</v>
      </c>
      <c r="F449" s="1" t="s">
        <v>51</v>
      </c>
      <c r="G449" s="1">
        <v>100.0</v>
      </c>
      <c r="H449" s="1" t="s">
        <v>52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53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54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56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57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f t="shared" si="1"/>
        <v>74</v>
      </c>
      <c r="AM449" s="1">
        <v>100.0</v>
      </c>
      <c r="AN449" s="1">
        <v>112.0</v>
      </c>
      <c r="AO449" s="1">
        <v>74.0</v>
      </c>
      <c r="AP449" s="2">
        <v>11.0</v>
      </c>
      <c r="AQ449" s="1">
        <v>26.0</v>
      </c>
      <c r="AR449" s="1">
        <v>26.0</v>
      </c>
      <c r="AS449" s="1" t="s">
        <v>748</v>
      </c>
      <c r="AT449" s="3" t="str">
        <f>HYPERLINK("https://icf.clappia.com/app/GMB253374/submission/SCI24573335/ICF247370-GMB253374-4c06m3al7jhi00000000/SIG-20250701_14091a9ljo.jpeg", "SIG-20250701_14091a9ljo.jpeg")</f>
        <v>SIG-20250701_14091a9ljo.jpeg</v>
      </c>
      <c r="AU449" s="1" t="s">
        <v>749</v>
      </c>
      <c r="AV449" s="3" t="str">
        <f>HYPERLINK("https://icf.clappia.com/app/GMB253374/submission/SCI24573335/ICF247370-GMB253374-4bkfli70hp3g00000000/SIG-20250701_14101a0fbf.jpeg", "SIG-20250701_14101a0fbf.jpeg")</f>
        <v>SIG-20250701_14101a0fbf.jpeg</v>
      </c>
      <c r="AW449" s="1" t="s">
        <v>750</v>
      </c>
      <c r="AX449" s="3" t="str">
        <f>HYPERLINK("https://icf.clappia.com/app/GMB253374/submission/SCI24573335/ICF247370-GMB253374-ac00608a1bh20000000/SIG-20250701_1412b39ae.jpeg", "SIG-20250701_1412b39ae.jpeg")</f>
        <v>SIG-20250701_1412b39ae.jpeg</v>
      </c>
      <c r="AY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2449</v>
      </c>
      <c r="B450" s="2" t="s">
        <v>47</v>
      </c>
      <c r="C450" s="1" t="s">
        <v>2450</v>
      </c>
      <c r="D450" s="1" t="s">
        <v>2447</v>
      </c>
      <c r="E450" s="1" t="s">
        <v>2451</v>
      </c>
      <c r="F450" s="1" t="s">
        <v>51</v>
      </c>
      <c r="G450" s="1">
        <v>79.0</v>
      </c>
      <c r="H450" s="1" t="s">
        <v>52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53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54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56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57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f t="shared" si="1"/>
        <v>39</v>
      </c>
      <c r="AM450" s="1">
        <v>79.0</v>
      </c>
      <c r="AN450" s="1">
        <v>91.0</v>
      </c>
      <c r="AO450" s="1">
        <v>39.0</v>
      </c>
      <c r="AP450" s="2">
        <v>11.0</v>
      </c>
      <c r="AQ450" s="1">
        <v>40.0</v>
      </c>
      <c r="AR450" s="1">
        <v>40.0</v>
      </c>
      <c r="AS450" s="1" t="s">
        <v>748</v>
      </c>
      <c r="AT450" s="3" t="str">
        <f>HYPERLINK("https://icf.clappia.com/app/GMB253374/submission/QWK93535656/ICF247370-GMB253374-337j26e3346000000000/SIG-20250701_1235ncip6.jpeg", "SIG-20250701_1235ncip6.jpeg")</f>
        <v>SIG-20250701_1235ncip6.jpeg</v>
      </c>
      <c r="AU450" s="1" t="s">
        <v>749</v>
      </c>
      <c r="AV450" s="3" t="str">
        <f>HYPERLINK("https://icf.clappia.com/app/GMB253374/submission/QWK93535656/ICF247370-GMB253374-4jm5k68ige7000000000/SIG-20250701_123615cd9n.jpeg", "SIG-20250701_123615cd9n.jpeg")</f>
        <v>SIG-20250701_123615cd9n.jpeg</v>
      </c>
      <c r="AW450" s="1" t="s">
        <v>750</v>
      </c>
      <c r="AX450" s="3" t="str">
        <f>HYPERLINK("https://icf.clappia.com/app/GMB253374/submission/QWK93535656/ICF247370-GMB253374-3g315io2ba1800000000/SIG-20250701_123718ldio.jpeg", "SIG-20250701_123718ldio.jpeg")</f>
        <v>SIG-20250701_123718ldio.jpeg</v>
      </c>
      <c r="AY450" s="3" t="str">
        <f>HYPERLINK("https://www.google.com/maps/place/7.999085%2C-11.6934433", "7.999085,-11.6934433")</f>
        <v>7.999085,-11.6934433</v>
      </c>
    </row>
    <row r="451" ht="15.75" customHeight="1">
      <c r="A451" s="1" t="s">
        <v>2452</v>
      </c>
      <c r="B451" s="2" t="s">
        <v>47</v>
      </c>
      <c r="C451" s="1" t="s">
        <v>2453</v>
      </c>
      <c r="D451" s="1" t="s">
        <v>2447</v>
      </c>
      <c r="E451" s="1" t="s">
        <v>2454</v>
      </c>
      <c r="F451" s="1" t="s">
        <v>51</v>
      </c>
      <c r="G451" s="1">
        <v>100.0</v>
      </c>
      <c r="H451" s="1" t="s">
        <v>52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53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54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56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57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f t="shared" si="1"/>
        <v>111</v>
      </c>
      <c r="AM451" s="1">
        <v>100.0</v>
      </c>
      <c r="AN451" s="1">
        <v>112.0</v>
      </c>
      <c r="AO451" s="1">
        <v>65.0</v>
      </c>
      <c r="AP451" s="2">
        <v>11.0</v>
      </c>
      <c r="AQ451" s="1">
        <v>35.0</v>
      </c>
      <c r="AR451" s="1">
        <v>35.0</v>
      </c>
      <c r="AS451" s="1" t="s">
        <v>748</v>
      </c>
      <c r="AT451" s="3" t="str">
        <f>HYPERLINK("https://icf.clappia.com/app/GMB253374/submission/ALD59348923/ICF247370-GMB253374-579n161ndn0k00000000/SIG-20250701_1109abbco.jpeg", "SIG-20250701_1109abbco.jpeg")</f>
        <v>SIG-20250701_1109abbco.jpeg</v>
      </c>
      <c r="AU451" s="1" t="s">
        <v>749</v>
      </c>
      <c r="AV451" s="3" t="str">
        <f>HYPERLINK("https://icf.clappia.com/app/GMB253374/submission/ALD59348923/ICF247370-GMB253374-2b1o57jpagn1a0000000/SIG-20250701_111119j81p.jpeg", "SIG-20250701_111119j81p.jpeg")</f>
        <v>SIG-20250701_111119j81p.jpeg</v>
      </c>
      <c r="AW451" s="1" t="s">
        <v>750</v>
      </c>
      <c r="AX451" s="3" t="str">
        <f>HYPERLINK("https://icf.clappia.com/app/GMB253374/submission/ALD59348923/ICF247370-GMB253374-54oe1hpdd9ac00000000/SIG-20250701_111317f2ch.jpeg", "SIG-20250701_111317f2ch.jpeg")</f>
        <v>SIG-20250701_111317f2ch.jpeg</v>
      </c>
      <c r="AY451" s="3" t="str">
        <f>HYPERLINK("https://www.google.com/maps/place/8.00021%2C-11.6941967", "8.00021,-11.6941967")</f>
        <v>8.00021,-11.6941967</v>
      </c>
    </row>
    <row r="452" ht="15.75" customHeight="1">
      <c r="A452" s="1" t="s">
        <v>2455</v>
      </c>
      <c r="B452" s="2" t="s">
        <v>47</v>
      </c>
      <c r="C452" s="1" t="s">
        <v>2456</v>
      </c>
      <c r="D452" s="1" t="s">
        <v>2457</v>
      </c>
      <c r="E452" s="1" t="s">
        <v>2458</v>
      </c>
      <c r="F452" s="1" t="s">
        <v>51</v>
      </c>
      <c r="G452" s="1">
        <v>94.0</v>
      </c>
      <c r="H452" s="1" t="s">
        <v>52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53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54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56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57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f t="shared" si="1"/>
        <v>94</v>
      </c>
      <c r="AM452" s="1">
        <v>94.0</v>
      </c>
      <c r="AN452" s="1">
        <v>106.0</v>
      </c>
      <c r="AO452" s="1">
        <v>94.0</v>
      </c>
      <c r="AP452" s="2">
        <v>11.0</v>
      </c>
      <c r="AQ452" s="1">
        <v>0.0</v>
      </c>
      <c r="AR452" s="1">
        <v>0.0</v>
      </c>
      <c r="AS452" s="1" t="s">
        <v>2459</v>
      </c>
      <c r="AT452" s="3" t="str">
        <f>HYPERLINK("https://icf.clappia.com/app/GMB253374/submission/SNA61350185/ICF247370-GMB253374-1em385pn17m000000000/SIG-20250630_154715na19.jpeg", "SIG-20250630_154715na19.jpeg")</f>
        <v>SIG-20250630_154715na19.jpeg</v>
      </c>
      <c r="AU452" s="1" t="s">
        <v>749</v>
      </c>
      <c r="AV452" s="3" t="str">
        <f>HYPERLINK("https://icf.clappia.com/app/GMB253374/submission/SNA61350185/ICF247370-GMB253374-6bcfmc0ip2mg00000000/SIG-20250630_15485mpo9.jpeg", "SIG-20250630_15485mpo9.jpeg")</f>
        <v>SIG-20250630_15485mpo9.jpeg</v>
      </c>
      <c r="AW452" s="1" t="s">
        <v>750</v>
      </c>
      <c r="AX452" s="3" t="str">
        <f>HYPERLINK("https://icf.clappia.com/app/GMB253374/submission/SNA61350185/ICF247370-GMB253374-m3354g9b70880000000/SIG-20250630_154812mdjg.jpeg", "SIG-20250630_154812mdjg.jpeg")</f>
        <v>SIG-20250630_154812mdjg.jpeg</v>
      </c>
      <c r="AY452" s="3" t="str">
        <f>HYPERLINK("https://www.google.com/maps/place/8.0141033%2C-11.675585", "8.0141033,-11.675585")</f>
        <v>8.0141033,-11.675585</v>
      </c>
    </row>
    <row r="453" ht="15.75" customHeight="1">
      <c r="A453" s="1" t="s">
        <v>2460</v>
      </c>
      <c r="B453" s="2" t="s">
        <v>47</v>
      </c>
      <c r="C453" s="1" t="s">
        <v>2461</v>
      </c>
      <c r="D453" s="1" t="s">
        <v>2457</v>
      </c>
      <c r="E453" s="1" t="s">
        <v>2462</v>
      </c>
      <c r="F453" s="1" t="s">
        <v>51</v>
      </c>
      <c r="G453" s="1">
        <v>351.0</v>
      </c>
      <c r="H453" s="1" t="s">
        <v>52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53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54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56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57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f t="shared" si="1"/>
        <v>250</v>
      </c>
      <c r="AM453" s="1">
        <v>351.0</v>
      </c>
      <c r="AN453" s="1">
        <v>363.0</v>
      </c>
      <c r="AO453" s="1">
        <v>250.0</v>
      </c>
      <c r="AP453" s="2">
        <v>11.0</v>
      </c>
      <c r="AQ453" s="1">
        <v>101.0</v>
      </c>
      <c r="AR453" s="1">
        <v>101.0</v>
      </c>
      <c r="AS453" s="1" t="s">
        <v>2459</v>
      </c>
      <c r="AT453" s="3" t="str">
        <f>HYPERLINK("https://icf.clappia.com/app/GMB253374/submission/TVD76649133/ICF247370-GMB253374-35c11djapoki00000000/SIG-20250630_1506iclef.jpeg", "SIG-20250630_1506iclef.jpeg")</f>
        <v>SIG-20250630_1506iclef.jpeg</v>
      </c>
      <c r="AU453" s="1" t="s">
        <v>2463</v>
      </c>
      <c r="AV453" s="3" t="str">
        <f>HYPERLINK("https://icf.clappia.com/app/GMB253374/submission/TVD76649133/ICF247370-GMB253374-3oin953fkpg000000000/SIG-20250630_1506g1lic.jpeg", "SIG-20250630_1506g1lic.jpeg")</f>
        <v>SIG-20250630_1506g1lic.jpeg</v>
      </c>
      <c r="AW453" s="1" t="s">
        <v>750</v>
      </c>
      <c r="AX453" s="3" t="str">
        <f>HYPERLINK("https://icf.clappia.com/app/GMB253374/submission/TVD76649133/ICF247370-GMB253374-2ipnfjfc71mc00000000/SIG-20250630_1507a7m57.jpeg", "SIG-20250630_1507a7m57.jpeg")</f>
        <v>SIG-20250630_1507a7m57.jpeg</v>
      </c>
      <c r="AY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2464</v>
      </c>
      <c r="B454" s="2" t="s">
        <v>47</v>
      </c>
      <c r="C454" s="1" t="s">
        <v>2465</v>
      </c>
      <c r="D454" s="1" t="s">
        <v>2465</v>
      </c>
      <c r="E454" s="1" t="s">
        <v>2466</v>
      </c>
      <c r="F454" s="1" t="s">
        <v>72</v>
      </c>
      <c r="G454" s="1">
        <v>350.0</v>
      </c>
      <c r="H454" s="1" t="s">
        <v>52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53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54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56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57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f t="shared" si="1"/>
        <v>350</v>
      </c>
      <c r="AM454" s="1">
        <v>350.0</v>
      </c>
      <c r="AN454" s="1">
        <v>362.0</v>
      </c>
      <c r="AO454" s="1">
        <v>350.0</v>
      </c>
      <c r="AP454" s="2">
        <v>11.0</v>
      </c>
      <c r="AQ454" s="1">
        <v>0.0</v>
      </c>
      <c r="AR454" s="1">
        <v>0.0</v>
      </c>
      <c r="AS454" s="1" t="s">
        <v>2467</v>
      </c>
      <c r="AT454" s="3" t="str">
        <f>HYPERLINK("https://icf.clappia.com/app/GMB253374/submission/MRK41065700/ICF247370-GMB253374-25ip1d9ek07cc0000000/SIG-20250702_17526liji.jpeg", "SIG-20250702_17526liji.jpeg")</f>
        <v>SIG-20250702_17526liji.jpeg</v>
      </c>
      <c r="AU454" s="1" t="s">
        <v>2468</v>
      </c>
      <c r="AV454" s="3" t="str">
        <f>HYPERLINK("https://icf.clappia.com/app/GMB253374/submission/MRK41065700/ICF247370-GMB253374-36869nbb704c00000000/SIG-20250702_1753c9po5.jpeg", "SIG-20250702_1753c9po5.jpeg")</f>
        <v>SIG-20250702_1753c9po5.jpeg</v>
      </c>
      <c r="AW454" s="1" t="s">
        <v>2469</v>
      </c>
      <c r="AX454" s="3" t="str">
        <f>HYPERLINK("https://icf.clappia.com/app/GMB253374/submission/MRK41065700/ICF247370-GMB253374-5ifiafh70he400000000/SIG-20250702_1753133i21.jpeg", "SIG-20250702_1753133i21.jpeg")</f>
        <v>SIG-20250702_1753133i21.jpeg</v>
      </c>
      <c r="AY454" s="3" t="str">
        <f>HYPERLINK("https://www.google.com/maps/place/7.96578%2C-11.7687833", "7.96578,-11.7687833")</f>
        <v>7.96578,-11.7687833</v>
      </c>
    </row>
    <row r="455" ht="15.75" customHeight="1">
      <c r="A455" s="1" t="s">
        <v>2470</v>
      </c>
      <c r="B455" s="2" t="s">
        <v>47</v>
      </c>
      <c r="C455" s="1" t="s">
        <v>2471</v>
      </c>
      <c r="D455" s="1" t="s">
        <v>2472</v>
      </c>
      <c r="E455" s="1" t="s">
        <v>2473</v>
      </c>
      <c r="F455" s="1" t="s">
        <v>51</v>
      </c>
      <c r="G455" s="1">
        <v>250.0</v>
      </c>
      <c r="H455" s="1" t="s">
        <v>52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53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54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56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57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f t="shared" si="1"/>
        <v>176</v>
      </c>
      <c r="AM455" s="1">
        <v>250.0</v>
      </c>
      <c r="AN455" s="1">
        <v>262.0</v>
      </c>
      <c r="AO455" s="1">
        <v>158.0</v>
      </c>
      <c r="AP455" s="2">
        <v>11.0</v>
      </c>
      <c r="AQ455" s="1">
        <v>92.0</v>
      </c>
      <c r="AR455" s="1">
        <v>92.0</v>
      </c>
      <c r="AS455" s="1" t="s">
        <v>1734</v>
      </c>
      <c r="AT455" s="3" t="str">
        <f>HYPERLINK("https://icf.clappia.com/app/GMB253374/submission/VAZ55223172/ICF247370-GMB253374-9kp8gnof46b20000000/SIG-20250702_1712igafe.jpeg", "SIG-20250702_1712igafe.jpeg")</f>
        <v>SIG-20250702_1712igafe.jpeg</v>
      </c>
      <c r="AU455" s="1" t="s">
        <v>1736</v>
      </c>
      <c r="AV455" s="3" t="str">
        <f>HYPERLINK("https://icf.clappia.com/app/GMB253374/submission/VAZ55223172/ICF247370-GMB253374-6494jhbln71i00000000/SIG-20250702_171319ka3c.jpeg", "SIG-20250702_171319ka3c.jpeg")</f>
        <v>SIG-20250702_171319ka3c.jpeg</v>
      </c>
      <c r="AW455" s="1" t="s">
        <v>1735</v>
      </c>
      <c r="AX455" s="3" t="str">
        <f>HYPERLINK("https://icf.clappia.com/app/GMB253374/submission/VAZ55223172/ICF247370-GMB253374-4onc41cf9j9600000000/SIG-20250702_1713567oe.jpeg", "SIG-20250702_1713567oe.jpeg")</f>
        <v>SIG-20250702_1713567oe.jpeg</v>
      </c>
      <c r="AY455" s="3" t="str">
        <f>HYPERLINK("https://www.google.com/maps/place/8.7599883%2C-11.955995", "8.7599883,-11.955995")</f>
        <v>8.7599883,-11.955995</v>
      </c>
    </row>
    <row r="456" ht="15.75" customHeight="1">
      <c r="A456" s="1" t="s">
        <v>2474</v>
      </c>
      <c r="B456" s="2" t="s">
        <v>47</v>
      </c>
      <c r="C456" s="1" t="s">
        <v>2475</v>
      </c>
      <c r="D456" s="1" t="s">
        <v>2475</v>
      </c>
      <c r="E456" s="1" t="s">
        <v>2476</v>
      </c>
      <c r="F456" s="1" t="s">
        <v>51</v>
      </c>
      <c r="G456" s="1">
        <v>150.0</v>
      </c>
      <c r="H456" s="1" t="s">
        <v>52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53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54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56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57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f t="shared" si="1"/>
        <v>83</v>
      </c>
      <c r="AM456" s="1">
        <v>150.0</v>
      </c>
      <c r="AN456" s="1">
        <v>162.0</v>
      </c>
      <c r="AO456" s="1">
        <v>82.0</v>
      </c>
      <c r="AP456" s="2">
        <v>11.0</v>
      </c>
      <c r="AQ456" s="1">
        <v>68.0</v>
      </c>
      <c r="AR456" s="1">
        <v>68.0</v>
      </c>
      <c r="AS456" s="1" t="s">
        <v>1034</v>
      </c>
      <c r="AT456" s="3" t="str">
        <f>HYPERLINK("https://icf.clappia.com/app/GMB253374/submission/GCB84613020/ICF247370-GMB253374-1foi5b882pmic0000000/SIG-20250702_1519b0fnp.jpeg", "SIG-20250702_1519b0fnp.jpeg")</f>
        <v>SIG-20250702_1519b0fnp.jpeg</v>
      </c>
      <c r="AU456" s="1" t="s">
        <v>1033</v>
      </c>
      <c r="AV456" s="3" t="str">
        <f>HYPERLINK("https://icf.clappia.com/app/GMB253374/submission/GCB84613020/ICF247370-GMB253374-2e7lh56fj3f800000000/SIG-20250702_15211a820f.jpeg", "SIG-20250702_15211a820f.jpeg")</f>
        <v>SIG-20250702_15211a820f.jpeg</v>
      </c>
      <c r="AW456" s="1" t="s">
        <v>2477</v>
      </c>
      <c r="AX456" s="3" t="str">
        <f>HYPERLINK("https://icf.clappia.com/app/GMB253374/submission/GCB84613020/ICF247370-GMB253374-60mdhn7dep2000000000/SIG-20250702_1521md6ob.jpeg", "SIG-20250702_1521md6ob.jpeg")</f>
        <v>SIG-20250702_1521md6ob.jpeg</v>
      </c>
      <c r="AY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2478</v>
      </c>
      <c r="B457" s="2" t="s">
        <v>47</v>
      </c>
      <c r="C457" s="1" t="s">
        <v>2479</v>
      </c>
      <c r="D457" s="1" t="s">
        <v>2479</v>
      </c>
      <c r="E457" s="1" t="s">
        <v>2480</v>
      </c>
      <c r="F457" s="1" t="s">
        <v>51</v>
      </c>
      <c r="G457" s="1">
        <v>258.0</v>
      </c>
      <c r="H457" s="1" t="s">
        <v>52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53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54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56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57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f t="shared" si="1"/>
        <v>227</v>
      </c>
      <c r="AM457" s="1">
        <v>258.0</v>
      </c>
      <c r="AN457" s="1">
        <v>270.0</v>
      </c>
      <c r="AO457" s="1">
        <v>227.0</v>
      </c>
      <c r="AP457" s="2">
        <v>11.0</v>
      </c>
      <c r="AQ457" s="1">
        <v>31.0</v>
      </c>
      <c r="AR457" s="1">
        <v>31.0</v>
      </c>
      <c r="AS457" s="1" t="s">
        <v>591</v>
      </c>
      <c r="AT457" s="3" t="str">
        <f>HYPERLINK("https://icf.clappia.com/app/GMB253374/submission/MKW38930040/ICF247370-GMB253374-a1pjjl8ond7m0000000/SIG-20250702_1711150e1b.jpeg", "SIG-20250702_1711150e1b.jpeg")</f>
        <v>SIG-20250702_1711150e1b.jpeg</v>
      </c>
      <c r="AU457" s="1" t="s">
        <v>592</v>
      </c>
      <c r="AV457" s="3" t="str">
        <f>HYPERLINK("https://icf.clappia.com/app/GMB253374/submission/MKW38930040/ICF247370-GMB253374-4neia7l8ekmc00000000/SIG-20250702_1712cnheb.jpeg", "SIG-20250702_1712cnheb.jpeg")</f>
        <v>SIG-20250702_1712cnheb.jpeg</v>
      </c>
      <c r="AW457" s="1" t="s">
        <v>593</v>
      </c>
      <c r="AX457" s="3" t="str">
        <f>HYPERLINK("https://icf.clappia.com/app/GMB253374/submission/MKW38930040/ICF247370-GMB253374-2b4b5g6gl3loe0000000/SIG-20250702_1718mol8a.jpeg", "SIG-20250702_1718mol8a.jpeg")</f>
        <v>SIG-20250702_1718mol8a.jpeg</v>
      </c>
      <c r="AY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2481</v>
      </c>
      <c r="B458" s="2" t="s">
        <v>47</v>
      </c>
      <c r="C458" s="1" t="s">
        <v>2482</v>
      </c>
      <c r="D458" s="1" t="s">
        <v>2482</v>
      </c>
      <c r="E458" s="1" t="s">
        <v>2483</v>
      </c>
      <c r="F458" s="1" t="s">
        <v>51</v>
      </c>
      <c r="G458" s="1">
        <v>85.0</v>
      </c>
      <c r="H458" s="1" t="s">
        <v>52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53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54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56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57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f t="shared" si="1"/>
        <v>85</v>
      </c>
      <c r="AM458" s="1">
        <v>85.0</v>
      </c>
      <c r="AN458" s="1">
        <v>97.0</v>
      </c>
      <c r="AO458" s="1">
        <v>83.0</v>
      </c>
      <c r="AP458" s="2">
        <v>11.0</v>
      </c>
      <c r="AQ458" s="1">
        <v>2.0</v>
      </c>
      <c r="AR458" s="1">
        <v>2.0</v>
      </c>
      <c r="AS458" s="1" t="s">
        <v>2484</v>
      </c>
      <c r="AT458" s="3" t="str">
        <f>HYPERLINK("https://icf.clappia.com/app/GMB253374/submission/DYD51771977/ICF247370-GMB253374-646e6e7a8pia00000000/SIG-20250702_17074ggbk.jpeg", "SIG-20250702_17074ggbk.jpeg")</f>
        <v>SIG-20250702_17074ggbk.jpeg</v>
      </c>
      <c r="AU458" s="1" t="s">
        <v>94</v>
      </c>
      <c r="AV458" s="3" t="str">
        <f>HYPERLINK("https://icf.clappia.com/app/GMB253374/submission/DYD51771977/ICF247370-GMB253374-6adag5diao0i00000000/SIG-20250702_1708135jgo.jpeg", "SIG-20250702_1708135jgo.jpeg")</f>
        <v>SIG-20250702_1708135jgo.jpeg</v>
      </c>
      <c r="AW458" s="1" t="s">
        <v>2485</v>
      </c>
      <c r="AX458" s="3" t="str">
        <f>HYPERLINK("https://icf.clappia.com/app/GMB253374/submission/DYD51771977/ICF247370-GMB253374-1leaelh8cl2800000000/SIG-20250702_1709216d0.jpeg", "SIG-20250702_1709216d0.jpeg")</f>
        <v>SIG-20250702_1709216d0.jpeg</v>
      </c>
      <c r="AY458" s="3" t="str">
        <f>HYPERLINK("https://www.google.com/maps/place/8.4167636%2C-11.667472", "8.4167636,-11.667472")</f>
        <v>8.4167636,-11.667472</v>
      </c>
    </row>
    <row r="459" ht="15.75" customHeight="1">
      <c r="A459" s="1" t="s">
        <v>2486</v>
      </c>
      <c r="B459" s="2" t="s">
        <v>47</v>
      </c>
      <c r="C459" s="1" t="s">
        <v>2487</v>
      </c>
      <c r="D459" s="1" t="s">
        <v>2488</v>
      </c>
      <c r="E459" s="1" t="s">
        <v>2489</v>
      </c>
      <c r="F459" s="1" t="s">
        <v>51</v>
      </c>
      <c r="G459" s="1">
        <v>166.0</v>
      </c>
      <c r="H459" s="1" t="s">
        <v>52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53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54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56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57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f t="shared" si="1"/>
        <v>166</v>
      </c>
      <c r="AM459" s="1">
        <v>166.0</v>
      </c>
      <c r="AN459" s="1">
        <v>178.0</v>
      </c>
      <c r="AO459" s="1">
        <v>166.0</v>
      </c>
      <c r="AP459" s="2">
        <v>11.0</v>
      </c>
      <c r="AQ459" s="1">
        <v>0.0</v>
      </c>
      <c r="AR459" s="1">
        <v>0.0</v>
      </c>
      <c r="AS459" s="1" t="s">
        <v>2490</v>
      </c>
      <c r="AT459" s="3" t="str">
        <f>HYPERLINK("https://icf.clappia.com/app/GMB253374/submission/OCG34455897/ICF247370-GMB253374-2g3c7hjbijoe00000000/SIG-20250702_165513jmo1.jpeg", "SIG-20250702_165513jmo1.jpeg")</f>
        <v>SIG-20250702_165513jmo1.jpeg</v>
      </c>
      <c r="AU459" s="1" t="s">
        <v>2491</v>
      </c>
      <c r="AV459" s="3" t="str">
        <f>HYPERLINK("https://icf.clappia.com/app/GMB253374/submission/OCG34455897/ICF247370-GMB253374-2m3j92haebd400000000/SIG-20250702_16567kfep.jpeg", "SIG-20250702_16567kfep.jpeg")</f>
        <v>SIG-20250702_16567kfep.jpeg</v>
      </c>
      <c r="AW459" s="1" t="s">
        <v>2492</v>
      </c>
      <c r="AX459" s="3" t="str">
        <f>HYPERLINK("https://icf.clappia.com/app/GMB253374/submission/OCG34455897/ICF247370-GMB253374-274jcddodp5pg0000000/SIG-20250702_16571a1c1d.jpeg", "SIG-20250702_16571a1c1d.jpeg")</f>
        <v>SIG-20250702_16571a1c1d.jpeg</v>
      </c>
      <c r="AY459" s="3" t="str">
        <f>HYPERLINK("https://www.google.com/maps/place/7.7111407%2C-11.925714", "7.7111407,-11.925714")</f>
        <v>7.7111407,-11.925714</v>
      </c>
    </row>
    <row r="460" ht="15.75" customHeight="1">
      <c r="A460" s="1" t="s">
        <v>2493</v>
      </c>
      <c r="B460" s="2" t="s">
        <v>47</v>
      </c>
      <c r="C460" s="1" t="s">
        <v>2487</v>
      </c>
      <c r="D460" s="1" t="s">
        <v>2487</v>
      </c>
      <c r="E460" s="1" t="s">
        <v>2494</v>
      </c>
      <c r="F460" s="1" t="s">
        <v>51</v>
      </c>
      <c r="G460" s="1">
        <v>217.0</v>
      </c>
      <c r="H460" s="1" t="s">
        <v>52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53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54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56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57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f t="shared" si="1"/>
        <v>199</v>
      </c>
      <c r="AM460" s="1">
        <v>217.0</v>
      </c>
      <c r="AN460" s="1">
        <v>229.0</v>
      </c>
      <c r="AO460" s="1">
        <v>199.0</v>
      </c>
      <c r="AP460" s="2">
        <v>11.0</v>
      </c>
      <c r="AQ460" s="1">
        <v>18.0</v>
      </c>
      <c r="AR460" s="1">
        <v>18.0</v>
      </c>
      <c r="AS460" s="1" t="s">
        <v>2495</v>
      </c>
      <c r="AT460" s="3" t="str">
        <f>HYPERLINK("https://icf.clappia.com/app/GMB253374/submission/NWX92810495/ICF247370-GMB253374-2e5f7k16pddo00000000/SIG-20250702_111517jdg9.jpeg", "SIG-20250702_111517jdg9.jpeg")</f>
        <v>SIG-20250702_111517jdg9.jpeg</v>
      </c>
      <c r="AU460" s="1" t="s">
        <v>2496</v>
      </c>
      <c r="AV460" s="3" t="str">
        <f>HYPERLINK("https://icf.clappia.com/app/GMB253374/submission/NWX92810495/ICF247370-GMB253374-12p2h78kpo7l20000000/SIG-20250702_11151406af.jpeg", "SIG-20250702_11151406af.jpeg")</f>
        <v>SIG-20250702_11151406af.jpeg</v>
      </c>
      <c r="AW460" s="1" t="s">
        <v>2497</v>
      </c>
      <c r="AX460" s="3" t="str">
        <f>HYPERLINK("https://icf.clappia.com/app/GMB253374/submission/NWX92810495/ICF247370-GMB253374-5kccdkbd72j600000000/SIG-20250702_165618coh7.jpeg", "SIG-20250702_165618coh7.jpeg")</f>
        <v>SIG-20250702_165618coh7.jpeg</v>
      </c>
      <c r="AY460" s="3" t="str">
        <f>HYPERLINK("https://www.google.com/maps/place/9.284422%2C-11.9545999", "9.284422,-11.9545999")</f>
        <v>9.284422,-11.9545999</v>
      </c>
    </row>
    <row r="461" ht="15.75" customHeight="1">
      <c r="A461" s="1" t="s">
        <v>2498</v>
      </c>
      <c r="B461" s="2" t="s">
        <v>47</v>
      </c>
      <c r="C461" s="1" t="s">
        <v>2499</v>
      </c>
      <c r="D461" s="1" t="s">
        <v>2499</v>
      </c>
      <c r="E461" s="1" t="s">
        <v>2500</v>
      </c>
      <c r="F461" s="1" t="s">
        <v>51</v>
      </c>
      <c r="G461" s="1">
        <v>200.0</v>
      </c>
      <c r="H461" s="1" t="s">
        <v>52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53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54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56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57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f t="shared" si="1"/>
        <v>151</v>
      </c>
      <c r="AM461" s="1">
        <v>200.0</v>
      </c>
      <c r="AN461" s="1">
        <v>212.0</v>
      </c>
      <c r="AO461" s="1">
        <v>151.0</v>
      </c>
      <c r="AP461" s="2">
        <v>11.0</v>
      </c>
      <c r="AQ461" s="1">
        <v>49.0</v>
      </c>
      <c r="AR461" s="1">
        <v>49.0</v>
      </c>
      <c r="AS461" s="1" t="s">
        <v>2501</v>
      </c>
      <c r="AT461" s="3" t="str">
        <f>HYPERLINK("https://icf.clappia.com/app/GMB253374/submission/FEQ57912405/ICF247370-GMB253374-1oanofpg84b360000000/SIG-20250701_1309ghp5h.jpeg", "SIG-20250701_1309ghp5h.jpeg")</f>
        <v>SIG-20250701_1309ghp5h.jpeg</v>
      </c>
      <c r="AU461" s="1" t="s">
        <v>2502</v>
      </c>
      <c r="AV461" s="3" t="str">
        <f>HYPERLINK("https://icf.clappia.com/app/GMB253374/submission/FEQ57912405/ICF247370-GMB253374-iegpplaaj7li0000000/SIG-20250701_1310jeg9m.jpeg", "SIG-20250701_1310jeg9m.jpeg")</f>
        <v>SIG-20250701_1310jeg9m.jpeg</v>
      </c>
      <c r="AW461" s="1" t="s">
        <v>2503</v>
      </c>
      <c r="AX461" s="3" t="str">
        <f>HYPERLINK("https://icf.clappia.com/app/GMB253374/submission/FEQ57912405/ICF247370-GMB253374-4hm2h502170i00000000/SIG-20250701_131216i1ah.jpeg", "SIG-20250701_131216i1ah.jpeg")</f>
        <v>SIG-20250701_131216i1ah.jpeg</v>
      </c>
      <c r="AY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2504</v>
      </c>
      <c r="B462" s="2" t="s">
        <v>47</v>
      </c>
      <c r="C462" s="1" t="s">
        <v>2499</v>
      </c>
      <c r="D462" s="1" t="s">
        <v>2499</v>
      </c>
      <c r="E462" s="1" t="s">
        <v>2505</v>
      </c>
      <c r="F462" s="1" t="s">
        <v>51</v>
      </c>
      <c r="G462" s="1">
        <v>300.0</v>
      </c>
      <c r="H462" s="1" t="s">
        <v>52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53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54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56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57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f t="shared" si="1"/>
        <v>286</v>
      </c>
      <c r="AM462" s="1">
        <v>300.0</v>
      </c>
      <c r="AN462" s="1">
        <v>312.0</v>
      </c>
      <c r="AO462" s="1">
        <v>234.0</v>
      </c>
      <c r="AP462" s="2">
        <v>11.0</v>
      </c>
      <c r="AQ462" s="1">
        <v>66.0</v>
      </c>
      <c r="AR462" s="1">
        <v>66.0</v>
      </c>
      <c r="AS462" s="1" t="s">
        <v>2506</v>
      </c>
      <c r="AT462" s="3" t="str">
        <f>HYPERLINK("https://icf.clappia.com/app/GMB253374/submission/HYJ61251316/ICF247370-GMB253374-5360ijc5k56i00000000/SIG-20250702_1638a4pff.jpeg", "SIG-20250702_1638a4pff.jpeg")</f>
        <v>SIG-20250702_1638a4pff.jpeg</v>
      </c>
      <c r="AU462" s="1" t="s">
        <v>2507</v>
      </c>
      <c r="AV462" s="3" t="str">
        <f>HYPERLINK("https://icf.clappia.com/app/GMB253374/submission/HYJ61251316/ICF247370-GMB253374-14lb8n06k01120000000/SIG-20250702_1639oonbc.jpeg", "SIG-20250702_1639oonbc.jpeg")</f>
        <v>SIG-20250702_1639oonbc.jpeg</v>
      </c>
      <c r="AW462" s="1" t="s">
        <v>2508</v>
      </c>
      <c r="AX462" s="3" t="str">
        <f>HYPERLINK("https://icf.clappia.com/app/GMB253374/submission/HYJ61251316/ICF247370-GMB253374-34om2f74maag00000000/SIG-20250702_163910170p.jpeg", "SIG-20250702_163910170p.jpeg")</f>
        <v>SIG-20250702_163910170p.jpeg</v>
      </c>
      <c r="AY462" s="3" t="str">
        <f>HYPERLINK("https://www.google.com/maps/place/8.7791733%2C-12.043985", "8.7791733,-12.043985")</f>
        <v>8.7791733,-12.043985</v>
      </c>
    </row>
    <row r="463" ht="15.75" customHeight="1">
      <c r="A463" s="1" t="s">
        <v>2509</v>
      </c>
      <c r="B463" s="2" t="s">
        <v>47</v>
      </c>
      <c r="C463" s="1" t="s">
        <v>2510</v>
      </c>
      <c r="D463" s="1" t="s">
        <v>2510</v>
      </c>
      <c r="E463" s="2" t="s">
        <v>2511</v>
      </c>
      <c r="F463" s="1" t="s">
        <v>51</v>
      </c>
      <c r="G463" s="1">
        <v>236.0</v>
      </c>
      <c r="H463" s="1" t="s">
        <v>52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53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54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56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57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f t="shared" si="1"/>
        <v>357</v>
      </c>
      <c r="AM463" s="1">
        <v>236.0</v>
      </c>
      <c r="AN463" s="1">
        <v>248.0</v>
      </c>
      <c r="AO463" s="1">
        <v>211.0</v>
      </c>
      <c r="AP463" s="2">
        <v>11.0</v>
      </c>
      <c r="AQ463" s="1">
        <v>25.0</v>
      </c>
      <c r="AR463" s="1">
        <v>25.0</v>
      </c>
      <c r="AS463" s="1" t="s">
        <v>1556</v>
      </c>
      <c r="AT463" s="3" t="str">
        <f>HYPERLINK("https://icf.clappia.com/app/GMB253374/submission/OZW35071486/ICF247370-GMB253374-18i8l55f3im3a0000000/SIG-20250702_16469g4f0.jpeg", "SIG-20250702_16469g4f0.jpeg")</f>
        <v>SIG-20250702_16469g4f0.jpeg</v>
      </c>
      <c r="AU463" s="1" t="s">
        <v>1557</v>
      </c>
      <c r="AV463" s="3" t="str">
        <f>HYPERLINK("https://icf.clappia.com/app/GMB253374/submission/OZW35071486/ICF247370-GMB253374-12fe417ip1dgk0000000/SIG-20250702_16516d8ma.jpeg", "SIG-20250702_16516d8ma.jpeg")</f>
        <v>SIG-20250702_16516d8ma.jpeg</v>
      </c>
      <c r="AW463" s="1" t="s">
        <v>1558</v>
      </c>
      <c r="AX463" s="3" t="str">
        <f>HYPERLINK("https://icf.clappia.com/app/GMB253374/submission/OZW35071486/ICF247370-GMB253374-4kgjnfdkm0f800000000/SIG-20250702_16503fei1.jpeg", "SIG-20250702_16503fei1.jpeg")</f>
        <v>SIG-20250702_16503fei1.jpeg</v>
      </c>
      <c r="AY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2512</v>
      </c>
      <c r="B464" s="2" t="s">
        <v>47</v>
      </c>
      <c r="C464" s="1" t="s">
        <v>2513</v>
      </c>
      <c r="D464" s="1" t="s">
        <v>2513</v>
      </c>
      <c r="E464" s="1" t="s">
        <v>2514</v>
      </c>
      <c r="F464" s="1" t="s">
        <v>51</v>
      </c>
      <c r="G464" s="1">
        <v>319.0</v>
      </c>
      <c r="H464" s="1" t="s">
        <v>52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53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54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56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57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f t="shared" si="1"/>
        <v>319</v>
      </c>
      <c r="AM464" s="1">
        <v>319.0</v>
      </c>
      <c r="AN464" s="1">
        <v>331.0</v>
      </c>
      <c r="AO464" s="1">
        <v>319.0</v>
      </c>
      <c r="AP464" s="2">
        <v>11.0</v>
      </c>
      <c r="AQ464" s="1">
        <v>0.0</v>
      </c>
      <c r="AR464" s="1">
        <v>0.0</v>
      </c>
      <c r="AS464" s="1" t="s">
        <v>2515</v>
      </c>
      <c r="AT464" s="3" t="str">
        <f>HYPERLINK("https://icf.clappia.com/app/GMB253374/submission/QUN00357729/ICF247370-GMB253374-1dhdahigp6gee0000000/SIG-20250702_1642bg5lc.jpeg", "SIG-20250702_1642bg5lc.jpeg")</f>
        <v>SIG-20250702_1642bg5lc.jpeg</v>
      </c>
      <c r="AU464" s="1" t="s">
        <v>2516</v>
      </c>
      <c r="AV464" s="3" t="str">
        <f>HYPERLINK("https://icf.clappia.com/app/GMB253374/submission/QUN00357729/ICF247370-GMB253374-139h6heg85bao0000000/SIG-20250702_1642ih922.jpeg", "SIG-20250702_1642ih922.jpeg")</f>
        <v>SIG-20250702_1642ih922.jpeg</v>
      </c>
      <c r="AW464" s="1" t="s">
        <v>2517</v>
      </c>
      <c r="AX464" s="3" t="str">
        <f>HYPERLINK("https://icf.clappia.com/app/GMB253374/submission/QUN00357729/ICF247370-GMB253374-597eb1g8f78o00000000/SIG-20250702_1642fmmi8.jpeg", "SIG-20250702_1642fmmi8.jpeg")</f>
        <v>SIG-20250702_1642fmmi8.jpeg</v>
      </c>
      <c r="AY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2518</v>
      </c>
      <c r="B465" s="2" t="s">
        <v>47</v>
      </c>
      <c r="C465" s="1" t="s">
        <v>2519</v>
      </c>
      <c r="D465" s="1" t="s">
        <v>2519</v>
      </c>
      <c r="E465" s="1" t="s">
        <v>2520</v>
      </c>
      <c r="F465" s="1" t="s">
        <v>51</v>
      </c>
      <c r="G465" s="1">
        <v>67.0</v>
      </c>
      <c r="H465" s="1" t="s">
        <v>52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53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54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56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57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f t="shared" si="1"/>
        <v>99</v>
      </c>
      <c r="AM465" s="1">
        <v>67.0</v>
      </c>
      <c r="AN465" s="1">
        <v>79.0</v>
      </c>
      <c r="AO465" s="1">
        <v>67.0</v>
      </c>
      <c r="AP465" s="2">
        <v>11.0</v>
      </c>
      <c r="AQ465" s="1">
        <v>0.0</v>
      </c>
      <c r="AR465" s="1">
        <v>0.0</v>
      </c>
      <c r="AS465" s="1" t="s">
        <v>2521</v>
      </c>
      <c r="AT465" s="3" t="str">
        <f>HYPERLINK("https://icf.clappia.com/app/GMB253374/submission/RGY91818143/ICF247370-GMB253374-1bi26jflk6pn60000000/SIG-20250702_1636694l2.jpeg", "SIG-20250702_1636694l2.jpeg")</f>
        <v>SIG-20250702_1636694l2.jpeg</v>
      </c>
      <c r="AU465" s="1" t="s">
        <v>2522</v>
      </c>
      <c r="AV465" s="3" t="str">
        <f>HYPERLINK("https://icf.clappia.com/app/GMB253374/submission/RGY91818143/ICF247370-GMB253374-1o63f99fj44h60000000/SIG-20250702_1636o7kh4.jpeg", "SIG-20250702_1636o7kh4.jpeg")</f>
        <v>SIG-20250702_1636o7kh4.jpeg</v>
      </c>
      <c r="AW465" s="1" t="s">
        <v>2523</v>
      </c>
      <c r="AX465" s="3" t="str">
        <f>HYPERLINK("https://icf.clappia.com/app/GMB253374/submission/RGY91818143/ICF247370-GMB253374-22a3pjdcpk95a0000000/SIG-20250702_1640p9i00.jpeg", "SIG-20250702_1640p9i00.jpeg")</f>
        <v>SIG-20250702_1640p9i00.jpeg</v>
      </c>
      <c r="AY465" s="3" t="str">
        <f>HYPERLINK("https://www.google.com/maps/place/7.8790027%2C-11.781046", "7.8790027,-11.781046")</f>
        <v>7.8790027,-11.781046</v>
      </c>
    </row>
    <row r="466" ht="15.75" customHeight="1">
      <c r="A466" s="1" t="s">
        <v>2524</v>
      </c>
      <c r="B466" s="2" t="s">
        <v>47</v>
      </c>
      <c r="C466" s="1" t="s">
        <v>2525</v>
      </c>
      <c r="D466" s="1" t="s">
        <v>2525</v>
      </c>
      <c r="E466" s="1" t="s">
        <v>2526</v>
      </c>
      <c r="F466" s="1" t="s">
        <v>51</v>
      </c>
      <c r="G466" s="1">
        <v>189.0</v>
      </c>
      <c r="H466" s="1" t="s">
        <v>52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53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54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56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57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f t="shared" si="1"/>
        <v>189</v>
      </c>
      <c r="AM466" s="1">
        <v>189.0</v>
      </c>
      <c r="AN466" s="1">
        <v>201.0</v>
      </c>
      <c r="AO466" s="1">
        <v>184.0</v>
      </c>
      <c r="AP466" s="2">
        <v>11.0</v>
      </c>
      <c r="AQ466" s="1">
        <v>5.0</v>
      </c>
      <c r="AR466" s="1">
        <v>5.0</v>
      </c>
      <c r="AS466" s="1" t="s">
        <v>2527</v>
      </c>
      <c r="AT466" s="3" t="str">
        <f>HYPERLINK("https://icf.clappia.com/app/GMB253374/submission/OHZ71672941/ICF247370-GMB253374-20633hfn56d0c0000000/SIG-20250702_14551149c3.jpeg", "SIG-20250702_14551149c3.jpeg")</f>
        <v>SIG-20250702_14551149c3.jpeg</v>
      </c>
      <c r="AU466" s="1" t="s">
        <v>1762</v>
      </c>
      <c r="AV466" s="3" t="str">
        <f>HYPERLINK("https://icf.clappia.com/app/GMB253374/submission/OHZ71672941/ICF247370-GMB253374-5b4k376de6ac00000000/SIG-20250702_1455mnde7.jpeg", "SIG-20250702_1455mnde7.jpeg")</f>
        <v>SIG-20250702_1455mnde7.jpeg</v>
      </c>
      <c r="AW466" s="1" t="s">
        <v>1764</v>
      </c>
      <c r="AX466" s="3" t="str">
        <f>HYPERLINK("https://icf.clappia.com/app/GMB253374/submission/OHZ71672941/ICF247370-GMB253374-65nk2cj1mab200000000/SIG-20250702_151649fho.jpeg", "SIG-20250702_151649fho.jpeg")</f>
        <v>SIG-20250702_151649fho.jpeg</v>
      </c>
      <c r="AY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2528</v>
      </c>
      <c r="B467" s="2" t="s">
        <v>47</v>
      </c>
      <c r="C467" s="1" t="s">
        <v>2529</v>
      </c>
      <c r="D467" s="1" t="s">
        <v>2529</v>
      </c>
      <c r="E467" s="1" t="s">
        <v>2530</v>
      </c>
      <c r="F467" s="1" t="s">
        <v>51</v>
      </c>
      <c r="G467" s="1">
        <v>300.0</v>
      </c>
      <c r="H467" s="1" t="s">
        <v>52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53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54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56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57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f t="shared" si="1"/>
        <v>267</v>
      </c>
      <c r="AM467" s="1">
        <v>300.0</v>
      </c>
      <c r="AN467" s="1">
        <v>312.0</v>
      </c>
      <c r="AO467" s="1">
        <v>259.0</v>
      </c>
      <c r="AP467" s="2">
        <v>11.0</v>
      </c>
      <c r="AQ467" s="1">
        <v>41.0</v>
      </c>
      <c r="AR467" s="1">
        <v>41.0</v>
      </c>
      <c r="AS467" s="1" t="s">
        <v>1124</v>
      </c>
      <c r="AT467" s="3" t="str">
        <f>HYPERLINK("https://icf.clappia.com/app/GMB253374/submission/DAQ22431115/ICF247370-GMB253374-5o3cobd8jeao00000000/SIG-20250702_1610163b45.jpeg", "SIG-20250702_1610163b45.jpeg")</f>
        <v>SIG-20250702_1610163b45.jpeg</v>
      </c>
      <c r="AU467" s="1" t="s">
        <v>1125</v>
      </c>
      <c r="AV467" s="3" t="str">
        <f>HYPERLINK("https://icf.clappia.com/app/GMB253374/submission/DAQ22431115/ICF247370-GMB253374-2cca476g0m3c00000000/SIG-20250702_161019canj.jpeg", "SIG-20250702_161019canj.jpeg")</f>
        <v>SIG-20250702_161019canj.jpeg</v>
      </c>
      <c r="AW467" s="1" t="s">
        <v>1126</v>
      </c>
      <c r="AX467" s="3" t="str">
        <f>HYPERLINK("https://icf.clappia.com/app/GMB253374/submission/DAQ22431115/ICF247370-GMB253374-3k0m9lbj0dlo00000000/SIG-20250702_16101883p3.jpeg", "SIG-20250702_16101883p3.jpeg")</f>
        <v>SIG-20250702_16101883p3.jpeg</v>
      </c>
      <c r="AY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2531</v>
      </c>
      <c r="B468" s="2" t="s">
        <v>47</v>
      </c>
      <c r="C468" s="1" t="s">
        <v>2532</v>
      </c>
      <c r="D468" s="1" t="s">
        <v>2532</v>
      </c>
      <c r="E468" s="1" t="s">
        <v>2533</v>
      </c>
      <c r="F468" s="1" t="s">
        <v>51</v>
      </c>
      <c r="G468" s="1">
        <v>250.0</v>
      </c>
      <c r="H468" s="1" t="s">
        <v>52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53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54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56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57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f t="shared" si="1"/>
        <v>221</v>
      </c>
      <c r="AM468" s="1">
        <v>250.0</v>
      </c>
      <c r="AN468" s="1">
        <v>262.0</v>
      </c>
      <c r="AO468" s="1">
        <v>184.0</v>
      </c>
      <c r="AP468" s="2">
        <v>11.0</v>
      </c>
      <c r="AQ468" s="1">
        <v>66.0</v>
      </c>
      <c r="AR468" s="1">
        <v>66.0</v>
      </c>
      <c r="AS468" s="1" t="s">
        <v>2515</v>
      </c>
      <c r="AT468" s="3" t="str">
        <f>HYPERLINK("https://icf.clappia.com/app/GMB253374/submission/MER13790156/ICF247370-GMB253374-461a0mocaa4a00000000/SIG-20250702_1553ghi9d.jpeg", "SIG-20250702_1553ghi9d.jpeg")</f>
        <v>SIG-20250702_1553ghi9d.jpeg</v>
      </c>
      <c r="AU468" s="1" t="s">
        <v>2534</v>
      </c>
      <c r="AV468" s="3" t="str">
        <f>HYPERLINK("https://icf.clappia.com/app/GMB253374/submission/MER13790156/ICF247370-GMB253374-9e1165lc9kog0000000/SIG-20250702_1553f3cp0.jpeg", "SIG-20250702_1553f3cp0.jpeg")</f>
        <v>SIG-20250702_1553f3cp0.jpeg</v>
      </c>
      <c r="AW468" s="1" t="s">
        <v>2535</v>
      </c>
      <c r="AX468" s="3" t="str">
        <f>HYPERLINK("https://icf.clappia.com/app/GMB253374/submission/MER13790156/ICF247370-GMB253374-2h2o9oplead200000000/SIG-20250702_1555bn5od.jpeg", "SIG-20250702_1555bn5od.jpeg")</f>
        <v>SIG-20250702_1555bn5od.jpeg</v>
      </c>
      <c r="AY468" s="3" t="str">
        <f>HYPERLINK("https://www.google.com/maps/place/9.09332%2C-12.0890183", "9.09332,-12.0890183")</f>
        <v>9.09332,-12.0890183</v>
      </c>
    </row>
    <row r="469" ht="15.75" customHeight="1">
      <c r="A469" s="1" t="s">
        <v>2536</v>
      </c>
      <c r="B469" s="2" t="s">
        <v>47</v>
      </c>
      <c r="C469" s="1" t="s">
        <v>2537</v>
      </c>
      <c r="D469" s="1" t="s">
        <v>2538</v>
      </c>
      <c r="E469" s="1" t="s">
        <v>2539</v>
      </c>
      <c r="F469" s="1" t="s">
        <v>51</v>
      </c>
      <c r="G469" s="1">
        <v>100.0</v>
      </c>
      <c r="H469" s="1" t="s">
        <v>52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53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54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56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57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f t="shared" si="1"/>
        <v>97</v>
      </c>
      <c r="AM469" s="1">
        <v>100.0</v>
      </c>
      <c r="AN469" s="1">
        <v>112.0</v>
      </c>
      <c r="AO469" s="1">
        <v>81.0</v>
      </c>
      <c r="AP469" s="2">
        <v>11.0</v>
      </c>
      <c r="AQ469" s="1">
        <v>19.0</v>
      </c>
      <c r="AR469" s="1">
        <v>19.0</v>
      </c>
      <c r="AS469" s="1" t="s">
        <v>953</v>
      </c>
      <c r="AT469" s="3" t="str">
        <f>HYPERLINK("https://icf.clappia.com/app/GMB253374/submission/EMK71360919/ICF247370-GMB253374-4g0hhnmf306800000000/SIG-20250702_1543oc089.jpeg", "SIG-20250702_1543oc089.jpeg")</f>
        <v>SIG-20250702_1543oc089.jpeg</v>
      </c>
      <c r="AU469" s="1" t="s">
        <v>954</v>
      </c>
      <c r="AV469" s="3" t="str">
        <f>HYPERLINK("https://icf.clappia.com/app/GMB253374/submission/EMK71360919/ICF247370-GMB253374-69043m2o0mka00000000/SIG-20250702_1543i6m3e.jpeg", "SIG-20250702_1543i6m3e.jpeg")</f>
        <v>SIG-20250702_1543i6m3e.jpeg</v>
      </c>
      <c r="AW469" s="1" t="s">
        <v>955</v>
      </c>
      <c r="AX469" s="3" t="str">
        <f>HYPERLINK("https://icf.clappia.com/app/GMB253374/submission/EMK71360919/ICF247370-GMB253374-3h4h04nfldbe00000000/SIG-20250702_1544m34ml.jpeg", "SIG-20250702_1544m34ml.jpeg")</f>
        <v>SIG-20250702_1544m34ml.jpeg</v>
      </c>
      <c r="AY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2540</v>
      </c>
      <c r="B470" s="2" t="s">
        <v>47</v>
      </c>
      <c r="C470" s="1" t="s">
        <v>2538</v>
      </c>
      <c r="D470" s="1" t="s">
        <v>2538</v>
      </c>
      <c r="E470" s="1" t="s">
        <v>2541</v>
      </c>
      <c r="F470" s="1" t="s">
        <v>51</v>
      </c>
      <c r="G470" s="1">
        <v>330.0</v>
      </c>
      <c r="H470" s="1" t="s">
        <v>52</v>
      </c>
      <c r="I470" s="1" t="s">
        <v>55</v>
      </c>
      <c r="J470" s="1" t="s">
        <v>55</v>
      </c>
      <c r="K470" s="1" t="s">
        <v>55</v>
      </c>
      <c r="L470" s="1" t="s">
        <v>55</v>
      </c>
      <c r="M470" s="1" t="s">
        <v>55</v>
      </c>
      <c r="N470" s="1" t="s">
        <v>53</v>
      </c>
      <c r="O470" s="1" t="s">
        <v>55</v>
      </c>
      <c r="P470" s="1" t="s">
        <v>55</v>
      </c>
      <c r="Q470" s="1" t="s">
        <v>55</v>
      </c>
      <c r="R470" s="1" t="s">
        <v>55</v>
      </c>
      <c r="S470" s="1" t="s">
        <v>55</v>
      </c>
      <c r="T470" s="1" t="s">
        <v>54</v>
      </c>
      <c r="U470" s="1" t="s">
        <v>55</v>
      </c>
      <c r="V470" s="1" t="s">
        <v>55</v>
      </c>
      <c r="W470" s="1" t="s">
        <v>55</v>
      </c>
      <c r="X470" s="1" t="s">
        <v>55</v>
      </c>
      <c r="Y470" s="1" t="s">
        <v>55</v>
      </c>
      <c r="Z470" s="1" t="s">
        <v>56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57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f t="shared" si="1"/>
        <v>280</v>
      </c>
      <c r="AM470" s="1">
        <v>330.0</v>
      </c>
      <c r="AN470" s="1">
        <v>342.0</v>
      </c>
      <c r="AO470" s="1">
        <v>270.0</v>
      </c>
      <c r="AP470" s="2">
        <v>11.0</v>
      </c>
      <c r="AQ470" s="1">
        <v>60.0</v>
      </c>
      <c r="AR470" s="1">
        <v>60.0</v>
      </c>
      <c r="AS470" s="1" t="s">
        <v>667</v>
      </c>
      <c r="AT470" s="3" t="str">
        <f>HYPERLINK("https://icf.clappia.com/app/GMB253374/submission/XTY55055269/ICF247370-GMB253374-6b0fn74a23go00000000/SIG-20250702_1551926c6.jpeg", "SIG-20250702_1551926c6.jpeg")</f>
        <v>SIG-20250702_1551926c6.jpeg</v>
      </c>
      <c r="AU470" s="1" t="s">
        <v>668</v>
      </c>
      <c r="AV470" s="3" t="str">
        <f>HYPERLINK("https://icf.clappia.com/app/GMB253374/submission/XTY55055269/ICF247370-GMB253374-3c9eaon0dhla00000000/SIG-20250702_1553pd0m.jpeg", "SIG-20250702_1553pd0m.jpeg")</f>
        <v>SIG-20250702_1553pd0m.jpeg</v>
      </c>
      <c r="AW470" s="1" t="s">
        <v>669</v>
      </c>
      <c r="AX470" s="3" t="str">
        <f>HYPERLINK("https://icf.clappia.com/app/GMB253374/submission/XTY55055269/ICF247370-GMB253374-5481kbmejeec00000000/SIG-20250702_15541acfhe.jpeg", "SIG-20250702_15541acfhe.jpeg")</f>
        <v>SIG-20250702_15541acfhe.jpeg</v>
      </c>
      <c r="AY470" s="3" t="str">
        <f>HYPERLINK("https://www.google.com/maps/place/7.962791%2C-11.7262238", "7.962791,-11.7262238")</f>
        <v>7.962791,-11.7262238</v>
      </c>
    </row>
    <row r="471" ht="15.75" customHeight="1">
      <c r="A471" s="1" t="s">
        <v>2542</v>
      </c>
      <c r="B471" s="2" t="s">
        <v>47</v>
      </c>
      <c r="C471" s="1" t="s">
        <v>2543</v>
      </c>
      <c r="D471" s="1" t="s">
        <v>2543</v>
      </c>
      <c r="E471" s="1" t="s">
        <v>2544</v>
      </c>
      <c r="F471" s="1" t="s">
        <v>51</v>
      </c>
      <c r="G471" s="1">
        <v>112.0</v>
      </c>
      <c r="H471" s="1" t="s">
        <v>52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53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54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56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57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f t="shared" si="1"/>
        <v>112</v>
      </c>
      <c r="AM471" s="1">
        <v>112.0</v>
      </c>
      <c r="AN471" s="1">
        <v>124.0</v>
      </c>
      <c r="AO471" s="1">
        <v>112.0</v>
      </c>
      <c r="AP471" s="2">
        <v>11.0</v>
      </c>
      <c r="AQ471" s="1">
        <v>0.0</v>
      </c>
      <c r="AR471" s="1">
        <v>0.0</v>
      </c>
      <c r="AS471" s="1" t="s">
        <v>1550</v>
      </c>
      <c r="AT471" s="3" t="str">
        <f>HYPERLINK("https://icf.clappia.com/app/GMB253374/submission/OSJ31661691/ICF247370-GMB253374-31im8o6dichk00000000/SIG-20250702_15521958mf.jpeg", "SIG-20250702_15521958mf.jpeg")</f>
        <v>SIG-20250702_15521958mf.jpeg</v>
      </c>
      <c r="AU471" s="1" t="s">
        <v>1551</v>
      </c>
      <c r="AV471" s="3" t="str">
        <f>HYPERLINK("https://icf.clappia.com/app/GMB253374/submission/OSJ31661691/ICF247370-GMB253374-21klbgn3k78oo0000000/SIG-20250702_1553ak8jd.jpeg", "SIG-20250702_1553ak8jd.jpeg")</f>
        <v>SIG-20250702_1553ak8jd.jpeg</v>
      </c>
      <c r="AW471" s="1" t="s">
        <v>1552</v>
      </c>
      <c r="AX471" s="3" t="str">
        <f>HYPERLINK("https://icf.clappia.com/app/GMB253374/submission/OSJ31661691/ICF247370-GMB253374-323emhn95i9800000000/SIG-20250702_15541ahg6k.jpeg", "SIG-20250702_15541ahg6k.jpeg")</f>
        <v>SIG-20250702_15541ahg6k.jpeg</v>
      </c>
      <c r="AY471" s="3" t="str">
        <f>HYPERLINK("https://www.google.com/maps/place/9.0263417%2C-11.98815", "9.0263417,-11.98815")</f>
        <v>9.0263417,-11.98815</v>
      </c>
    </row>
    <row r="472" ht="15.75" customHeight="1">
      <c r="A472" s="1" t="s">
        <v>2545</v>
      </c>
      <c r="B472" s="2" t="s">
        <v>47</v>
      </c>
      <c r="C472" s="1" t="s">
        <v>2546</v>
      </c>
      <c r="D472" s="1" t="s">
        <v>2546</v>
      </c>
      <c r="E472" s="1" t="s">
        <v>2547</v>
      </c>
      <c r="F472" s="1" t="s">
        <v>72</v>
      </c>
      <c r="G472" s="1">
        <v>100.0</v>
      </c>
      <c r="H472" s="1" t="s">
        <v>52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53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54</v>
      </c>
      <c r="U472" s="1">
        <v>7.0</v>
      </c>
      <c r="V472" s="1" t="s">
        <v>55</v>
      </c>
      <c r="W472" s="1" t="s">
        <v>55</v>
      </c>
      <c r="X472" s="1">
        <v>7.0</v>
      </c>
      <c r="Y472" s="1">
        <v>7.0</v>
      </c>
      <c r="Z472" s="1" t="s">
        <v>56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57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f t="shared" si="1"/>
        <v>37</v>
      </c>
      <c r="AM472" s="1">
        <v>100.0</v>
      </c>
      <c r="AN472" s="1">
        <v>112.0</v>
      </c>
      <c r="AO472" s="1">
        <v>27.0</v>
      </c>
      <c r="AP472" s="2">
        <v>11.0</v>
      </c>
      <c r="AQ472" s="1">
        <v>73.0</v>
      </c>
      <c r="AR472" s="1">
        <v>73.0</v>
      </c>
      <c r="AS472" s="1" t="s">
        <v>2548</v>
      </c>
      <c r="AT472" s="3" t="str">
        <f>HYPERLINK("https://icf.clappia.com/app/GMB253374/submission/BLQ64279829/ICF247370-GMB253374-36fn4gnn74je00000000/SIG-20250701_10448eb88.jpeg", "SIG-20250701_10448eb88.jpeg")</f>
        <v>SIG-20250701_10448eb88.jpeg</v>
      </c>
      <c r="AU472" s="1" t="s">
        <v>2549</v>
      </c>
      <c r="AV472" s="3" t="str">
        <f>HYPERLINK("https://icf.clappia.com/app/GMB253374/submission/BLQ64279829/ICF247370-GMB253374-5dj930eafck800000000/SIG-20250701_1045ka16p.jpeg", "SIG-20250701_1045ka16p.jpeg")</f>
        <v>SIG-20250701_1045ka16p.jpeg</v>
      </c>
      <c r="AW472" s="1" t="s">
        <v>2550</v>
      </c>
      <c r="AX472" s="3" t="str">
        <f>HYPERLINK("https://icf.clappia.com/app/GMB253374/submission/BLQ64279829/ICF247370-GMB253374-5f387mfkl2ce00000000/SIG-20250702_0857175037.jpeg", "SIG-20250702_0857175037.jpeg")</f>
        <v>SIG-20250702_0857175037.jpeg</v>
      </c>
      <c r="AY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2551</v>
      </c>
      <c r="B473" s="2" t="s">
        <v>47</v>
      </c>
      <c r="C473" s="1" t="s">
        <v>2552</v>
      </c>
      <c r="D473" s="1" t="s">
        <v>2552</v>
      </c>
      <c r="E473" s="1" t="s">
        <v>2553</v>
      </c>
      <c r="F473" s="1" t="s">
        <v>51</v>
      </c>
      <c r="G473" s="1">
        <v>29.0</v>
      </c>
      <c r="H473" s="1" t="s">
        <v>52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53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54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56</v>
      </c>
      <c r="AA473" s="1">
        <v>3.0</v>
      </c>
      <c r="AB473" s="1" t="s">
        <v>55</v>
      </c>
      <c r="AC473" s="1" t="s">
        <v>55</v>
      </c>
      <c r="AD473" s="1">
        <v>3.0</v>
      </c>
      <c r="AE473" s="1">
        <v>3.0</v>
      </c>
      <c r="AF473" s="1" t="s">
        <v>57</v>
      </c>
      <c r="AG473" s="1">
        <v>3.0</v>
      </c>
      <c r="AH473" s="1">
        <v>3.0</v>
      </c>
      <c r="AI473" s="1">
        <v>3.0</v>
      </c>
      <c r="AJ473" s="1" t="s">
        <v>55</v>
      </c>
      <c r="AK473" s="1" t="s">
        <v>55</v>
      </c>
      <c r="AL473" s="1">
        <f t="shared" si="1"/>
        <v>29</v>
      </c>
      <c r="AM473" s="1">
        <v>29.0</v>
      </c>
      <c r="AN473" s="1">
        <v>41.0</v>
      </c>
      <c r="AO473" s="1">
        <v>29.0</v>
      </c>
      <c r="AP473" s="2">
        <v>11.0</v>
      </c>
      <c r="AQ473" s="1">
        <v>0.0</v>
      </c>
      <c r="AR473" s="1">
        <v>0.0</v>
      </c>
      <c r="AS473" s="1" t="s">
        <v>2554</v>
      </c>
      <c r="AT473" s="3" t="str">
        <f>HYPERLINK("https://icf.clappia.com/app/GMB253374/submission/GMX81717446/ICF247370-GMB253374-1c43gg655n13m0000000/SIG-20250702_154818op6.jpeg", "SIG-20250702_154818op6.jpeg")</f>
        <v>SIG-20250702_154818op6.jpeg</v>
      </c>
      <c r="AU473" s="1" t="s">
        <v>2555</v>
      </c>
      <c r="AV473" s="3" t="str">
        <f>HYPERLINK("https://icf.clappia.com/app/GMB253374/submission/GMX81717446/ICF247370-GMB253374-639ebmpmj9k000000000/SIG-20250702_1550bkdlb.jpeg", "SIG-20250702_1550bkdlb.jpeg")</f>
        <v>SIG-20250702_1550bkdlb.jpeg</v>
      </c>
      <c r="AW473" s="1" t="s">
        <v>2556</v>
      </c>
      <c r="AX473" s="3" t="str">
        <f>HYPERLINK("https://icf.clappia.com/app/GMB253374/submission/GMX81717446/ICF247370-GMB253374-db1cii3hemko0000000/SIG-20250702_1551163960.jpeg", "SIG-20250702_1551163960.jpeg")</f>
        <v>SIG-20250702_1551163960.jpeg</v>
      </c>
      <c r="AY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2557</v>
      </c>
      <c r="B474" s="2" t="s">
        <v>47</v>
      </c>
      <c r="C474" s="1" t="s">
        <v>2558</v>
      </c>
      <c r="D474" s="1" t="s">
        <v>2558</v>
      </c>
      <c r="E474" s="1" t="s">
        <v>2559</v>
      </c>
      <c r="F474" s="1" t="s">
        <v>51</v>
      </c>
      <c r="G474" s="1">
        <v>153.0</v>
      </c>
      <c r="H474" s="1" t="s">
        <v>52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53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54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56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57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f t="shared" si="1"/>
        <v>152</v>
      </c>
      <c r="AM474" s="1">
        <v>153.0</v>
      </c>
      <c r="AN474" s="1">
        <v>165.0</v>
      </c>
      <c r="AO474" s="1">
        <v>152.0</v>
      </c>
      <c r="AP474" s="2">
        <v>11.0</v>
      </c>
      <c r="AQ474" s="1">
        <v>1.0</v>
      </c>
      <c r="AR474" s="1">
        <v>1.0</v>
      </c>
      <c r="AS474" s="1" t="s">
        <v>2560</v>
      </c>
      <c r="AT474" s="3" t="str">
        <f>HYPERLINK("https://icf.clappia.com/app/GMB253374/submission/TJI90063278/ICF247370-GMB253374-1o5d1c9d1pc5m0000000/SIG-20250701_1125166akd.jpeg", "SIG-20250701_1125166akd.jpeg")</f>
        <v>SIG-20250701_1125166akd.jpeg</v>
      </c>
      <c r="AU474" s="1" t="s">
        <v>2561</v>
      </c>
      <c r="AV474" s="3" t="str">
        <f>HYPERLINK("https://icf.clappia.com/app/GMB253374/submission/TJI90063278/ICF247370-GMB253374-2mklmmcl8oka00000000/SIG-20250701_1125eip2n.jpeg", "SIG-20250701_1125eip2n.jpeg")</f>
        <v>SIG-20250701_1125eip2n.jpeg</v>
      </c>
      <c r="AW474" s="1" t="s">
        <v>2562</v>
      </c>
      <c r="AX474" s="3" t="str">
        <f>HYPERLINK("https://icf.clappia.com/app/GMB253374/submission/TJI90063278/ICF247370-GMB253374-2bgbpm7llao7a0000000/SIG-20250701_1124135m98.jpeg", "SIG-20250701_1124135m98.jpeg")</f>
        <v>SIG-20250701_1124135m98.jpeg</v>
      </c>
      <c r="AY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2563</v>
      </c>
      <c r="B475" s="2" t="s">
        <v>47</v>
      </c>
      <c r="C475" s="1" t="s">
        <v>439</v>
      </c>
      <c r="D475" s="1" t="s">
        <v>439</v>
      </c>
      <c r="E475" s="1" t="s">
        <v>2564</v>
      </c>
      <c r="F475" s="1" t="s">
        <v>51</v>
      </c>
      <c r="G475" s="1">
        <v>250.0</v>
      </c>
      <c r="H475" s="1" t="s">
        <v>52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53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54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56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57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f t="shared" si="1"/>
        <v>202</v>
      </c>
      <c r="AM475" s="1">
        <v>250.0</v>
      </c>
      <c r="AN475" s="1">
        <v>262.0</v>
      </c>
      <c r="AO475" s="1">
        <v>201.0</v>
      </c>
      <c r="AP475" s="2">
        <v>11.0</v>
      </c>
      <c r="AQ475" s="1">
        <v>49.0</v>
      </c>
      <c r="AR475" s="1">
        <v>49.0</v>
      </c>
      <c r="AS475" s="1" t="s">
        <v>2565</v>
      </c>
      <c r="AT475" s="3" t="str">
        <f>HYPERLINK("https://icf.clappia.com/app/GMB253374/submission/HFK68298608/ICF247370-GMB253374-1n8c35d29dh520000000/SIG-20250702_15379dg73.jpeg", "SIG-20250702_15379dg73.jpeg")</f>
        <v>SIG-20250702_15379dg73.jpeg</v>
      </c>
      <c r="AU475" s="1" t="s">
        <v>2566</v>
      </c>
      <c r="AV475" s="3" t="str">
        <f>HYPERLINK("https://icf.clappia.com/app/GMB253374/submission/HFK68298608/ICF247370-GMB253374-10clo3ankglnm0000000/SIG-20250702_15383a3ji.jpeg", "SIG-20250702_15383a3ji.jpeg")</f>
        <v>SIG-20250702_15383a3ji.jpeg</v>
      </c>
      <c r="AW475" s="1" t="s">
        <v>2567</v>
      </c>
      <c r="AX475" s="3" t="str">
        <f>HYPERLINK("https://icf.clappia.com/app/GMB253374/submission/HFK68298608/ICF247370-GMB253374-323dbg6b42m400000000/SIG-20250702_1539jae04.jpeg", "SIG-20250702_1539jae04.jpeg")</f>
        <v>SIG-20250702_1539jae04.jpeg</v>
      </c>
      <c r="AY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2568</v>
      </c>
      <c r="B476" s="2" t="s">
        <v>47</v>
      </c>
      <c r="C476" s="1" t="s">
        <v>2569</v>
      </c>
      <c r="D476" s="1" t="s">
        <v>2570</v>
      </c>
      <c r="E476" s="1" t="s">
        <v>2571</v>
      </c>
      <c r="F476" s="1" t="s">
        <v>51</v>
      </c>
      <c r="G476" s="1">
        <v>62.0</v>
      </c>
      <c r="H476" s="1" t="s">
        <v>52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53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54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56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57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f t="shared" si="1"/>
        <v>62</v>
      </c>
      <c r="AM476" s="1">
        <v>62.0</v>
      </c>
      <c r="AN476" s="1">
        <v>74.0</v>
      </c>
      <c r="AO476" s="1">
        <v>62.0</v>
      </c>
      <c r="AP476" s="2">
        <v>11.0</v>
      </c>
      <c r="AQ476" s="1">
        <v>0.0</v>
      </c>
      <c r="AR476" s="1">
        <v>0.0</v>
      </c>
      <c r="AS476" s="1" t="s">
        <v>2572</v>
      </c>
      <c r="AT476" s="3" t="str">
        <f>HYPERLINK("https://icf.clappia.com/app/GMB253374/submission/RQX92935357/ICF247370-GMB253374-3g1bcoofj0ak00000000/SIG-20250702_1312116nkh.jpeg", "SIG-20250702_1312116nkh.jpeg")</f>
        <v>SIG-20250702_1312116nkh.jpeg</v>
      </c>
      <c r="AU476" s="1" t="s">
        <v>2573</v>
      </c>
      <c r="AV476" s="3" t="str">
        <f>HYPERLINK("https://icf.clappia.com/app/GMB253374/submission/RQX92935357/ICF247370-GMB253374-1immljf045n8c0000000/SIG-20250702_131210fce7.jpeg", "SIG-20250702_131210fce7.jpeg")</f>
        <v>SIG-20250702_131210fce7.jpeg</v>
      </c>
      <c r="AW476" s="1" t="s">
        <v>2574</v>
      </c>
      <c r="AX476" s="3" t="str">
        <f>HYPERLINK("https://icf.clappia.com/app/GMB253374/submission/RQX92935357/ICF247370-GMB253374-2elh1i3mp5j600000000/SIG-20250702_1312hlkdc.jpeg", "SIG-20250702_1312hlkdc.jpeg")</f>
        <v>SIG-20250702_1312hlkdc.jpeg</v>
      </c>
      <c r="AY476" s="3" t="str">
        <f>HYPERLINK("https://www.google.com/maps/place/8.80607%2C-11.92756", "8.80607,-11.92756")</f>
        <v>8.80607,-11.92756</v>
      </c>
    </row>
    <row r="477" ht="15.75" customHeight="1">
      <c r="A477" s="1" t="s">
        <v>2575</v>
      </c>
      <c r="B477" s="2" t="s">
        <v>47</v>
      </c>
      <c r="C477" s="1" t="s">
        <v>2576</v>
      </c>
      <c r="D477" s="1" t="s">
        <v>2576</v>
      </c>
      <c r="E477" s="1" t="s">
        <v>2577</v>
      </c>
      <c r="F477" s="1" t="s">
        <v>51</v>
      </c>
      <c r="G477" s="1">
        <v>356.0</v>
      </c>
      <c r="H477" s="1" t="s">
        <v>52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53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54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56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57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f t="shared" si="1"/>
        <v>356</v>
      </c>
      <c r="AM477" s="1">
        <v>356.0</v>
      </c>
      <c r="AN477" s="1">
        <v>368.0</v>
      </c>
      <c r="AO477" s="1">
        <v>356.0</v>
      </c>
      <c r="AP477" s="2">
        <v>11.0</v>
      </c>
      <c r="AQ477" s="1">
        <v>0.0</v>
      </c>
      <c r="AR477" s="1">
        <v>0.0</v>
      </c>
      <c r="AS477" s="1" t="s">
        <v>987</v>
      </c>
      <c r="AT477" s="3" t="str">
        <f>HYPERLINK("https://icf.clappia.com/app/GMB253374/submission/XYW04006885/ICF247370-GMB253374-3ob6oihihdj000000000/SIG-20250702_102772nkd.jpeg", "SIG-20250702_102772nkd.jpeg")</f>
        <v>SIG-20250702_102772nkd.jpeg</v>
      </c>
      <c r="AU477" s="1" t="s">
        <v>2578</v>
      </c>
      <c r="AV477" s="3" t="str">
        <f>HYPERLINK("https://icf.clappia.com/app/GMB253374/submission/XYW04006885/ICF247370-GMB253374-52pbc28f5goe00000000/SIG-20250702_1244g1b8m.jpeg", "SIG-20250702_1244g1b8m.jpeg")</f>
        <v>SIG-20250702_1244g1b8m.jpeg</v>
      </c>
      <c r="AW477" s="1" t="s">
        <v>988</v>
      </c>
      <c r="AX477" s="3" t="str">
        <f>HYPERLINK("https://icf.clappia.com/app/GMB253374/submission/XYW04006885/ICF247370-GMB253374-32eahf8m8hpa00000000/SIG-20250702_124417283o.jpeg", "SIG-20250702_124417283o.jpeg")</f>
        <v>SIG-20250702_124417283o.jpeg</v>
      </c>
      <c r="AY477" s="3" t="str">
        <f>HYPERLINK("https://www.google.com/maps/place/8.900553%2C-12.0345225", "8.900553,-12.0345225")</f>
        <v>8.900553,-12.0345225</v>
      </c>
    </row>
    <row r="478" ht="15.75" customHeight="1">
      <c r="A478" s="1" t="s">
        <v>2579</v>
      </c>
      <c r="B478" s="2" t="s">
        <v>47</v>
      </c>
      <c r="C478" s="1" t="s">
        <v>2580</v>
      </c>
      <c r="D478" s="1" t="s">
        <v>2580</v>
      </c>
      <c r="E478" s="1" t="s">
        <v>2581</v>
      </c>
      <c r="F478" s="1" t="s">
        <v>51</v>
      </c>
      <c r="G478" s="1">
        <v>92.0</v>
      </c>
      <c r="H478" s="1" t="s">
        <v>52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53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54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56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57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f t="shared" si="1"/>
        <v>92</v>
      </c>
      <c r="AM478" s="1">
        <v>92.0</v>
      </c>
      <c r="AN478" s="1">
        <v>104.0</v>
      </c>
      <c r="AO478" s="1">
        <v>92.0</v>
      </c>
      <c r="AP478" s="2">
        <v>11.0</v>
      </c>
      <c r="AQ478" s="1">
        <v>0.0</v>
      </c>
      <c r="AR478" s="1">
        <v>0.0</v>
      </c>
      <c r="AS478" s="1" t="s">
        <v>2582</v>
      </c>
      <c r="AT478" s="3" t="str">
        <f>HYPERLINK("https://icf.clappia.com/app/GMB253374/submission/YQJ28660291/ICF247370-GMB253374-41edlbfc7om000000000/SIG-20250702_15339c6ko.jpeg", "SIG-20250702_15339c6ko.jpeg")</f>
        <v>SIG-20250702_15339c6ko.jpeg</v>
      </c>
      <c r="AU478" s="1" t="s">
        <v>2516</v>
      </c>
      <c r="AV478" s="3" t="str">
        <f>HYPERLINK("https://icf.clappia.com/app/GMB253374/submission/YQJ28660291/ICF247370-GMB253374-5c02oai8c2ig00000000/SIG-20250702_15346aeki.jpeg", "SIG-20250702_15346aeki.jpeg")</f>
        <v>SIG-20250702_15346aeki.jpeg</v>
      </c>
      <c r="AW478" s="1" t="s">
        <v>2583</v>
      </c>
      <c r="AX478" s="3" t="str">
        <f>HYPERLINK("https://icf.clappia.com/app/GMB253374/submission/YQJ28660291/ICF247370-GMB253374-5ai2nj4enc3a00000000/SIG-20250702_1534cl05b.jpeg", "SIG-20250702_1534cl05b.jpeg")</f>
        <v>SIG-20250702_1534cl05b.jpeg</v>
      </c>
      <c r="AY478" s="3" t="str">
        <f>HYPERLINK("https://www.google.com/maps/place/7.9653167%2C-11.767645", "7.9653167,-11.767645")</f>
        <v>7.9653167,-11.767645</v>
      </c>
    </row>
    <row r="479" ht="15.75" customHeight="1">
      <c r="A479" s="1" t="s">
        <v>2584</v>
      </c>
      <c r="B479" s="2" t="s">
        <v>47</v>
      </c>
      <c r="C479" s="1" t="s">
        <v>2585</v>
      </c>
      <c r="D479" s="1" t="s">
        <v>2585</v>
      </c>
      <c r="E479" s="1" t="s">
        <v>2586</v>
      </c>
      <c r="F479" s="1" t="s">
        <v>51</v>
      </c>
      <c r="G479" s="1">
        <v>100.0</v>
      </c>
      <c r="H479" s="1" t="s">
        <v>52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53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54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56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57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f t="shared" si="1"/>
        <v>87</v>
      </c>
      <c r="AM479" s="1">
        <v>100.0</v>
      </c>
      <c r="AN479" s="1">
        <v>112.0</v>
      </c>
      <c r="AO479" s="1">
        <v>71.0</v>
      </c>
      <c r="AP479" s="2">
        <v>11.0</v>
      </c>
      <c r="AQ479" s="1">
        <v>29.0</v>
      </c>
      <c r="AR479" s="1">
        <v>29.0</v>
      </c>
      <c r="AS479" s="1" t="s">
        <v>2587</v>
      </c>
      <c r="AT479" s="3" t="str">
        <f>HYPERLINK("https://icf.clappia.com/app/GMB253374/submission/UFL21678095/ICF247370-GMB253374-426b89no19ji00000000/SIG-20250702_1530ka13.jpeg", "SIG-20250702_1530ka13.jpeg")</f>
        <v>SIG-20250702_1530ka13.jpeg</v>
      </c>
      <c r="AU479" s="1" t="s">
        <v>2555</v>
      </c>
      <c r="AV479" s="3" t="str">
        <f>HYPERLINK("https://icf.clappia.com/app/GMB253374/submission/UFL21678095/ICF247370-GMB253374-n1hocnchhdo40000000/SIG-20250702_15319am29.jpeg", "SIG-20250702_15319am29.jpeg")</f>
        <v>SIG-20250702_15319am29.jpeg</v>
      </c>
      <c r="AW479" s="1" t="s">
        <v>2588</v>
      </c>
      <c r="AX479" s="3" t="str">
        <f>HYPERLINK("https://icf.clappia.com/app/GMB253374/submission/UFL21678095/ICF247370-GMB253374-4g6ggjacon5o00000000/SIG-20250702_1531f82f1.jpeg", "SIG-20250702_1531f82f1.jpeg")</f>
        <v>SIG-20250702_1531f82f1.jpeg</v>
      </c>
      <c r="AY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2589</v>
      </c>
      <c r="B480" s="2" t="s">
        <v>47</v>
      </c>
      <c r="C480" s="1" t="s">
        <v>2590</v>
      </c>
      <c r="D480" s="1" t="s">
        <v>2590</v>
      </c>
      <c r="E480" s="1" t="s">
        <v>2591</v>
      </c>
      <c r="F480" s="1" t="s">
        <v>51</v>
      </c>
      <c r="G480" s="1">
        <v>300.0</v>
      </c>
      <c r="H480" s="1" t="s">
        <v>52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53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54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56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57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f t="shared" si="1"/>
        <v>154</v>
      </c>
      <c r="AM480" s="1">
        <v>300.0</v>
      </c>
      <c r="AN480" s="1">
        <v>312.0</v>
      </c>
      <c r="AO480" s="1">
        <v>143.0</v>
      </c>
      <c r="AP480" s="2">
        <v>11.0</v>
      </c>
      <c r="AQ480" s="1">
        <v>157.0</v>
      </c>
      <c r="AR480" s="1">
        <v>157.0</v>
      </c>
      <c r="AS480" s="1" t="s">
        <v>2592</v>
      </c>
      <c r="AT480" s="3" t="str">
        <f>HYPERLINK("https://icf.clappia.com/app/GMB253374/submission/QNI02852578/ICF247370-GMB253374-1on8fn6bn0pla0000000/SIG-20250702_1313d3978.jpeg", "SIG-20250702_1313d3978.jpeg")</f>
        <v>SIG-20250702_1313d3978.jpeg</v>
      </c>
      <c r="AU480" s="1" t="s">
        <v>2593</v>
      </c>
      <c r="AV480" s="3" t="str">
        <f>HYPERLINK("https://icf.clappia.com/app/GMB253374/submission/QNI02852578/ICF247370-GMB253374-4m8ig75h9elc00000000/SIG-20250702_124116mdff.jpeg", "SIG-20250702_124116mdff.jpeg")</f>
        <v>SIG-20250702_124116mdff.jpeg</v>
      </c>
      <c r="AW480" s="1" t="s">
        <v>2594</v>
      </c>
      <c r="AX480" s="3" t="str">
        <f>HYPERLINK("https://icf.clappia.com/app/GMB253374/submission/QNI02852578/ICF247370-GMB253374-61h16l3gm24i00000000/SIG-20250702_14422jkl5.jpeg", "SIG-20250702_14422jkl5.jpeg")</f>
        <v>SIG-20250702_14422jkl5.jpeg</v>
      </c>
      <c r="AY480" s="3" t="str">
        <f>HYPERLINK("https://www.google.com/maps/place/8.890838%2C-12.0364194", "8.890838,-12.0364194")</f>
        <v>8.890838,-12.0364194</v>
      </c>
    </row>
    <row r="481" ht="15.75" customHeight="1">
      <c r="A481" s="1" t="s">
        <v>2595</v>
      </c>
      <c r="B481" s="2" t="s">
        <v>47</v>
      </c>
      <c r="C481" s="1" t="s">
        <v>2596</v>
      </c>
      <c r="D481" s="1" t="s">
        <v>2596</v>
      </c>
      <c r="E481" s="2" t="s">
        <v>2597</v>
      </c>
      <c r="F481" s="1" t="s">
        <v>72</v>
      </c>
      <c r="G481" s="1">
        <v>135.0</v>
      </c>
      <c r="H481" s="1" t="s">
        <v>52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53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54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56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57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f t="shared" si="1"/>
        <v>143</v>
      </c>
      <c r="AM481" s="1">
        <v>135.0</v>
      </c>
      <c r="AN481" s="1">
        <v>147.0</v>
      </c>
      <c r="AO481" s="1">
        <v>132.0</v>
      </c>
      <c r="AP481" s="2">
        <v>11.0</v>
      </c>
      <c r="AQ481" s="1">
        <v>3.0</v>
      </c>
      <c r="AR481" s="1">
        <v>3.0</v>
      </c>
      <c r="AS481" s="1" t="s">
        <v>1734</v>
      </c>
      <c r="AT481" s="3" t="str">
        <f>HYPERLINK("https://icf.clappia.com/app/GMB253374/submission/XCI33302573/ICF247370-GMB253374-4c3onhkdlgji00000000/SIG-20250702_152214bhc1.jpeg", "SIG-20250702_152214bhc1.jpeg")</f>
        <v>SIG-20250702_152214bhc1.jpeg</v>
      </c>
      <c r="AU481" s="1" t="s">
        <v>1736</v>
      </c>
      <c r="AV481" s="3" t="str">
        <f>HYPERLINK("https://icf.clappia.com/app/GMB253374/submission/XCI33302573/ICF247370-GMB253374-53pinohefl6e00000000/SIG-20250702_1523a9flf.jpeg", "SIG-20250702_1523a9flf.jpeg")</f>
        <v>SIG-20250702_1523a9flf.jpeg</v>
      </c>
      <c r="AW481" s="1" t="s">
        <v>1735</v>
      </c>
      <c r="AX481" s="3" t="str">
        <f>HYPERLINK("https://icf.clappia.com/app/GMB253374/submission/XCI33302573/ICF247370-GMB253374-3m7ecb7kg00a00000000/SIG-20250702_1523m81n8.jpeg", "SIG-20250702_1523m81n8.jpeg")</f>
        <v>SIG-20250702_1523m81n8.jpeg</v>
      </c>
      <c r="AY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2598</v>
      </c>
      <c r="B482" s="2" t="s">
        <v>47</v>
      </c>
      <c r="C482" s="1" t="s">
        <v>2599</v>
      </c>
      <c r="D482" s="1" t="s">
        <v>2599</v>
      </c>
      <c r="E482" s="1" t="s">
        <v>2600</v>
      </c>
      <c r="F482" s="1" t="s">
        <v>51</v>
      </c>
      <c r="G482" s="1">
        <v>39.0</v>
      </c>
      <c r="H482" s="1" t="s">
        <v>52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53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54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56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57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f t="shared" si="1"/>
        <v>39</v>
      </c>
      <c r="AM482" s="1">
        <v>39.0</v>
      </c>
      <c r="AN482" s="1">
        <v>51.0</v>
      </c>
      <c r="AO482" s="1">
        <v>39.0</v>
      </c>
      <c r="AP482" s="2">
        <v>11.0</v>
      </c>
      <c r="AQ482" s="1">
        <v>0.0</v>
      </c>
      <c r="AR482" s="1">
        <v>0.0</v>
      </c>
      <c r="AS482" s="1" t="s">
        <v>2601</v>
      </c>
      <c r="AT482" s="3" t="str">
        <f>HYPERLINK("https://icf.clappia.com/app/GMB253374/submission/OLK56079613/ICF247370-GMB253374-4p4ej568656k00000000/SIG-20250702_151718oc2a.jpeg", "SIG-20250702_151718oc2a.jpeg")</f>
        <v>SIG-20250702_151718oc2a.jpeg</v>
      </c>
      <c r="AU482" s="1" t="s">
        <v>2602</v>
      </c>
      <c r="AV482" s="3" t="str">
        <f>HYPERLINK("https://icf.clappia.com/app/GMB253374/submission/OLK56079613/ICF247370-GMB253374-j4p0iafh9dne0000000/SIG-20250702_1518foc56.jpeg", "SIG-20250702_1518foc56.jpeg")</f>
        <v>SIG-20250702_1518foc56.jpeg</v>
      </c>
      <c r="AW482" s="1" t="s">
        <v>2603</v>
      </c>
      <c r="AX482" s="3" t="str">
        <f>HYPERLINK("https://icf.clappia.com/app/GMB253374/submission/OLK56079613/ICF247370-GMB253374-5m122jd8gn6000000000/SIG-20250702_1519i085a.jpeg", "SIG-20250702_1519i085a.jpeg")</f>
        <v>SIG-20250702_1519i085a.jpeg</v>
      </c>
      <c r="AY482" s="3" t="str">
        <f>HYPERLINK("https://www.google.com/maps/place/8.9795876%2C-12.097947", "8.9795876,-12.097947")</f>
        <v>8.9795876,-12.097947</v>
      </c>
    </row>
    <row r="483" ht="15.75" customHeight="1">
      <c r="A483" s="1" t="s">
        <v>2604</v>
      </c>
      <c r="B483" s="2" t="s">
        <v>47</v>
      </c>
      <c r="C483" s="1" t="s">
        <v>2605</v>
      </c>
      <c r="D483" s="1" t="s">
        <v>2605</v>
      </c>
      <c r="E483" s="1" t="s">
        <v>2606</v>
      </c>
      <c r="F483" s="1" t="s">
        <v>51</v>
      </c>
      <c r="G483" s="1">
        <v>208.0</v>
      </c>
      <c r="H483" s="1" t="s">
        <v>52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53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54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56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57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f t="shared" si="1"/>
        <v>194</v>
      </c>
      <c r="AM483" s="1">
        <v>208.0</v>
      </c>
      <c r="AN483" s="1">
        <v>220.0</v>
      </c>
      <c r="AO483" s="1">
        <v>194.0</v>
      </c>
      <c r="AP483" s="2">
        <v>11.0</v>
      </c>
      <c r="AQ483" s="1">
        <v>14.0</v>
      </c>
      <c r="AR483" s="1">
        <v>14.0</v>
      </c>
      <c r="AS483" s="1" t="s">
        <v>2607</v>
      </c>
      <c r="AT483" s="3" t="str">
        <f>HYPERLINK("https://icf.clappia.com/app/GMB253374/submission/HIR69795051/ICF247370-GMB253374-41974m5plk2g00000000/SIG-20250701_1207157o72.jpeg", "SIG-20250701_1207157o72.jpeg")</f>
        <v>SIG-20250701_1207157o72.jpeg</v>
      </c>
      <c r="AU483" s="1" t="s">
        <v>2608</v>
      </c>
      <c r="AV483" s="3" t="str">
        <f>HYPERLINK("https://icf.clappia.com/app/GMB253374/submission/HIR69795051/ICF247370-GMB253374-28ednmi1fmn8e0000000/SIG-20250701_120813oml0.jpeg", "SIG-20250701_120813oml0.jpeg")</f>
        <v>SIG-20250701_120813oml0.jpeg</v>
      </c>
      <c r="AW483" s="1" t="s">
        <v>2609</v>
      </c>
      <c r="AX483" s="3" t="str">
        <f>HYPERLINK("https://icf.clappia.com/app/GMB253374/submission/HIR69795051/ICF247370-GMB253374-6aa95ee3eece00000000/SIG-20250701_1209cdhho.jpeg", "SIG-20250701_1209cdhho.jpeg")</f>
        <v>SIG-20250701_1209cdhho.jpeg</v>
      </c>
      <c r="AY483" s="3" t="str">
        <f>HYPERLINK("https://www.google.com/maps/place/7.862465%2C-11.75234", "7.862465,-11.75234")</f>
        <v>7.862465,-11.75234</v>
      </c>
    </row>
    <row r="484" ht="15.75" customHeight="1">
      <c r="A484" s="1" t="s">
        <v>2610</v>
      </c>
      <c r="B484" s="2" t="s">
        <v>47</v>
      </c>
      <c r="C484" s="1" t="s">
        <v>2611</v>
      </c>
      <c r="D484" s="1" t="s">
        <v>2611</v>
      </c>
      <c r="E484" s="1" t="s">
        <v>2612</v>
      </c>
      <c r="F484" s="1" t="s">
        <v>51</v>
      </c>
      <c r="G484" s="1">
        <v>236.0</v>
      </c>
      <c r="H484" s="1" t="s">
        <v>52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53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54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56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57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f t="shared" si="1"/>
        <v>145</v>
      </c>
      <c r="AM484" s="1">
        <v>236.0</v>
      </c>
      <c r="AN484" s="1">
        <v>248.0</v>
      </c>
      <c r="AO484" s="1">
        <v>145.0</v>
      </c>
      <c r="AP484" s="2">
        <v>11.0</v>
      </c>
      <c r="AQ484" s="1">
        <v>91.0</v>
      </c>
      <c r="AR484" s="1">
        <v>91.0</v>
      </c>
      <c r="AS484" s="1" t="s">
        <v>2613</v>
      </c>
      <c r="AT484" s="3" t="str">
        <f>HYPERLINK("https://icf.clappia.com/app/GMB253374/submission/CVI95618177/ICF247370-GMB253374-3e8jai7dd26e00000000/SIG-20250702_15091270lj.jpeg", "SIG-20250702_15091270lj.jpeg")</f>
        <v>SIG-20250702_15091270lj.jpeg</v>
      </c>
      <c r="AU484" s="1" t="s">
        <v>2614</v>
      </c>
      <c r="AV484" s="3" t="str">
        <f>HYPERLINK("https://icf.clappia.com/app/GMB253374/submission/CVI95618177/ICF247370-GMB253374-4flhlimpdelo00000000/SIG-20250702_1509l9cpd.jpeg", "SIG-20250702_1509l9cpd.jpeg")</f>
        <v>SIG-20250702_1509l9cpd.jpeg</v>
      </c>
      <c r="AW484" s="1" t="s">
        <v>2615</v>
      </c>
      <c r="AX484" s="3" t="str">
        <f>HYPERLINK("https://icf.clappia.com/app/GMB253374/submission/CVI95618177/ICF247370-GMB253374-3m5dfnpcif1o00000000/SIG-20250702_151016nlgf.jpeg", "SIG-20250702_151016nlgf.jpeg")</f>
        <v>SIG-20250702_151016nlgf.jpeg</v>
      </c>
      <c r="AY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2616</v>
      </c>
      <c r="B485" s="2" t="s">
        <v>47</v>
      </c>
      <c r="C485" s="1" t="s">
        <v>2617</v>
      </c>
      <c r="D485" s="1" t="s">
        <v>2617</v>
      </c>
      <c r="E485" s="1" t="s">
        <v>2618</v>
      </c>
      <c r="F485" s="1" t="s">
        <v>51</v>
      </c>
      <c r="G485" s="1">
        <v>185.0</v>
      </c>
      <c r="H485" s="1" t="s">
        <v>52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53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54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56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57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f t="shared" si="1"/>
        <v>95</v>
      </c>
      <c r="AM485" s="1">
        <v>185.0</v>
      </c>
      <c r="AN485" s="1">
        <v>197.0</v>
      </c>
      <c r="AO485" s="1">
        <v>95.0</v>
      </c>
      <c r="AP485" s="2">
        <v>11.0</v>
      </c>
      <c r="AQ485" s="1">
        <v>90.0</v>
      </c>
      <c r="AR485" s="1">
        <v>90.0</v>
      </c>
      <c r="AS485" s="1" t="s">
        <v>309</v>
      </c>
      <c r="AT485" s="3" t="str">
        <f>HYPERLINK("https://icf.clappia.com/app/GMB253374/submission/EYO73026285/ICF247370-GMB253374-5m80lpll8ij200000000/SIG-20250702_1503l94c2.jpeg", "SIG-20250702_1503l94c2.jpeg")</f>
        <v>SIG-20250702_1503l94c2.jpeg</v>
      </c>
      <c r="AU485" s="1" t="s">
        <v>307</v>
      </c>
      <c r="AV485" s="3" t="str">
        <f>HYPERLINK("https://icf.clappia.com/app/GMB253374/submission/EYO73026285/ICF247370-GMB253374-69jee3ijcam800000000/SIG-20250702_1505i3n89.jpeg", "SIG-20250702_1505i3n89.jpeg")</f>
        <v>SIG-20250702_1505i3n89.jpeg</v>
      </c>
      <c r="AW485" s="1" t="s">
        <v>2619</v>
      </c>
      <c r="AX485" s="3" t="str">
        <f>HYPERLINK("https://icf.clappia.com/app/GMB253374/submission/EYO73026285/ICF247370-GMB253374-o4e87f7129eg0000000/SIG-20250702_150416abgd.jpeg", "SIG-20250702_150416abgd.jpeg")</f>
        <v>SIG-20250702_150416abgd.jpeg</v>
      </c>
      <c r="AY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2620</v>
      </c>
      <c r="B486" s="2" t="s">
        <v>47</v>
      </c>
      <c r="C486" s="1" t="s">
        <v>2621</v>
      </c>
      <c r="D486" s="1" t="s">
        <v>2621</v>
      </c>
      <c r="E486" s="4" t="s">
        <v>2622</v>
      </c>
      <c r="F486" s="1" t="s">
        <v>51</v>
      </c>
      <c r="G486" s="1">
        <v>200.0</v>
      </c>
      <c r="H486" s="1" t="s">
        <v>52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53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54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56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57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f t="shared" si="1"/>
        <v>248</v>
      </c>
      <c r="AM486" s="1">
        <v>200.0</v>
      </c>
      <c r="AN486" s="1">
        <v>212.0</v>
      </c>
      <c r="AO486" s="1">
        <v>200.0</v>
      </c>
      <c r="AP486" s="2">
        <v>11.0</v>
      </c>
      <c r="AQ486" s="1">
        <v>0.0</v>
      </c>
      <c r="AR486" s="1">
        <v>0.0</v>
      </c>
      <c r="AS486" s="1" t="s">
        <v>2623</v>
      </c>
      <c r="AT486" s="3" t="str">
        <f>HYPERLINK("https://icf.clappia.com/app/GMB253374/submission/YUR91269124/ICF247370-GMB253374-4nkk1ea0kbk400000000/SIG-20250702_1506a312d.jpeg", "SIG-20250702_1506a312d.jpeg")</f>
        <v>SIG-20250702_1506a312d.jpeg</v>
      </c>
      <c r="AU486" s="1" t="s">
        <v>2624</v>
      </c>
      <c r="AV486" s="3" t="str">
        <f>HYPERLINK("https://icf.clappia.com/app/GMB253374/submission/YUR91269124/ICF247370-GMB253374-75g4pe444i860000000/SIG-20250702_1146jmffo.jpeg", "SIG-20250702_1146jmffo.jpeg")</f>
        <v>SIG-20250702_1146jmffo.jpeg</v>
      </c>
      <c r="AW486" s="1" t="s">
        <v>2625</v>
      </c>
      <c r="AX486" s="3" t="str">
        <f>HYPERLINK("https://icf.clappia.com/app/GMB253374/submission/YUR91269124/ICF247370-GMB253374-hh5jo89lb8l60000000/SIG-20250702_1147138kb.jpeg", "SIG-20250702_1147138kb.jpeg")</f>
        <v>SIG-20250702_1147138kb.jpeg</v>
      </c>
      <c r="AY486" s="3" t="str">
        <f>HYPERLINK("https://www.google.com/maps/place/9.22841%2C-12.00051", "9.22841,-12.00051")</f>
        <v>9.22841,-12.00051</v>
      </c>
    </row>
    <row r="487" ht="15.75" customHeight="1">
      <c r="A487" s="1" t="s">
        <v>2626</v>
      </c>
      <c r="B487" s="2" t="s">
        <v>47</v>
      </c>
      <c r="C487" s="1" t="s">
        <v>2621</v>
      </c>
      <c r="D487" s="1" t="s">
        <v>2621</v>
      </c>
      <c r="E487" s="1" t="s">
        <v>2627</v>
      </c>
      <c r="F487" s="1" t="s">
        <v>51</v>
      </c>
      <c r="G487" s="1">
        <v>200.0</v>
      </c>
      <c r="H487" s="1" t="s">
        <v>52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53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54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56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57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f t="shared" si="1"/>
        <v>248</v>
      </c>
      <c r="AM487" s="1">
        <v>200.0</v>
      </c>
      <c r="AN487" s="1">
        <v>212.0</v>
      </c>
      <c r="AO487" s="1">
        <v>200.0</v>
      </c>
      <c r="AP487" s="2">
        <v>11.0</v>
      </c>
      <c r="AQ487" s="1">
        <v>0.0</v>
      </c>
      <c r="AR487" s="1">
        <v>0.0</v>
      </c>
      <c r="AS487" s="1" t="s">
        <v>2628</v>
      </c>
      <c r="AT487" s="3" t="str">
        <f>HYPERLINK("https://icf.clappia.com/app/GMB253374/submission/TSN48687952/ICF247370-GMB253374-55oa48lkg5co00000000/SIG-20250702_15061821ka.jpeg", "SIG-20250702_15061821ka.jpeg")</f>
        <v>SIG-20250702_15061821ka.jpeg</v>
      </c>
      <c r="AU487" s="1" t="s">
        <v>2629</v>
      </c>
      <c r="AV487" s="3" t="str">
        <f>HYPERLINK("https://icf.clappia.com/app/GMB253374/submission/TSN48687952/ICF247370-GMB253374-34khdnjjm1n200000000/SIG-20250702_1203135hd0.jpeg", "SIG-20250702_1203135hd0.jpeg")</f>
        <v>SIG-20250702_1203135hd0.jpeg</v>
      </c>
      <c r="AW487" s="1" t="s">
        <v>2630</v>
      </c>
      <c r="AX487" s="3" t="str">
        <f>HYPERLINK("https://icf.clappia.com/app/GMB253374/submission/TSN48687952/ICF247370-GMB253374-1l277di3f0mi40000000/SIG-20250702_1208aecmd.jpeg", "SIG-20250702_1208aecmd.jpeg")</f>
        <v>SIG-20250702_1208aecmd.jpeg</v>
      </c>
      <c r="AY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2631</v>
      </c>
      <c r="B488" s="2" t="s">
        <v>47</v>
      </c>
      <c r="C488" s="1" t="s">
        <v>2632</v>
      </c>
      <c r="D488" s="1" t="s">
        <v>2632</v>
      </c>
      <c r="E488" s="1" t="s">
        <v>2633</v>
      </c>
      <c r="F488" s="1" t="s">
        <v>51</v>
      </c>
      <c r="G488" s="1">
        <v>110.0</v>
      </c>
      <c r="H488" s="1" t="s">
        <v>52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53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54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56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57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f t="shared" si="1"/>
        <v>95</v>
      </c>
      <c r="AM488" s="1">
        <v>110.0</v>
      </c>
      <c r="AN488" s="1">
        <v>122.0</v>
      </c>
      <c r="AO488" s="1">
        <v>95.0</v>
      </c>
      <c r="AP488" s="2">
        <v>11.0</v>
      </c>
      <c r="AQ488" s="1">
        <v>15.0</v>
      </c>
      <c r="AR488" s="1">
        <v>15.0</v>
      </c>
      <c r="AS488" s="1" t="s">
        <v>1477</v>
      </c>
      <c r="AT488" s="3" t="str">
        <f>HYPERLINK("https://icf.clappia.com/app/GMB253374/submission/DFQ85198156/ICF247370-GMB253374-5a973l3d1coi00000000/SIG-20250702_130015f508.jpeg", "SIG-20250702_130015f508.jpeg")</f>
        <v>SIG-20250702_130015f508.jpeg</v>
      </c>
      <c r="AU488" s="1" t="s">
        <v>2418</v>
      </c>
      <c r="AV488" s="3" t="str">
        <f>HYPERLINK("https://icf.clappia.com/app/GMB253374/submission/DFQ85198156/ICF247370-GMB253374-3k20jh0g214e00000000/SIG-20250702_13011a1b9m.jpeg", "SIG-20250702_13011a1b9m.jpeg")</f>
        <v>SIG-20250702_13011a1b9m.jpeg</v>
      </c>
      <c r="AW488" s="1" t="s">
        <v>1475</v>
      </c>
      <c r="AX488" s="3" t="str">
        <f>HYPERLINK("https://icf.clappia.com/app/GMB253374/submission/DFQ85198156/ICF247370-GMB253374-390ie3jog6do00000000/SIG-20250702_1302mh7fm.jpeg", "SIG-20250702_1302mh7fm.jpeg")</f>
        <v>SIG-20250702_1302mh7fm.jpeg</v>
      </c>
      <c r="AY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2634</v>
      </c>
      <c r="B489" s="2" t="s">
        <v>47</v>
      </c>
      <c r="C489" s="1" t="s">
        <v>2635</v>
      </c>
      <c r="D489" s="1" t="s">
        <v>2632</v>
      </c>
      <c r="E489" s="1" t="s">
        <v>2636</v>
      </c>
      <c r="F489" s="1" t="s">
        <v>51</v>
      </c>
      <c r="G489" s="1">
        <v>150.0</v>
      </c>
      <c r="H489" s="1" t="s">
        <v>52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53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54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56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57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>
        <f t="shared" si="1"/>
        <v>130</v>
      </c>
      <c r="AM489" s="1">
        <v>150.0</v>
      </c>
      <c r="AN489" s="1">
        <v>162.0</v>
      </c>
      <c r="AO489" s="1">
        <v>130.0</v>
      </c>
      <c r="AP489" s="2">
        <v>11.0</v>
      </c>
      <c r="AQ489" s="1">
        <v>20.0</v>
      </c>
      <c r="AR489" s="1">
        <v>20.0</v>
      </c>
      <c r="AS489" s="1" t="s">
        <v>2637</v>
      </c>
      <c r="AT489" s="3" t="str">
        <f>HYPERLINK("https://icf.clappia.com/app/GMB253374/submission/IFI54033633/ICF247370-GMB253374-839keak28c440000000/SIG-20250630_11562f91h.jpeg", "SIG-20250630_11562f91h.jpeg")</f>
        <v>SIG-20250630_11562f91h.jpeg</v>
      </c>
      <c r="AU489" s="1" t="s">
        <v>2638</v>
      </c>
      <c r="AV489" s="3" t="str">
        <f>HYPERLINK("https://icf.clappia.com/app/GMB253374/submission/IFI54033633/ICF247370-GMB253374-3pgo7bli557e00000000/SIG-20250630_11575oip5.jpeg", "SIG-20250630_11575oip5.jpeg")</f>
        <v>SIG-20250630_11575oip5.jpeg</v>
      </c>
      <c r="AW489" s="1" t="s">
        <v>2639</v>
      </c>
      <c r="AX489" s="3" t="str">
        <f>HYPERLINK("https://icf.clappia.com/app/GMB253374/submission/IFI54033633/ICF247370-GMB253374-53nj7hafcjcg00000000/SIG-20250630_1209132o53.jpeg", "SIG-20250630_1209132o53.jpeg")</f>
        <v>SIG-20250630_1209132o53.jpeg</v>
      </c>
      <c r="AY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2640</v>
      </c>
      <c r="B490" s="2" t="s">
        <v>47</v>
      </c>
      <c r="C490" s="1" t="s">
        <v>2641</v>
      </c>
      <c r="D490" s="1" t="s">
        <v>2641</v>
      </c>
      <c r="E490" s="1" t="s">
        <v>2642</v>
      </c>
      <c r="F490" s="1" t="s">
        <v>51</v>
      </c>
      <c r="G490" s="1">
        <v>353.0</v>
      </c>
      <c r="H490" s="1" t="s">
        <v>52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53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54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56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57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f t="shared" si="1"/>
        <v>353</v>
      </c>
      <c r="AM490" s="1">
        <v>353.0</v>
      </c>
      <c r="AN490" s="1">
        <v>365.0</v>
      </c>
      <c r="AO490" s="1">
        <v>346.0</v>
      </c>
      <c r="AP490" s="2">
        <v>11.0</v>
      </c>
      <c r="AQ490" s="1">
        <v>7.0</v>
      </c>
      <c r="AR490" s="1">
        <v>7.0</v>
      </c>
      <c r="AS490" s="1" t="s">
        <v>2643</v>
      </c>
      <c r="AT490" s="3" t="str">
        <f>HYPERLINK("https://icf.clappia.com/app/GMB253374/submission/CJF48419468/ICF247370-GMB253374-66ik2kepglh200000000/SIG-20250702_1457e1g2k.jpeg", "SIG-20250702_1457e1g2k.jpeg")</f>
        <v>SIG-20250702_1457e1g2k.jpeg</v>
      </c>
      <c r="AU490" s="1" t="s">
        <v>959</v>
      </c>
      <c r="AV490" s="3" t="str">
        <f>HYPERLINK("https://icf.clappia.com/app/GMB253374/submission/CJF48419468/ICF247370-GMB253374-6aplk40j3l6600000000/SIG-20250702_1458547o9.jpeg", "SIG-20250702_1458547o9.jpeg")</f>
        <v>SIG-20250702_1458547o9.jpeg</v>
      </c>
      <c r="AW490" s="1" t="s">
        <v>942</v>
      </c>
      <c r="AX490" s="3" t="str">
        <f>HYPERLINK("https://icf.clappia.com/app/GMB253374/submission/CJF48419468/ICF247370-GMB253374-1p951cj8ejp680000000/SIG-20250702_1459150cil.jpeg", "SIG-20250702_1459150cil.jpeg")</f>
        <v>SIG-20250702_1459150cil.jpeg</v>
      </c>
      <c r="AY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2644</v>
      </c>
      <c r="B491" s="2" t="s">
        <v>47</v>
      </c>
      <c r="C491" s="1" t="s">
        <v>2645</v>
      </c>
      <c r="D491" s="1" t="s">
        <v>2645</v>
      </c>
      <c r="E491" s="1" t="s">
        <v>2646</v>
      </c>
      <c r="F491" s="1" t="s">
        <v>51</v>
      </c>
      <c r="G491" s="1">
        <v>80.0</v>
      </c>
      <c r="H491" s="1" t="s">
        <v>52</v>
      </c>
      <c r="I491" s="1" t="s">
        <v>55</v>
      </c>
      <c r="J491" s="1" t="s">
        <v>55</v>
      </c>
      <c r="K491" s="1" t="s">
        <v>55</v>
      </c>
      <c r="L491" s="1" t="s">
        <v>55</v>
      </c>
      <c r="M491" s="1" t="s">
        <v>55</v>
      </c>
      <c r="N491" s="1" t="s">
        <v>53</v>
      </c>
      <c r="O491" s="1" t="s">
        <v>55</v>
      </c>
      <c r="P491" s="1" t="s">
        <v>55</v>
      </c>
      <c r="Q491" s="1" t="s">
        <v>55</v>
      </c>
      <c r="R491" s="1" t="s">
        <v>55</v>
      </c>
      <c r="S491" s="1" t="s">
        <v>55</v>
      </c>
      <c r="T491" s="1" t="s">
        <v>54</v>
      </c>
      <c r="U491" s="1" t="s">
        <v>55</v>
      </c>
      <c r="V491" s="1" t="s">
        <v>55</v>
      </c>
      <c r="W491" s="1" t="s">
        <v>55</v>
      </c>
      <c r="X491" s="1" t="s">
        <v>55</v>
      </c>
      <c r="Y491" s="1" t="s">
        <v>55</v>
      </c>
      <c r="Z491" s="1" t="s">
        <v>56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57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f t="shared" si="1"/>
        <v>80</v>
      </c>
      <c r="AM491" s="1">
        <v>80.0</v>
      </c>
      <c r="AN491" s="1">
        <v>92.0</v>
      </c>
      <c r="AO491" s="1">
        <v>80.0</v>
      </c>
      <c r="AP491" s="2">
        <v>11.0</v>
      </c>
      <c r="AQ491" s="1">
        <v>0.0</v>
      </c>
      <c r="AR491" s="1">
        <v>0.0</v>
      </c>
      <c r="AS491" s="1" t="s">
        <v>2033</v>
      </c>
      <c r="AT491" s="3" t="str">
        <f>HYPERLINK("https://icf.clappia.com/app/GMB253374/submission/UJW83936610/ICF247370-GMB253374-4lgbpe6814g600000000/SIG-20250702_145535efd.jpeg", "SIG-20250702_145535efd.jpeg")</f>
        <v>SIG-20250702_145535efd.jpeg</v>
      </c>
      <c r="AU491" s="1" t="s">
        <v>2034</v>
      </c>
      <c r="AV491" s="3" t="str">
        <f>HYPERLINK("https://icf.clappia.com/app/GMB253374/submission/UJW83936610/ICF247370-GMB253374-65aoe473edi200000000/SIG-20250702_1456jdidh.jpeg", "SIG-20250702_1456jdidh.jpeg")</f>
        <v>SIG-20250702_1456jdidh.jpeg</v>
      </c>
      <c r="AW491" s="1" t="s">
        <v>2647</v>
      </c>
      <c r="AX491" s="3" t="str">
        <f>HYPERLINK("https://icf.clappia.com/app/GMB253374/submission/UJW83936610/ICF247370-GMB253374-3c7mjpk409jc00000000/SIG-20250702_1457ich8p.jpeg", "SIG-20250702_1457ich8p.jpeg")</f>
        <v>SIG-20250702_1457ich8p.jpeg</v>
      </c>
      <c r="AY491" s="3" t="str">
        <f>HYPERLINK("https://www.google.com/maps/place/7.98692%2C-11.5695983", "7.98692,-11.5695983")</f>
        <v>7.98692,-11.5695983</v>
      </c>
    </row>
    <row r="492" ht="15.75" customHeight="1">
      <c r="A492" s="1" t="s">
        <v>2648</v>
      </c>
      <c r="B492" s="2" t="s">
        <v>47</v>
      </c>
      <c r="C492" s="1" t="s">
        <v>2649</v>
      </c>
      <c r="D492" s="1" t="s">
        <v>2649</v>
      </c>
      <c r="E492" s="1" t="s">
        <v>2650</v>
      </c>
      <c r="F492" s="1" t="s">
        <v>51</v>
      </c>
      <c r="G492" s="1">
        <v>165.0</v>
      </c>
      <c r="H492" s="1" t="s">
        <v>52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53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54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56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57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f t="shared" si="1"/>
        <v>165</v>
      </c>
      <c r="AM492" s="1">
        <v>165.0</v>
      </c>
      <c r="AN492" s="1">
        <v>177.0</v>
      </c>
      <c r="AO492" s="1">
        <v>165.0</v>
      </c>
      <c r="AP492" s="2">
        <v>11.0</v>
      </c>
      <c r="AQ492" s="1">
        <v>0.0</v>
      </c>
      <c r="AR492" s="1">
        <v>0.0</v>
      </c>
      <c r="AS492" s="1" t="s">
        <v>2651</v>
      </c>
      <c r="AT492" s="3" t="str">
        <f>HYPERLINK("https://icf.clappia.com/app/GMB253374/submission/HDY61207697/ICF247370-GMB253374-11ja04i36lm3o0000000/SIG-20250702_131414ka35.jpeg", "SIG-20250702_131414ka35.jpeg")</f>
        <v>SIG-20250702_131414ka35.jpeg</v>
      </c>
      <c r="AU492" s="1" t="s">
        <v>2652</v>
      </c>
      <c r="AV492" s="3" t="str">
        <f>HYPERLINK("https://icf.clappia.com/app/GMB253374/submission/HDY61207697/ICF247370-GMB253374-3lij2cbk6p0g00000000/SIG-20250702_1315blp58.jpeg", "SIG-20250702_1315blp58.jpeg")</f>
        <v>SIG-20250702_1315blp58.jpeg</v>
      </c>
      <c r="AW492" s="1" t="s">
        <v>2653</v>
      </c>
      <c r="AX492" s="3" t="str">
        <f>HYPERLINK("https://icf.clappia.com/app/GMB253374/submission/HDY61207697/ICF247370-GMB253374-3ld85hl8m2ig00000000/SIG-20250702_1316pad47.jpeg", "SIG-20250702_1316pad47.jpeg")</f>
        <v>SIG-20250702_1316pad47.jpeg</v>
      </c>
      <c r="AY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2654</v>
      </c>
      <c r="B493" s="2" t="s">
        <v>47</v>
      </c>
      <c r="C493" s="1" t="s">
        <v>2655</v>
      </c>
      <c r="D493" s="1" t="s">
        <v>2655</v>
      </c>
      <c r="E493" s="1" t="s">
        <v>2656</v>
      </c>
      <c r="F493" s="1" t="s">
        <v>51</v>
      </c>
      <c r="G493" s="1">
        <v>400.0</v>
      </c>
      <c r="H493" s="1" t="s">
        <v>52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53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54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56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57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f t="shared" si="1"/>
        <v>440</v>
      </c>
      <c r="AM493" s="1">
        <v>400.0</v>
      </c>
      <c r="AN493" s="1">
        <v>412.0</v>
      </c>
      <c r="AO493" s="1">
        <v>386.0</v>
      </c>
      <c r="AP493" s="2">
        <v>11.0</v>
      </c>
      <c r="AQ493" s="1">
        <v>14.0</v>
      </c>
      <c r="AR493" s="1">
        <v>14.0</v>
      </c>
      <c r="AS493" s="1" t="s">
        <v>2657</v>
      </c>
      <c r="AT493" s="3" t="str">
        <f>HYPERLINK("https://icf.clappia.com/app/GMB253374/submission/JTG28256347/ICF247370-GMB253374-5ncagk6h0me400000000/SIG-20250702_144717o37h.jpeg", "SIG-20250702_144717o37h.jpeg")</f>
        <v>SIG-20250702_144717o37h.jpeg</v>
      </c>
      <c r="AU493" s="1" t="s">
        <v>2658</v>
      </c>
      <c r="AV493" s="3" t="str">
        <f>HYPERLINK("https://icf.clappia.com/app/GMB253374/submission/JTG28256347/ICF247370-GMB253374-3f9medm78ego00000000/SIG-20250702_14468gh8i.jpeg", "SIG-20250702_14468gh8i.jpeg")</f>
        <v>SIG-20250702_14468gh8i.jpeg</v>
      </c>
      <c r="AW493" s="1" t="s">
        <v>2659</v>
      </c>
      <c r="AX493" s="3" t="str">
        <f>HYPERLINK("https://icf.clappia.com/app/GMB253374/submission/JTG28256347/ICF247370-GMB253374-2b22n7m871cc00000000/SIG-20250702_1446flid1.jpeg", "SIG-20250702_1446flid1.jpeg")</f>
        <v>SIG-20250702_1446flid1.jpeg</v>
      </c>
      <c r="AY493" s="3" t="str">
        <f>HYPERLINK("https://www.google.com/maps/place/7.9620402%2C-11.743445", "7.9620402,-11.743445")</f>
        <v>7.9620402,-11.743445</v>
      </c>
    </row>
    <row r="494" ht="15.75" customHeight="1">
      <c r="A494" s="1" t="s">
        <v>2660</v>
      </c>
      <c r="B494" s="2" t="s">
        <v>47</v>
      </c>
      <c r="C494" s="1" t="s">
        <v>2661</v>
      </c>
      <c r="D494" s="1" t="s">
        <v>2661</v>
      </c>
      <c r="E494" s="1" t="s">
        <v>2662</v>
      </c>
      <c r="F494" s="1" t="s">
        <v>51</v>
      </c>
      <c r="G494" s="1">
        <v>224.0</v>
      </c>
      <c r="H494" s="1" t="s">
        <v>52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53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54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56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57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f t="shared" si="1"/>
        <v>224</v>
      </c>
      <c r="AM494" s="1">
        <v>224.0</v>
      </c>
      <c r="AN494" s="1">
        <v>236.0</v>
      </c>
      <c r="AO494" s="1">
        <v>214.0</v>
      </c>
      <c r="AP494" s="2">
        <v>11.0</v>
      </c>
      <c r="AQ494" s="1">
        <v>10.0</v>
      </c>
      <c r="AR494" s="1">
        <v>10.0</v>
      </c>
      <c r="AS494" s="1" t="s">
        <v>2663</v>
      </c>
      <c r="AT494" s="3" t="str">
        <f>HYPERLINK("https://icf.clappia.com/app/GMB253374/submission/CIR41920135/ICF247370-GMB253374-4nhe88ch72mc000000/SIG-20250702_1448jc8mo.jpeg", "SIG-20250702_1448jc8mo.jpeg")</f>
        <v>SIG-20250702_1448jc8mo.jpeg</v>
      </c>
      <c r="AU494" s="1" t="s">
        <v>2664</v>
      </c>
      <c r="AV494" s="3" t="str">
        <f>HYPERLINK("https://icf.clappia.com/app/GMB253374/submission/CIR41920135/ICF247370-GMB253374-49j9j0ap21gk00000000/SIG-20250702_14481di8e.jpeg", "SIG-20250702_14481di8e.jpeg")</f>
        <v>SIG-20250702_14481di8e.jpeg</v>
      </c>
      <c r="AW494" s="1" t="s">
        <v>2665</v>
      </c>
      <c r="AX494" s="3" t="str">
        <f>HYPERLINK("https://icf.clappia.com/app/GMB253374/submission/CIR41920135/ICF247370-GMB253374-3beaoj8hc5hg00000000/SIG-20250702_14491moch.jpeg", "SIG-20250702_14491moch.jpeg")</f>
        <v>SIG-20250702_14491moch.jpeg</v>
      </c>
      <c r="AY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2666</v>
      </c>
      <c r="B495" s="2" t="s">
        <v>47</v>
      </c>
      <c r="C495" s="1" t="s">
        <v>2667</v>
      </c>
      <c r="D495" s="1" t="s">
        <v>2667</v>
      </c>
      <c r="E495" s="1" t="s">
        <v>2668</v>
      </c>
      <c r="F495" s="1" t="s">
        <v>51</v>
      </c>
      <c r="G495" s="1">
        <v>155.0</v>
      </c>
      <c r="H495" s="1" t="s">
        <v>52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53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54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56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57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f t="shared" si="1"/>
        <v>119</v>
      </c>
      <c r="AM495" s="1">
        <v>155.0</v>
      </c>
      <c r="AN495" s="1">
        <v>167.0</v>
      </c>
      <c r="AO495" s="1">
        <v>102.0</v>
      </c>
      <c r="AP495" s="2">
        <v>11.0</v>
      </c>
      <c r="AQ495" s="1">
        <v>53.0</v>
      </c>
      <c r="AR495" s="1">
        <v>53.0</v>
      </c>
      <c r="AS495" s="1" t="s">
        <v>1810</v>
      </c>
      <c r="AT495" s="3" t="str">
        <f>HYPERLINK("https://icf.clappia.com/app/GMB253374/submission/HKV63821111/ICF247370-GMB253374-3519hfl938lc00000000/SIG-20250702_144014dn4f.jpeg", "SIG-20250702_144014dn4f.jpeg")</f>
        <v>SIG-20250702_144014dn4f.jpeg</v>
      </c>
      <c r="AU495" s="1" t="s">
        <v>1811</v>
      </c>
      <c r="AV495" s="3" t="str">
        <f>HYPERLINK("https://icf.clappia.com/app/GMB253374/submission/HKV63821111/ICF247370-GMB253374-1ib0gcp9n3j7m0000000/SIG-20250702_14442g37c.jpeg", "SIG-20250702_14442g37c.jpeg")</f>
        <v>SIG-20250702_14442g37c.jpeg</v>
      </c>
      <c r="AW495" s="1" t="s">
        <v>1812</v>
      </c>
      <c r="AX495" s="3" t="str">
        <f>HYPERLINK("https://icf.clappia.com/app/GMB253374/submission/HKV63821111/ICF247370-GMB253374-6b5o264popm600000000/SIG-20250702_1444ko9k7.jpeg", "SIG-20250702_1444ko9k7.jpeg")</f>
        <v>SIG-20250702_1444ko9k7.jpeg</v>
      </c>
      <c r="AY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2669</v>
      </c>
      <c r="B496" s="2" t="s">
        <v>47</v>
      </c>
      <c r="C496" s="1" t="s">
        <v>2670</v>
      </c>
      <c r="D496" s="1" t="s">
        <v>2670</v>
      </c>
      <c r="E496" s="1" t="s">
        <v>2671</v>
      </c>
      <c r="F496" s="1" t="s">
        <v>51</v>
      </c>
      <c r="G496" s="1">
        <v>191.0</v>
      </c>
      <c r="H496" s="1" t="s">
        <v>52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53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54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56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57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f t="shared" si="1"/>
        <v>191</v>
      </c>
      <c r="AM496" s="1">
        <v>191.0</v>
      </c>
      <c r="AN496" s="1">
        <v>203.0</v>
      </c>
      <c r="AO496" s="1">
        <v>191.0</v>
      </c>
      <c r="AP496" s="2">
        <v>11.0</v>
      </c>
      <c r="AQ496" s="1">
        <v>0.0</v>
      </c>
      <c r="AR496" s="1">
        <v>0.0</v>
      </c>
      <c r="AS496" s="1" t="s">
        <v>1103</v>
      </c>
      <c r="AT496" s="3" t="str">
        <f>HYPERLINK("https://icf.clappia.com/app/GMB253374/submission/UTR92654469/ICF247370-GMB253374-ggljcja775p20000000/SIG-20250702_1326k1b6a.jpeg", "SIG-20250702_1326k1b6a.jpeg")</f>
        <v>SIG-20250702_1326k1b6a.jpeg</v>
      </c>
      <c r="AU496" s="1" t="s">
        <v>2672</v>
      </c>
      <c r="AV496" s="3" t="str">
        <f>HYPERLINK("https://icf.clappia.com/app/GMB253374/submission/UTR92654469/ICF247370-GMB253374-243l36eea55oe0000000/SIG-20250702_1338o37l4.jpeg", "SIG-20250702_1338o37l4.jpeg")</f>
        <v>SIG-20250702_1338o37l4.jpeg</v>
      </c>
      <c r="AW496" s="1" t="s">
        <v>1105</v>
      </c>
      <c r="AX496" s="3" t="str">
        <f>HYPERLINK("https://icf.clappia.com/app/GMB253374/submission/UTR92654469/ICF247370-GMB253374-18l17k1011o5m0000000/SIG-20250702_1330l14c2.jpeg", "SIG-20250702_1330l14c2.jpeg")</f>
        <v>SIG-20250702_1330l14c2.jpeg</v>
      </c>
      <c r="AY496" s="3" t="str">
        <f>HYPERLINK("https://www.google.com/maps/place/7.97302%2C-11.7461317", "7.97302,-11.7461317")</f>
        <v>7.97302,-11.7461317</v>
      </c>
    </row>
    <row r="497" ht="15.75" customHeight="1">
      <c r="A497" s="1" t="s">
        <v>2673</v>
      </c>
      <c r="B497" s="2" t="s">
        <v>47</v>
      </c>
      <c r="C497" s="1" t="s">
        <v>2674</v>
      </c>
      <c r="D497" s="1" t="s">
        <v>2674</v>
      </c>
      <c r="E497" s="1" t="s">
        <v>2675</v>
      </c>
      <c r="F497" s="1" t="s">
        <v>51</v>
      </c>
      <c r="G497" s="1">
        <v>200.0</v>
      </c>
      <c r="H497" s="1" t="s">
        <v>52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53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54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56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57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f t="shared" si="1"/>
        <v>150</v>
      </c>
      <c r="AM497" s="1">
        <v>200.0</v>
      </c>
      <c r="AN497" s="1">
        <v>212.0</v>
      </c>
      <c r="AO497" s="1">
        <v>150.0</v>
      </c>
      <c r="AP497" s="2">
        <v>11.0</v>
      </c>
      <c r="AQ497" s="1">
        <v>50.0</v>
      </c>
      <c r="AR497" s="1">
        <v>50.0</v>
      </c>
      <c r="AS497" s="1" t="s">
        <v>2676</v>
      </c>
      <c r="AT497" s="3" t="str">
        <f>HYPERLINK("https://icf.clappia.com/app/GMB253374/submission/WRG87630314/ICF247370-GMB253374-4pplm3adndem00000000/SIG-20250701_1535hl8bn.jpeg", "SIG-20250701_1535hl8bn.jpeg")</f>
        <v>SIG-20250701_1535hl8bn.jpeg</v>
      </c>
      <c r="AU497" s="1" t="s">
        <v>2677</v>
      </c>
      <c r="AV497" s="3" t="str">
        <f>HYPERLINK("https://icf.clappia.com/app/GMB253374/submission/WRG87630314/ICF247370-GMB253374-3117pbmdh31600000000/SIG-20250701_15366f6c7.jpeg", "SIG-20250701_15366f6c7.jpeg")</f>
        <v>SIG-20250701_15366f6c7.jpeg</v>
      </c>
      <c r="AW497" s="1" t="s">
        <v>2678</v>
      </c>
      <c r="AX497" s="3" t="str">
        <f>HYPERLINK("https://icf.clappia.com/app/GMB253374/submission/WRG87630314/ICF247370-GMB253374-6636lm1c071i00000000/SIG-20250701_1536aak2.jpeg", "SIG-20250701_1536aak2.jpeg")</f>
        <v>SIG-20250701_1536aak2.jpeg</v>
      </c>
      <c r="AY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2679</v>
      </c>
      <c r="B498" s="2" t="s">
        <v>47</v>
      </c>
      <c r="C498" s="1" t="s">
        <v>2680</v>
      </c>
      <c r="D498" s="1" t="s">
        <v>2681</v>
      </c>
      <c r="E498" s="1" t="s">
        <v>2682</v>
      </c>
      <c r="F498" s="1" t="s">
        <v>51</v>
      </c>
      <c r="G498" s="1">
        <v>164.0</v>
      </c>
      <c r="H498" s="1" t="s">
        <v>52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53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54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56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57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f t="shared" si="1"/>
        <v>164</v>
      </c>
      <c r="AM498" s="1">
        <v>164.0</v>
      </c>
      <c r="AN498" s="1">
        <v>176.0</v>
      </c>
      <c r="AO498" s="1">
        <v>160.0</v>
      </c>
      <c r="AP498" s="2">
        <v>11.0</v>
      </c>
      <c r="AQ498" s="1">
        <v>4.0</v>
      </c>
      <c r="AR498" s="1">
        <v>4.0</v>
      </c>
      <c r="AS498" s="1" t="s">
        <v>553</v>
      </c>
      <c r="AT498" s="3" t="str">
        <f>HYPERLINK("https://icf.clappia.com/app/GMB253374/submission/ANY80865210/ICF247370-GMB253374-28ilnbd6kh9o4000000/SIG-20250702_1008h0c7k.jpeg", "SIG-20250702_1008h0c7k.jpeg")</f>
        <v>SIG-20250702_1008h0c7k.jpeg</v>
      </c>
      <c r="AU498" s="1" t="s">
        <v>554</v>
      </c>
      <c r="AV498" s="3" t="str">
        <f>HYPERLINK("https://icf.clappia.com/app/GMB253374/submission/ANY80865210/ICF247370-GMB253374-3e521ellkbog00000000/SIG-20250702_1008m37mi.jpeg", "SIG-20250702_1008m37mi.jpeg")</f>
        <v>SIG-20250702_1008m37mi.jpeg</v>
      </c>
      <c r="AW498" s="1" t="s">
        <v>555</v>
      </c>
      <c r="AX498" s="3" t="str">
        <f>HYPERLINK("https://icf.clappia.com/app/GMB253374/submission/ANY80865210/ICF247370-GMB253374-52d5j3gmi28o00000000/SIG-20250702_1009150fal.jpeg", "SIG-20250702_1009150fal.jpeg")</f>
        <v>SIG-20250702_1009150fal.jpeg</v>
      </c>
      <c r="AY498" s="3" t="str">
        <f>HYPERLINK("https://www.google.com/maps/place/7.7270917%2C-11.63643", "7.7270917,-11.63643")</f>
        <v>7.7270917,-11.63643</v>
      </c>
    </row>
    <row r="499" ht="15.75" customHeight="1">
      <c r="A499" s="1" t="s">
        <v>2683</v>
      </c>
      <c r="B499" s="2" t="s">
        <v>47</v>
      </c>
      <c r="C499" s="1" t="s">
        <v>2684</v>
      </c>
      <c r="D499" s="1" t="s">
        <v>2685</v>
      </c>
      <c r="E499" s="1" t="s">
        <v>2686</v>
      </c>
      <c r="F499" s="1" t="s">
        <v>51</v>
      </c>
      <c r="G499" s="1">
        <v>257.0</v>
      </c>
      <c r="H499" s="1" t="s">
        <v>52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53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54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56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57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f t="shared" si="1"/>
        <v>257</v>
      </c>
      <c r="AM499" s="1">
        <v>257.0</v>
      </c>
      <c r="AN499" s="1">
        <v>269.0</v>
      </c>
      <c r="AO499" s="1">
        <v>251.0</v>
      </c>
      <c r="AP499" s="2">
        <v>11.0</v>
      </c>
      <c r="AQ499" s="1">
        <v>6.0</v>
      </c>
      <c r="AR499" s="1">
        <v>6.0</v>
      </c>
      <c r="AS499" s="1" t="s">
        <v>553</v>
      </c>
      <c r="AT499" s="3" t="str">
        <f>HYPERLINK("https://icf.clappia.com/app/GMB253374/submission/VJN42739522/ICF247370-GMB253374-3ga1fe3jk8je00000000/SIG-20250701_194755off.jpeg", "SIG-20250701_194755off.jpeg")</f>
        <v>SIG-20250701_194755off.jpeg</v>
      </c>
      <c r="AU499" s="1" t="s">
        <v>554</v>
      </c>
      <c r="AV499" s="3" t="str">
        <f>HYPERLINK("https://icf.clappia.com/app/GMB253374/submission/VJN42739522/ICF247370-GMB253374-51f17e87f92200000000/SIG-20250701_1947nchlp.jpeg", "SIG-20250701_1947nchlp.jpeg")</f>
        <v>SIG-20250701_1947nchlp.jpeg</v>
      </c>
      <c r="AW499" s="1" t="s">
        <v>555</v>
      </c>
      <c r="AX499" s="3" t="str">
        <f>HYPERLINK("https://icf.clappia.com/app/GMB253374/submission/VJN42739522/ICF247370-GMB253374-4bgk215ho5fk00000000/SIG-20250701_1948179i5p.jpeg", "SIG-20250701_1948179i5p.jpeg")</f>
        <v>SIG-20250701_1948179i5p.jpeg</v>
      </c>
      <c r="AY499" s="3" t="str">
        <f>HYPERLINK("https://www.google.com/maps/place/7.7490983%2C-11.61335", "7.7490983,-11.61335")</f>
        <v>7.7490983,-11.61335</v>
      </c>
    </row>
    <row r="500" ht="15.75" customHeight="1">
      <c r="A500" s="1" t="s">
        <v>2687</v>
      </c>
      <c r="B500" s="2" t="s">
        <v>47</v>
      </c>
      <c r="C500" s="1" t="s">
        <v>2688</v>
      </c>
      <c r="D500" s="1" t="s">
        <v>2685</v>
      </c>
      <c r="E500" s="1" t="s">
        <v>2689</v>
      </c>
      <c r="F500" s="1" t="s">
        <v>51</v>
      </c>
      <c r="G500" s="1">
        <v>48.0</v>
      </c>
      <c r="H500" s="1" t="s">
        <v>52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53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54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56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57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f t="shared" si="1"/>
        <v>48</v>
      </c>
      <c r="AM500" s="1">
        <v>48.0</v>
      </c>
      <c r="AN500" s="1">
        <v>60.0</v>
      </c>
      <c r="AO500" s="1">
        <v>48.0</v>
      </c>
      <c r="AP500" s="2">
        <v>11.0</v>
      </c>
      <c r="AQ500" s="1">
        <v>0.0</v>
      </c>
      <c r="AR500" s="1">
        <v>0.0</v>
      </c>
      <c r="AS500" s="1" t="s">
        <v>553</v>
      </c>
      <c r="AT500" s="3" t="str">
        <f>HYPERLINK("https://icf.clappia.com/app/GMB253374/submission/AXJ78647257/ICF247370-GMB253374-329m98n061l000000000/SIG-20250701_192014lo3j.jpeg", "SIG-20250701_192014lo3j.jpeg")</f>
        <v>SIG-20250701_192014lo3j.jpeg</v>
      </c>
      <c r="AU500" s="1" t="s">
        <v>554</v>
      </c>
      <c r="AV500" s="3" t="str">
        <f>HYPERLINK("https://icf.clappia.com/app/GMB253374/submission/AXJ78647257/ICF247370-GMB253374-8amgd3ohafpa0000000/SIG-20250701_19213gkf5.jpeg", "SIG-20250701_19213gkf5.jpeg")</f>
        <v>SIG-20250701_19213gkf5.jpeg</v>
      </c>
      <c r="AW500" s="1" t="s">
        <v>555</v>
      </c>
      <c r="AX500" s="3" t="str">
        <f>HYPERLINK("https://icf.clappia.com/app/GMB253374/submission/AXJ78647257/ICF247370-GMB253374-3aoc8b9ac9gg00000000/SIG-20250701_1923424hi.jpeg", "SIG-20250701_1923424hi.jpeg")</f>
        <v>SIG-20250701_1923424hi.jpeg</v>
      </c>
      <c r="AY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2690</v>
      </c>
      <c r="B501" s="2" t="s">
        <v>47</v>
      </c>
      <c r="C501" s="1" t="s">
        <v>2691</v>
      </c>
      <c r="D501" s="1" t="s">
        <v>2691</v>
      </c>
      <c r="E501" s="1" t="s">
        <v>2692</v>
      </c>
      <c r="F501" s="1" t="s">
        <v>51</v>
      </c>
      <c r="G501" s="1">
        <v>300.0</v>
      </c>
      <c r="H501" s="1" t="s">
        <v>52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53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54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56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57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f t="shared" si="1"/>
        <v>247</v>
      </c>
      <c r="AM501" s="1">
        <v>300.0</v>
      </c>
      <c r="AN501" s="1">
        <v>312.0</v>
      </c>
      <c r="AO501" s="1">
        <v>241.0</v>
      </c>
      <c r="AP501" s="2">
        <v>11.0</v>
      </c>
      <c r="AQ501" s="1">
        <v>59.0</v>
      </c>
      <c r="AR501" s="1">
        <v>59.0</v>
      </c>
      <c r="AS501" s="1" t="s">
        <v>2693</v>
      </c>
      <c r="AT501" s="3" t="str">
        <f>HYPERLINK("https://icf.clappia.com/app/GMB253374/submission/UMN50508415/ICF247370-GMB253374-5292difdm8mk00000000/SIG-20250702_141919af6h.jpeg", "SIG-20250702_141919af6h.jpeg")</f>
        <v>SIG-20250702_141919af6h.jpeg</v>
      </c>
      <c r="AU501" s="1" t="s">
        <v>2694</v>
      </c>
      <c r="AV501" s="3" t="str">
        <f>HYPERLINK("https://icf.clappia.com/app/GMB253374/submission/UMN50508415/ICF247370-GMB253374-4a39lgdeglpg00000000/SIG-20250702_1419fihdn.jpeg", "SIG-20250702_1419fihdn.jpeg")</f>
        <v>SIG-20250702_1419fihdn.jpeg</v>
      </c>
      <c r="AW501" s="1" t="s">
        <v>2695</v>
      </c>
      <c r="AX501" s="3" t="str">
        <f>HYPERLINK("https://icf.clappia.com/app/GMB253374/submission/UMN50508415/ICF247370-GMB253374-ka1inacfp0i40000000/SIG-20250702_1424bd5pi.jpeg", "SIG-20250702_1424bd5pi.jpeg")</f>
        <v>SIG-20250702_1424bd5pi.jpeg</v>
      </c>
      <c r="AY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2696</v>
      </c>
      <c r="B502" s="2" t="s">
        <v>47</v>
      </c>
      <c r="C502" s="1" t="s">
        <v>2697</v>
      </c>
      <c r="D502" s="1" t="s">
        <v>2697</v>
      </c>
      <c r="E502" s="2" t="s">
        <v>2698</v>
      </c>
      <c r="F502" s="1" t="s">
        <v>51</v>
      </c>
      <c r="G502" s="1">
        <v>76.0</v>
      </c>
      <c r="H502" s="1" t="s">
        <v>52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53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54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56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57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f t="shared" si="1"/>
        <v>66</v>
      </c>
      <c r="AM502" s="1">
        <v>76.0</v>
      </c>
      <c r="AN502" s="1">
        <v>88.0</v>
      </c>
      <c r="AO502" s="1">
        <v>66.0</v>
      </c>
      <c r="AP502" s="2">
        <v>11.0</v>
      </c>
      <c r="AQ502" s="1">
        <v>10.0</v>
      </c>
      <c r="AR502" s="1">
        <v>10.0</v>
      </c>
      <c r="AS502" s="1" t="s">
        <v>2699</v>
      </c>
      <c r="AT502" s="3" t="str">
        <f>HYPERLINK("https://icf.clappia.com/app/GMB253374/submission/AKV36811629/ICF247370-GMB253374-2cdc3ncjb9e400000000/SIG-20250702_1147koo92.jpeg", "SIG-20250702_1147koo92.jpeg")</f>
        <v>SIG-20250702_1147koo92.jpeg</v>
      </c>
      <c r="AU502" s="1" t="s">
        <v>2515</v>
      </c>
      <c r="AV502" s="3" t="str">
        <f>HYPERLINK("https://icf.clappia.com/app/GMB253374/submission/AKV36811629/ICF247370-GMB253374-475nlo00cod400000000/SIG-20250702_114610oo0d.jpeg", "SIG-20250702_114610oo0d.jpeg")</f>
        <v>SIG-20250702_114610oo0d.jpeg</v>
      </c>
      <c r="AW502" s="1" t="s">
        <v>2700</v>
      </c>
      <c r="AX502" s="3" t="str">
        <f>HYPERLINK("https://icf.clappia.com/app/GMB253374/submission/AKV36811629/ICF247370-GMB253374-61mono3a43m000000000/SIG-20250702_1130964m2.jpeg", "SIG-20250702_1130964m2.jpeg")</f>
        <v>SIG-20250702_1130964m2.jpeg</v>
      </c>
      <c r="AY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2701</v>
      </c>
      <c r="B503" s="2" t="s">
        <v>47</v>
      </c>
      <c r="C503" s="1" t="s">
        <v>2702</v>
      </c>
      <c r="D503" s="1" t="s">
        <v>2702</v>
      </c>
      <c r="E503" s="1" t="s">
        <v>2703</v>
      </c>
      <c r="F503" s="1" t="s">
        <v>51</v>
      </c>
      <c r="G503" s="1">
        <v>166.0</v>
      </c>
      <c r="H503" s="1" t="s">
        <v>52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53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54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56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57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f t="shared" si="1"/>
        <v>166</v>
      </c>
      <c r="AM503" s="1">
        <v>166.0</v>
      </c>
      <c r="AN503" s="1">
        <v>178.0</v>
      </c>
      <c r="AO503" s="1">
        <v>150.0</v>
      </c>
      <c r="AP503" s="2">
        <v>11.0</v>
      </c>
      <c r="AQ503" s="1">
        <v>16.0</v>
      </c>
      <c r="AR503" s="1">
        <v>16.0</v>
      </c>
      <c r="AS503" s="1" t="s">
        <v>2704</v>
      </c>
      <c r="AT503" s="3" t="str">
        <f>HYPERLINK("https://icf.clappia.com/app/GMB253374/submission/UZM69716980/ICF247370-GMB253374-3438c5e2298e00000000/SIG-20250702_1103180gob.jpeg", "SIG-20250702_1103180gob.jpeg")</f>
        <v>SIG-20250702_1103180gob.jpeg</v>
      </c>
      <c r="AU503" s="1" t="s">
        <v>2705</v>
      </c>
      <c r="AV503" s="3" t="str">
        <f>HYPERLINK("https://icf.clappia.com/app/GMB253374/submission/UZM69716980/ICF247370-GMB253374-1oohjdfnpbca40000000/SIG-20250702_1057o46hg.jpeg", "SIG-20250702_1057o46hg.jpeg")</f>
        <v>SIG-20250702_1057o46hg.jpeg</v>
      </c>
      <c r="AW503" s="1" t="s">
        <v>2706</v>
      </c>
      <c r="AX503" s="3" t="str">
        <f>HYPERLINK("https://icf.clappia.com/app/GMB253374/submission/UZM69716980/ICF247370-GMB253374-342o3ld3bka200000000/SIG-20250702_1130135gf5.jpeg", "SIG-20250702_1130135gf5.jpeg")</f>
        <v>SIG-20250702_1130135gf5.jpeg</v>
      </c>
      <c r="AY503" s="3" t="str">
        <f>HYPERLINK("https://www.google.com/maps/place/7.7016733%2C-11.52703", "7.7016733,-11.52703")</f>
        <v>7.7016733,-11.52703</v>
      </c>
    </row>
    <row r="504" ht="15.75" customHeight="1">
      <c r="A504" s="1" t="s">
        <v>2707</v>
      </c>
      <c r="B504" s="2" t="s">
        <v>47</v>
      </c>
      <c r="C504" s="1" t="s">
        <v>2708</v>
      </c>
      <c r="D504" s="1" t="s">
        <v>2708</v>
      </c>
      <c r="E504" s="1" t="s">
        <v>2709</v>
      </c>
      <c r="F504" s="1" t="s">
        <v>51</v>
      </c>
      <c r="G504" s="1">
        <v>342.0</v>
      </c>
      <c r="H504" s="1" t="s">
        <v>52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53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54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56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57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f t="shared" si="1"/>
        <v>342</v>
      </c>
      <c r="AM504" s="1">
        <v>342.0</v>
      </c>
      <c r="AN504" s="1">
        <v>354.0</v>
      </c>
      <c r="AO504" s="1">
        <v>332.0</v>
      </c>
      <c r="AP504" s="2">
        <v>11.0</v>
      </c>
      <c r="AQ504" s="1">
        <v>10.0</v>
      </c>
      <c r="AR504" s="1">
        <v>10.0</v>
      </c>
      <c r="AS504" s="1" t="s">
        <v>2132</v>
      </c>
      <c r="AT504" s="3" t="str">
        <f>HYPERLINK("https://icf.clappia.com/app/GMB253374/submission/XKG07830256/ICF247370-GMB253374-22k7ak363d6p60000000/SIG-20250702_1420a0p7d.jpeg", "SIG-20250702_1420a0p7d.jpeg")</f>
        <v>SIG-20250702_1420a0p7d.jpeg</v>
      </c>
      <c r="AU504" s="1" t="s">
        <v>2133</v>
      </c>
      <c r="AV504" s="3" t="str">
        <f>HYPERLINK("https://icf.clappia.com/app/GMB253374/submission/XKG07830256/ICF247370-GMB253374-3pi8chhmjd2i00000000/SIG-20250702_142110pmcc.jpeg", "SIG-20250702_142110pmcc.jpeg")</f>
        <v>SIG-20250702_142110pmcc.jpeg</v>
      </c>
      <c r="AW504" s="1" t="s">
        <v>2710</v>
      </c>
      <c r="AX504" s="3" t="str">
        <f>HYPERLINK("https://icf.clappia.com/app/GMB253374/submission/XKG07830256/ICF247370-GMB253374-2hae54k48nak0000000/SIG-20250702_14231206of.jpeg", "SIG-20250702_14231206of.jpeg")</f>
        <v>SIG-20250702_14231206of.jpeg</v>
      </c>
      <c r="AY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2711</v>
      </c>
      <c r="B505" s="2" t="s">
        <v>47</v>
      </c>
      <c r="C505" s="1" t="s">
        <v>2712</v>
      </c>
      <c r="D505" s="1" t="s">
        <v>2712</v>
      </c>
      <c r="E505" s="1" t="s">
        <v>2713</v>
      </c>
      <c r="F505" s="1" t="s">
        <v>51</v>
      </c>
      <c r="G505" s="1">
        <v>140.0</v>
      </c>
      <c r="H505" s="1" t="s">
        <v>52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53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54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56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57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f t="shared" si="1"/>
        <v>140</v>
      </c>
      <c r="AM505" s="1">
        <v>140.0</v>
      </c>
      <c r="AN505" s="1">
        <v>152.0</v>
      </c>
      <c r="AO505" s="1">
        <v>140.0</v>
      </c>
      <c r="AP505" s="2">
        <v>11.0</v>
      </c>
      <c r="AQ505" s="1">
        <v>0.0</v>
      </c>
      <c r="AR505" s="1">
        <v>0.0</v>
      </c>
      <c r="AS505" s="1" t="s">
        <v>2714</v>
      </c>
      <c r="AT505" s="3" t="str">
        <f>HYPERLINK("https://icf.clappia.com/app/GMB253374/submission/THD26904213/ICF247370-GMB253374-2eflg5nddadc00000000/SIG-20250702_141118f3c6.jpeg", "SIG-20250702_141118f3c6.jpeg")</f>
        <v>SIG-20250702_141118f3c6.jpeg</v>
      </c>
      <c r="AU505" s="1" t="s">
        <v>712</v>
      </c>
      <c r="AV505" s="3" t="str">
        <f>HYPERLINK("https://icf.clappia.com/app/GMB253374/submission/THD26904213/ICF247370-GMB253374-14epidil3j3180000000/SIG-20250702_1412177h61.jpeg", "SIG-20250702_1412177h61.jpeg")</f>
        <v>SIG-20250702_1412177h61.jpeg</v>
      </c>
      <c r="AW505" s="1" t="s">
        <v>2715</v>
      </c>
      <c r="AX505" s="3" t="str">
        <f>HYPERLINK("https://icf.clappia.com/app/GMB253374/submission/THD26904213/ICF247370-GMB253374-39d7605fhf3800000000/SIG-20250702_14131244i1.jpeg", "SIG-20250702_14131244i1.jpeg")</f>
        <v>SIG-20250702_14131244i1.jpeg</v>
      </c>
      <c r="AY505" s="3" t="str">
        <f>HYPERLINK("https://www.google.com/maps/place/8.98503%2C-12.3309117", "8.98503,-12.3309117")</f>
        <v>8.98503,-12.3309117</v>
      </c>
    </row>
    <row r="506" ht="15.75" customHeight="1">
      <c r="A506" s="1" t="s">
        <v>2716</v>
      </c>
      <c r="B506" s="2" t="s">
        <v>47</v>
      </c>
      <c r="C506" s="1" t="s">
        <v>2717</v>
      </c>
      <c r="D506" s="1" t="s">
        <v>2717</v>
      </c>
      <c r="E506" s="1" t="s">
        <v>2718</v>
      </c>
      <c r="F506" s="1" t="s">
        <v>51</v>
      </c>
      <c r="G506" s="1">
        <v>250.0</v>
      </c>
      <c r="H506" s="1" t="s">
        <v>52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53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54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56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57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f t="shared" si="1"/>
        <v>244</v>
      </c>
      <c r="AM506" s="1">
        <v>250.0</v>
      </c>
      <c r="AN506" s="1">
        <v>262.0</v>
      </c>
      <c r="AO506" s="1">
        <v>244.0</v>
      </c>
      <c r="AP506" s="2">
        <v>11.0</v>
      </c>
      <c r="AQ506" s="1">
        <v>6.0</v>
      </c>
      <c r="AR506" s="1">
        <v>6.0</v>
      </c>
      <c r="AS506" s="1" t="s">
        <v>2719</v>
      </c>
      <c r="AT506" s="3" t="str">
        <f>HYPERLINK("https://icf.clappia.com/app/GMB253374/submission/VCK96015464/ICF247370-GMB253374-61d59omh1cn600000000/SIG-20250702_141210bgfc.jpeg", "SIG-20250702_141210bgfc.jpeg")</f>
        <v>SIG-20250702_141210bgfc.jpeg</v>
      </c>
      <c r="AU506" s="1" t="s">
        <v>2720</v>
      </c>
      <c r="AV506" s="3" t="str">
        <f>HYPERLINK("https://icf.clappia.com/app/GMB253374/submission/VCK96015464/ICF247370-GMB253374-fp75hhe60hm80000000/SIG-20250702_1412dohda.jpeg", "SIG-20250702_1412dohda.jpeg")</f>
        <v>SIG-20250702_1412dohda.jpeg</v>
      </c>
      <c r="AW506" s="1" t="s">
        <v>2721</v>
      </c>
      <c r="AX506" s="3" t="str">
        <f>HYPERLINK("https://icf.clappia.com/app/GMB253374/submission/VCK96015464/ICF247370-GMB253374-k0o0m173m81m0000000/SIG-20250702_141212e735.jpeg", "SIG-20250702_141212e735.jpeg")</f>
        <v>SIG-20250702_141212e735.jpeg</v>
      </c>
      <c r="AY506" s="3" t="str">
        <f>HYPERLINK("https://www.google.com/maps/place/7.9276983%2C-11.71843", "7.9276983,-11.71843")</f>
        <v>7.9276983,-11.71843</v>
      </c>
    </row>
    <row r="507" ht="15.75" customHeight="1">
      <c r="A507" s="1" t="s">
        <v>2722</v>
      </c>
      <c r="B507" s="2" t="s">
        <v>47</v>
      </c>
      <c r="C507" s="1" t="s">
        <v>2723</v>
      </c>
      <c r="D507" s="1" t="s">
        <v>2723</v>
      </c>
      <c r="E507" s="1" t="s">
        <v>2724</v>
      </c>
      <c r="F507" s="1" t="s">
        <v>72</v>
      </c>
      <c r="G507" s="1">
        <v>220.0</v>
      </c>
      <c r="H507" s="1" t="s">
        <v>52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53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54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56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57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f t="shared" si="1"/>
        <v>220</v>
      </c>
      <c r="AM507" s="1">
        <v>220.0</v>
      </c>
      <c r="AN507" s="1">
        <v>232.0</v>
      </c>
      <c r="AO507" s="1">
        <v>220.0</v>
      </c>
      <c r="AP507" s="2">
        <v>11.0</v>
      </c>
      <c r="AQ507" s="1">
        <v>0.0</v>
      </c>
      <c r="AR507" s="1">
        <v>0.0</v>
      </c>
      <c r="AS507" s="1" t="s">
        <v>1982</v>
      </c>
      <c r="AT507" s="3" t="str">
        <f>HYPERLINK("https://icf.clappia.com/app/GMB253374/submission/ZTJ10061050/ICF247370-GMB253374-1jg75613o9l1a0000000/SIG-20250702_1333o52ol.jpeg", "SIG-20250702_1333o52ol.jpeg")</f>
        <v>SIG-20250702_1333o52ol.jpeg</v>
      </c>
      <c r="AU507" s="1" t="s">
        <v>1044</v>
      </c>
      <c r="AV507" s="3" t="str">
        <f>HYPERLINK("https://icf.clappia.com/app/GMB253374/submission/ZTJ10061050/ICF247370-GMB253374-4h9011i1fdm000000000/SIG-20250702_132716bi8i.jpeg", "SIG-20250702_132716bi8i.jpeg")</f>
        <v>SIG-20250702_132716bi8i.jpeg</v>
      </c>
      <c r="AW507" s="1" t="s">
        <v>2725</v>
      </c>
      <c r="AX507" s="3" t="str">
        <f>HYPERLINK("https://icf.clappia.com/app/GMB253374/submission/ZTJ10061050/ICF247370-GMB253374-67c8n9ah6ccm00000000/SIG-20250702_1326ioegm.jpeg", "SIG-20250702_1326ioegm.jpeg")</f>
        <v>SIG-20250702_1326ioegm.jpeg</v>
      </c>
      <c r="AY507" s="3" t="str">
        <f>HYPERLINK("https://www.google.com/maps/place/7.9746433%2C-11.74955", "7.9746433,-11.74955")</f>
        <v>7.9746433,-11.74955</v>
      </c>
    </row>
    <row r="508" ht="15.75" customHeight="1">
      <c r="A508" s="1" t="s">
        <v>2726</v>
      </c>
      <c r="B508" s="2" t="s">
        <v>47</v>
      </c>
      <c r="C508" s="1" t="s">
        <v>2727</v>
      </c>
      <c r="D508" s="1" t="s">
        <v>2727</v>
      </c>
      <c r="E508" s="2" t="s">
        <v>2728</v>
      </c>
      <c r="F508" s="1" t="s">
        <v>51</v>
      </c>
      <c r="G508" s="1">
        <v>130.0</v>
      </c>
      <c r="H508" s="1" t="s">
        <v>52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53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54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56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57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f t="shared" si="1"/>
        <v>126</v>
      </c>
      <c r="AM508" s="1">
        <v>130.0</v>
      </c>
      <c r="AN508" s="1">
        <v>142.0</v>
      </c>
      <c r="AO508" s="1">
        <v>121.0</v>
      </c>
      <c r="AP508" s="2">
        <v>11.0</v>
      </c>
      <c r="AQ508" s="1">
        <v>9.0</v>
      </c>
      <c r="AR508" s="1">
        <v>9.0</v>
      </c>
      <c r="AS508" s="1" t="s">
        <v>2729</v>
      </c>
      <c r="AT508" s="3" t="str">
        <f>HYPERLINK("https://icf.clappia.com/app/GMB253374/submission/DTR13926148/ICF247370-GMB253374-664o5li9o67i00000000/SIG-20250702_1252ppof1.jpeg", "SIG-20250702_1252ppof1.jpeg")</f>
        <v>SIG-20250702_1252ppof1.jpeg</v>
      </c>
      <c r="AU508" s="1" t="s">
        <v>2730</v>
      </c>
      <c r="AV508" s="3" t="str">
        <f>HYPERLINK("https://icf.clappia.com/app/GMB253374/submission/DTR13926148/ICF247370-GMB253374-5dj23bkb3hag00000000/SIG-20250702_1252fk6im.jpeg", "SIG-20250702_1252fk6im.jpeg")</f>
        <v>SIG-20250702_1252fk6im.jpeg</v>
      </c>
      <c r="AW508" s="1" t="s">
        <v>2731</v>
      </c>
      <c r="AX508" s="3" t="str">
        <f>HYPERLINK("https://icf.clappia.com/app/GMB253374/submission/DTR13926148/ICF247370-GMB253374-1l89do8jf5pa00000000/SIG-20250702_125312pbpl.jpeg", "SIG-20250702_125312pbpl.jpeg")</f>
        <v>SIG-20250702_125312pbpl.jpeg</v>
      </c>
      <c r="AY508" s="3" t="str">
        <f>HYPERLINK("https://www.google.com/maps/place/8.8725973%2C-12.073376", "8.8725973,-12.073376")</f>
        <v>8.8725973,-12.073376</v>
      </c>
    </row>
    <row r="509" ht="15.75" customHeight="1">
      <c r="A509" s="1" t="s">
        <v>2732</v>
      </c>
      <c r="B509" s="2" t="s">
        <v>47</v>
      </c>
      <c r="C509" s="1" t="s">
        <v>2733</v>
      </c>
      <c r="D509" s="1" t="s">
        <v>2733</v>
      </c>
      <c r="E509" s="1" t="s">
        <v>2734</v>
      </c>
      <c r="F509" s="1" t="s">
        <v>51</v>
      </c>
      <c r="G509" s="1">
        <v>223.0</v>
      </c>
      <c r="H509" s="1" t="s">
        <v>52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53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54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56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57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f t="shared" si="1"/>
        <v>214</v>
      </c>
      <c r="AM509" s="1">
        <v>223.0</v>
      </c>
      <c r="AN509" s="1">
        <v>235.0</v>
      </c>
      <c r="AO509" s="1">
        <v>89.0</v>
      </c>
      <c r="AP509" s="2">
        <v>11.0</v>
      </c>
      <c r="AQ509" s="1">
        <v>134.0</v>
      </c>
      <c r="AR509" s="1">
        <v>134.0</v>
      </c>
      <c r="AS509" s="1" t="s">
        <v>2735</v>
      </c>
      <c r="AT509" s="3" t="str">
        <f>HYPERLINK("https://icf.clappia.com/app/GMB253374/submission/ZNJ04023015/ICF247370-GMB253374-4ceibdk73k0g0000000/SIG-20250702_14052lg4n.jpeg", "SIG-20250702_14052lg4n.jpeg")</f>
        <v>SIG-20250702_14052lg4n.jpeg</v>
      </c>
      <c r="AU509" s="1" t="s">
        <v>621</v>
      </c>
      <c r="AV509" s="3" t="str">
        <f>HYPERLINK("https://icf.clappia.com/app/GMB253374/submission/ZNJ04023015/ICF247370-GMB253374-4fgfbf366og600000000/SIG-20250702_1405e96oj.jpeg", "SIG-20250702_1405e96oj.jpeg")</f>
        <v>SIG-20250702_1405e96oj.jpeg</v>
      </c>
      <c r="AW509" s="1" t="s">
        <v>622</v>
      </c>
      <c r="AX509" s="3" t="str">
        <f>HYPERLINK("https://icf.clappia.com/app/GMB253374/submission/ZNJ04023015/ICF247370-GMB253374-dbg508a5locg0000000/SIG-20250702_140615nm6b.jpeg", "SIG-20250702_140615nm6b.jpeg")</f>
        <v>SIG-20250702_140615nm6b.jpeg</v>
      </c>
      <c r="AY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2736</v>
      </c>
      <c r="B510" s="2" t="s">
        <v>47</v>
      </c>
      <c r="C510" s="1" t="s">
        <v>2737</v>
      </c>
      <c r="D510" s="1" t="s">
        <v>2738</v>
      </c>
      <c r="E510" s="1" t="s">
        <v>2739</v>
      </c>
      <c r="F510" s="1" t="s">
        <v>51</v>
      </c>
      <c r="G510" s="1">
        <v>145.0</v>
      </c>
      <c r="H510" s="1" t="s">
        <v>52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53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54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56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57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f t="shared" si="1"/>
        <v>142</v>
      </c>
      <c r="AM510" s="1">
        <v>145.0</v>
      </c>
      <c r="AN510" s="1">
        <v>157.0</v>
      </c>
      <c r="AO510" s="1">
        <v>140.0</v>
      </c>
      <c r="AP510" s="2">
        <v>11.0</v>
      </c>
      <c r="AQ510" s="1">
        <v>5.0</v>
      </c>
      <c r="AR510" s="1">
        <v>5.0</v>
      </c>
      <c r="AS510" s="1" t="s">
        <v>1822</v>
      </c>
      <c r="AT510" s="3" t="str">
        <f>HYPERLINK("https://icf.clappia.com/app/GMB253374/submission/RQJ68746557/ICF247370-GMB253374-k47ilmfl8kmk0000000/SIG-20250630_1213551hn.jpeg", "SIG-20250630_1213551hn.jpeg")</f>
        <v>SIG-20250630_1213551hn.jpeg</v>
      </c>
      <c r="AU510" s="1" t="s">
        <v>2740</v>
      </c>
      <c r="AV510" s="3" t="str">
        <f>HYPERLINK("https://icf.clappia.com/app/GMB253374/submission/RQJ68746557/ICF247370-GMB253374-1d8fg2ck45cik0000000/SIG-20250630_12131f6ke.jpeg", "SIG-20250630_12131f6ke.jpeg")</f>
        <v>SIG-20250630_12131f6ke.jpeg</v>
      </c>
      <c r="AW510" s="1" t="s">
        <v>2741</v>
      </c>
      <c r="AX510" s="3" t="str">
        <f>HYPERLINK("https://icf.clappia.com/app/GMB253374/submission/RQJ68746557/ICF247370-GMB253374-1660ba8e72fl20000000/SIG-20250630_1151188i72.jpeg", "SIG-20250630_1151188i72.jpeg")</f>
        <v>SIG-20250630_1151188i72.jpeg</v>
      </c>
      <c r="AY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2742</v>
      </c>
      <c r="B511" s="2" t="s">
        <v>47</v>
      </c>
      <c r="C511" s="1" t="s">
        <v>2738</v>
      </c>
      <c r="D511" s="1" t="s">
        <v>2738</v>
      </c>
      <c r="E511" s="1" t="s">
        <v>2743</v>
      </c>
      <c r="F511" s="1" t="s">
        <v>51</v>
      </c>
      <c r="G511" s="1">
        <v>194.0</v>
      </c>
      <c r="H511" s="1" t="s">
        <v>52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53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54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56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57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f t="shared" si="1"/>
        <v>194</v>
      </c>
      <c r="AM511" s="1">
        <v>194.0</v>
      </c>
      <c r="AN511" s="1">
        <v>206.0</v>
      </c>
      <c r="AO511" s="1">
        <v>194.0</v>
      </c>
      <c r="AP511" s="2">
        <v>11.0</v>
      </c>
      <c r="AQ511" s="1">
        <v>0.0</v>
      </c>
      <c r="AR511" s="1">
        <v>0.0</v>
      </c>
      <c r="AS511" s="1" t="s">
        <v>2744</v>
      </c>
      <c r="AT511" s="3" t="str">
        <f>HYPERLINK("https://icf.clappia.com/app/GMB253374/submission/FUX28535228/ICF247370-GMB253374-33fjj9i8i1ac00000000/SIG-20250702_14053gkl7.jpeg", "SIG-20250702_14053gkl7.jpeg")</f>
        <v>SIG-20250702_14053gkl7.jpeg</v>
      </c>
      <c r="AU511" s="1" t="s">
        <v>2745</v>
      </c>
      <c r="AV511" s="3" t="str">
        <f>HYPERLINK("https://icf.clappia.com/app/GMB253374/submission/FUX28535228/ICF247370-GMB253374-3kbjkff2gjik00000000/SIG-20250702_1406139oa4.jpeg", "SIG-20250702_1406139oa4.jpeg")</f>
        <v>SIG-20250702_1406139oa4.jpeg</v>
      </c>
      <c r="AW511" s="1" t="s">
        <v>2746</v>
      </c>
      <c r="AX511" s="3" t="str">
        <f>HYPERLINK("https://icf.clappia.com/app/GMB253374/submission/FUX28535228/ICF247370-GMB253374-88noi2iofb8k0000000/SIG-20250702_1406164efe.jpeg", "SIG-20250702_1406164efe.jpeg")</f>
        <v>SIG-20250702_1406164efe.jpeg</v>
      </c>
      <c r="AY511" s="3" t="str">
        <f>HYPERLINK("https://www.google.com/maps/place/7.6542379%2C-11.89158", "7.6542379,-11.89158")</f>
        <v>7.6542379,-11.89158</v>
      </c>
    </row>
    <row r="512" ht="15.75" customHeight="1">
      <c r="A512" s="1" t="s">
        <v>2747</v>
      </c>
      <c r="B512" s="2" t="s">
        <v>47</v>
      </c>
      <c r="C512" s="1" t="s">
        <v>2748</v>
      </c>
      <c r="D512" s="1" t="s">
        <v>2748</v>
      </c>
      <c r="E512" s="1" t="s">
        <v>2749</v>
      </c>
      <c r="F512" s="1" t="s">
        <v>51</v>
      </c>
      <c r="G512" s="1">
        <v>350.0</v>
      </c>
      <c r="H512" s="1" t="s">
        <v>52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53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54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56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57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f t="shared" si="1"/>
        <v>331</v>
      </c>
      <c r="AM512" s="1">
        <v>350.0</v>
      </c>
      <c r="AN512" s="1">
        <v>362.0</v>
      </c>
      <c r="AO512" s="1">
        <v>331.0</v>
      </c>
      <c r="AP512" s="2">
        <v>11.0</v>
      </c>
      <c r="AQ512" s="1">
        <v>19.0</v>
      </c>
      <c r="AR512" s="1">
        <v>19.0</v>
      </c>
      <c r="AS512" s="1" t="s">
        <v>2750</v>
      </c>
      <c r="AT512" s="3" t="str">
        <f>HYPERLINK("https://icf.clappia.com/app/GMB253374/submission/HHR16603828/ICF247370-GMB253374-22kmjjbi11n920000000/SIG-20250702_132019j94p.jpeg", "SIG-20250702_132019j94p.jpeg")</f>
        <v>SIG-20250702_132019j94p.jpeg</v>
      </c>
      <c r="AU512" s="1" t="s">
        <v>2751</v>
      </c>
      <c r="AV512" s="3" t="str">
        <f>HYPERLINK("https://icf.clappia.com/app/GMB253374/submission/HHR16603828/ICF247370-GMB253374-6840o6l79hog00000000/SIG-20250702_131520ome.jpeg", "SIG-20250702_131520ome.jpeg")</f>
        <v>SIG-20250702_131520ome.jpeg</v>
      </c>
      <c r="AW512" s="1" t="s">
        <v>2752</v>
      </c>
      <c r="AX512" s="3" t="str">
        <f>HYPERLINK("https://icf.clappia.com/app/GMB253374/submission/HHR16603828/ICF247370-GMB253374-709j828o1pc80000000/SIG-20250702_1316obpf1.jpeg", "SIG-20250702_1316obpf1.jpeg")</f>
        <v>SIG-20250702_1316obpf1.jpeg</v>
      </c>
      <c r="AY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2753</v>
      </c>
      <c r="B513" s="2" t="s">
        <v>47</v>
      </c>
      <c r="C513" s="1" t="s">
        <v>2754</v>
      </c>
      <c r="D513" s="1" t="s">
        <v>2754</v>
      </c>
      <c r="E513" s="1" t="s">
        <v>2755</v>
      </c>
      <c r="F513" s="1" t="s">
        <v>51</v>
      </c>
      <c r="G513" s="1">
        <v>210.0</v>
      </c>
      <c r="H513" s="1" t="s">
        <v>52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53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54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56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57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f t="shared" si="1"/>
        <v>247</v>
      </c>
      <c r="AM513" s="1">
        <v>210.0</v>
      </c>
      <c r="AN513" s="1">
        <v>222.0</v>
      </c>
      <c r="AO513" s="1">
        <v>169.0</v>
      </c>
      <c r="AP513" s="2">
        <v>11.0</v>
      </c>
      <c r="AQ513" s="1">
        <v>41.0</v>
      </c>
      <c r="AR513" s="1">
        <v>41.0</v>
      </c>
      <c r="AS513" s="1" t="s">
        <v>2756</v>
      </c>
      <c r="AT513" s="3" t="str">
        <f>HYPERLINK("https://icf.clappia.com/app/GMB253374/submission/EAW33523672/ICF247370-GMB253374-30hnfj6m475g00000000/SIG-20250702_135715o3fo.jpeg", "SIG-20250702_135715o3fo.jpeg")</f>
        <v>SIG-20250702_135715o3fo.jpeg</v>
      </c>
      <c r="AU513" s="1" t="s">
        <v>2757</v>
      </c>
      <c r="AV513" s="3" t="str">
        <f>HYPERLINK("https://icf.clappia.com/app/GMB253374/submission/EAW33523672/ICF247370-GMB253374-44od458ho0lo00000000/SIG-20250702_1358gggoh.jpeg", "SIG-20250702_1358gggoh.jpeg")</f>
        <v>SIG-20250702_1358gggoh.jpeg</v>
      </c>
      <c r="AW513" s="1" t="s">
        <v>2758</v>
      </c>
      <c r="AX513" s="3" t="str">
        <f>HYPERLINK("https://icf.clappia.com/app/GMB253374/submission/EAW33523672/ICF247370-GMB253374-63ka3h86472g00000000/SIG-20250702_1359ljmnc.jpeg", "SIG-20250702_1359ljmnc.jpeg")</f>
        <v>SIG-20250702_1359ljmnc.jpeg</v>
      </c>
      <c r="AY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2759</v>
      </c>
      <c r="B514" s="2" t="s">
        <v>47</v>
      </c>
      <c r="C514" s="1" t="s">
        <v>2760</v>
      </c>
      <c r="D514" s="1" t="s">
        <v>2760</v>
      </c>
      <c r="E514" s="1" t="s">
        <v>2761</v>
      </c>
      <c r="F514" s="1" t="s">
        <v>51</v>
      </c>
      <c r="G514" s="1">
        <v>350.0</v>
      </c>
      <c r="H514" s="1" t="s">
        <v>52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53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54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56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57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f t="shared" si="1"/>
        <v>314</v>
      </c>
      <c r="AM514" s="1">
        <v>350.0</v>
      </c>
      <c r="AN514" s="1">
        <v>362.0</v>
      </c>
      <c r="AO514" s="1">
        <v>307.0</v>
      </c>
      <c r="AP514" s="2">
        <v>11.0</v>
      </c>
      <c r="AQ514" s="1">
        <v>43.0</v>
      </c>
      <c r="AR514" s="1">
        <v>43.0</v>
      </c>
      <c r="AS514" s="1" t="s">
        <v>2762</v>
      </c>
      <c r="AT514" s="3" t="str">
        <f>HYPERLINK("https://icf.clappia.com/app/GMB253374/submission/CAH31242702/ICF247370-GMB253374-2b4ni7f09eona0000000/SIG-20250702_11541acb7c.jpeg", "SIG-20250702_11541acb7c.jpeg")</f>
        <v>SIG-20250702_11541acb7c.jpeg</v>
      </c>
      <c r="AU514" s="1" t="s">
        <v>2370</v>
      </c>
      <c r="AV514" s="3" t="str">
        <f>HYPERLINK("https://icf.clappia.com/app/GMB253374/submission/CAH31242702/ICF247370-GMB253374-4klp071n7dlg00000000/SIG-20250702_1154170c77.jpeg", "SIG-20250702_1154170c77.jpeg")</f>
        <v>SIG-20250702_1154170c77.jpeg</v>
      </c>
      <c r="AW514" s="1" t="s">
        <v>610</v>
      </c>
      <c r="AX514" s="3" t="str">
        <f>HYPERLINK("https://icf.clappia.com/app/GMB253374/submission/CAH31242702/ICF247370-GMB253374-2mfkjfbo041800000000/SIG-20250702_1135496k1.jpeg", "SIG-20250702_1135496k1.jpeg")</f>
        <v>SIG-20250702_1135496k1.jpeg</v>
      </c>
      <c r="AY514" s="3" t="str">
        <f>HYPERLINK("https://www.google.com/maps/place/8.81021%2C-12.0446033", "8.81021,-12.0446033")</f>
        <v>8.81021,-12.0446033</v>
      </c>
    </row>
    <row r="515" ht="15.75" customHeight="1">
      <c r="A515" s="1" t="s">
        <v>2763</v>
      </c>
      <c r="B515" s="2" t="s">
        <v>47</v>
      </c>
      <c r="C515" s="1" t="s">
        <v>2680</v>
      </c>
      <c r="D515" s="1" t="s">
        <v>2680</v>
      </c>
      <c r="E515" s="1" t="s">
        <v>2764</v>
      </c>
      <c r="F515" s="1" t="s">
        <v>51</v>
      </c>
      <c r="G515" s="1">
        <v>250.0</v>
      </c>
      <c r="H515" s="1" t="s">
        <v>52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53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54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56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57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f t="shared" si="1"/>
        <v>175</v>
      </c>
      <c r="AM515" s="1">
        <v>250.0</v>
      </c>
      <c r="AN515" s="1">
        <v>262.0</v>
      </c>
      <c r="AO515" s="1">
        <v>168.0</v>
      </c>
      <c r="AP515" s="2">
        <v>11.0</v>
      </c>
      <c r="AQ515" s="1">
        <v>82.0</v>
      </c>
      <c r="AR515" s="1">
        <v>82.0</v>
      </c>
      <c r="AS515" s="1" t="s">
        <v>2765</v>
      </c>
      <c r="AT515" s="3" t="str">
        <f>HYPERLINK("https://icf.clappia.com/app/GMB253374/submission/KRM62600047/ICF247370-GMB253374-613nlaj4hd5a00000000/SIG-20250702_1355o61d8.jpeg", "SIG-20250702_1355o61d8.jpeg")</f>
        <v>SIG-20250702_1355o61d8.jpeg</v>
      </c>
      <c r="AU515" s="1" t="s">
        <v>2766</v>
      </c>
      <c r="AV515" s="3" t="str">
        <f>HYPERLINK("https://icf.clappia.com/app/GMB253374/submission/KRM62600047/ICF247370-GMB253374-65o44bnj9l0400000000/SIG-20250702_1356cg47n.jpeg", "SIG-20250702_1356cg47n.jpeg")</f>
        <v>SIG-20250702_1356cg47n.jpeg</v>
      </c>
      <c r="AW515" s="1" t="s">
        <v>2767</v>
      </c>
      <c r="AX515" s="3" t="str">
        <f>HYPERLINK("https://icf.clappia.com/app/GMB253374/submission/KRM62600047/ICF247370-GMB253374-5l5c4b4j27ma00000000/SIG-20250702_135615ncej.jpeg", "SIG-20250702_135615ncej.jpeg")</f>
        <v>SIG-20250702_135615ncej.jpeg</v>
      </c>
      <c r="AY515" s="3" t="str">
        <f>HYPERLINK("https://www.google.com/maps/place/8.791838%2C-11.9899155", "8.791838,-11.9899155")</f>
        <v>8.791838,-11.9899155</v>
      </c>
    </row>
    <row r="516" ht="15.75" customHeight="1">
      <c r="A516" s="1" t="s">
        <v>2768</v>
      </c>
      <c r="B516" s="2" t="s">
        <v>47</v>
      </c>
      <c r="C516" s="1" t="s">
        <v>2769</v>
      </c>
      <c r="D516" s="1" t="s">
        <v>2769</v>
      </c>
      <c r="E516" s="1" t="s">
        <v>2770</v>
      </c>
      <c r="F516" s="1" t="s">
        <v>51</v>
      </c>
      <c r="G516" s="1">
        <v>167.0</v>
      </c>
      <c r="H516" s="1" t="s">
        <v>52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53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54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56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57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f t="shared" si="1"/>
        <v>167</v>
      </c>
      <c r="AM516" s="1">
        <v>167.0</v>
      </c>
      <c r="AN516" s="1">
        <v>179.0</v>
      </c>
      <c r="AO516" s="1">
        <v>167.0</v>
      </c>
      <c r="AP516" s="2">
        <v>11.0</v>
      </c>
      <c r="AQ516" s="1">
        <v>0.0</v>
      </c>
      <c r="AR516" s="1">
        <v>0.0</v>
      </c>
      <c r="AS516" s="1" t="s">
        <v>2771</v>
      </c>
      <c r="AT516" s="3" t="str">
        <f>HYPERLINK("https://icf.clappia.com/app/GMB253374/submission/JTU12531908/ICF247370-GMB253374-ldbg3lnhkmmc0000000/SIG-20250702_1351dnde.jpeg", "SIG-20250702_1351dnde.jpeg")</f>
        <v>SIG-20250702_1351dnde.jpeg</v>
      </c>
      <c r="AU516" s="1" t="s">
        <v>1610</v>
      </c>
      <c r="AV516" s="3" t="str">
        <f>HYPERLINK("https://icf.clappia.com/app/GMB253374/submission/JTU12531908/ICF247370-GMB253374-669doofh7j1600000000/SIG-20250702_135260k76.jpeg", "SIG-20250702_135260k76.jpeg")</f>
        <v>SIG-20250702_135260k76.jpeg</v>
      </c>
      <c r="AW516" s="1" t="s">
        <v>1611</v>
      </c>
      <c r="AX516" s="3" t="str">
        <f>HYPERLINK("https://icf.clappia.com/app/GMB253374/submission/JTU12531908/ICF247370-GMB253374-4d5f5ch69c9200000000/SIG-20250702_1352cnj47.jpeg", "SIG-20250702_1352cnj47.jpeg")</f>
        <v>SIG-20250702_1352cnj47.jpeg</v>
      </c>
      <c r="AY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2772</v>
      </c>
      <c r="B517" s="2" t="s">
        <v>47</v>
      </c>
      <c r="C517" s="1" t="s">
        <v>2773</v>
      </c>
      <c r="D517" s="1" t="s">
        <v>2773</v>
      </c>
      <c r="E517" s="2" t="s">
        <v>2774</v>
      </c>
      <c r="F517" s="1" t="s">
        <v>72</v>
      </c>
      <c r="G517" s="1">
        <v>120.0</v>
      </c>
      <c r="H517" s="1" t="s">
        <v>52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53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54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56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57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f t="shared" si="1"/>
        <v>335</v>
      </c>
      <c r="AM517" s="1">
        <v>120.0</v>
      </c>
      <c r="AN517" s="1">
        <v>132.0</v>
      </c>
      <c r="AO517" s="1">
        <v>120.0</v>
      </c>
      <c r="AP517" s="2">
        <v>11.0</v>
      </c>
      <c r="AQ517" s="1">
        <v>0.0</v>
      </c>
      <c r="AR517" s="1">
        <v>0.0</v>
      </c>
      <c r="AS517" s="1" t="s">
        <v>1209</v>
      </c>
      <c r="AT517" s="3" t="str">
        <f>HYPERLINK("https://icf.clappia.com/app/GMB253374/submission/XTI65939144/ICF247370-GMB253374-4175hjgdegl200000000/SIG-20250702_12398cbam.jpeg", "SIG-20250702_12398cbam.jpeg")</f>
        <v>SIG-20250702_12398cbam.jpeg</v>
      </c>
      <c r="AU517" s="1" t="s">
        <v>1857</v>
      </c>
      <c r="AV517" s="3" t="str">
        <f>HYPERLINK("https://icf.clappia.com/app/GMB253374/submission/XTI65939144/ICF247370-GMB253374-2d3m7bcjgc4400000000/SIG-20250702_1240b3ffm.jpeg", "SIG-20250702_1240b3ffm.jpeg")</f>
        <v>SIG-20250702_1240b3ffm.jpeg</v>
      </c>
      <c r="AW517" s="1" t="s">
        <v>1211</v>
      </c>
      <c r="AX517" s="3" t="str">
        <f>HYPERLINK("https://icf.clappia.com/app/GMB253374/submission/XTI65939144/ICF247370-GMB253374-13id9ok2lh9ok0000000/SIG-20250702_1240icp35.jpeg", "SIG-20250702_1240icp35.jpeg")</f>
        <v>SIG-20250702_1240icp35.jpeg</v>
      </c>
      <c r="AY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2775</v>
      </c>
      <c r="B518" s="2" t="s">
        <v>47</v>
      </c>
      <c r="C518" s="1" t="s">
        <v>2773</v>
      </c>
      <c r="D518" s="1" t="s">
        <v>2773</v>
      </c>
      <c r="E518" s="1" t="s">
        <v>2776</v>
      </c>
      <c r="F518" s="1" t="s">
        <v>51</v>
      </c>
      <c r="G518" s="1">
        <v>244.0</v>
      </c>
      <c r="H518" s="1" t="s">
        <v>52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53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54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56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57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f t="shared" si="1"/>
        <v>211</v>
      </c>
      <c r="AM518" s="1">
        <v>244.0</v>
      </c>
      <c r="AN518" s="1">
        <v>256.0</v>
      </c>
      <c r="AO518" s="1">
        <v>196.0</v>
      </c>
      <c r="AP518" s="2">
        <v>11.0</v>
      </c>
      <c r="AQ518" s="1">
        <v>48.0</v>
      </c>
      <c r="AR518" s="1">
        <v>48.0</v>
      </c>
      <c r="AS518" s="1" t="s">
        <v>2777</v>
      </c>
      <c r="AT518" s="3" t="str">
        <f>HYPERLINK("https://icf.clappia.com/app/GMB253374/submission/ESD67166078/ICF247370-GMB253374-5l47n8jhn9d600000000/SIG-20250701_20221h43e.jpeg", "SIG-20250701_20221h43e.jpeg")</f>
        <v>SIG-20250701_20221h43e.jpeg</v>
      </c>
      <c r="AU518" s="1" t="s">
        <v>2778</v>
      </c>
      <c r="AV518" s="3" t="str">
        <f>HYPERLINK("https://icf.clappia.com/app/GMB253374/submission/ESD67166078/ICF247370-GMB253374-3acfnf55nf060000000/SIG-20250701_2024f766k.jpeg", "SIG-20250701_2024f766k.jpeg")</f>
        <v>SIG-20250701_2024f766k.jpeg</v>
      </c>
      <c r="AW518" s="1" t="s">
        <v>2779</v>
      </c>
      <c r="AX518" s="3" t="str">
        <f>HYPERLINK("https://icf.clappia.com/app/GMB253374/submission/ESD67166078/ICF247370-GMB253374-m177ang702g80000000/SIG-20250701_2024hedej.jpeg", "SIG-20250701_2024hedej.jpeg")</f>
        <v>SIG-20250701_2024hedej.jpeg</v>
      </c>
      <c r="AY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2780</v>
      </c>
      <c r="B519" s="2" t="s">
        <v>47</v>
      </c>
      <c r="C519" s="1" t="s">
        <v>2781</v>
      </c>
      <c r="D519" s="1" t="s">
        <v>2781</v>
      </c>
      <c r="E519" s="1" t="s">
        <v>2782</v>
      </c>
      <c r="F519" s="1" t="s">
        <v>51</v>
      </c>
      <c r="G519" s="1">
        <v>200.0</v>
      </c>
      <c r="H519" s="1" t="s">
        <v>52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53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54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56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57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f t="shared" si="1"/>
        <v>200</v>
      </c>
      <c r="AM519" s="1">
        <v>200.0</v>
      </c>
      <c r="AN519" s="1">
        <v>212.0</v>
      </c>
      <c r="AO519" s="1">
        <v>200.0</v>
      </c>
      <c r="AP519" s="2">
        <v>11.0</v>
      </c>
      <c r="AQ519" s="1">
        <v>0.0</v>
      </c>
      <c r="AR519" s="1">
        <v>0.0</v>
      </c>
      <c r="AS519" s="1" t="s">
        <v>1086</v>
      </c>
      <c r="AT519" s="3" t="str">
        <f>HYPERLINK("https://icf.clappia.com/app/GMB253374/submission/KDG92364883/ICF247370-GMB253374-5dk4eaimomg800000000/SIG-20250702_134613nmej.jpeg", "SIG-20250702_134613nmej.jpeg")</f>
        <v>SIG-20250702_134613nmej.jpeg</v>
      </c>
      <c r="AU519" s="1" t="s">
        <v>1087</v>
      </c>
      <c r="AV519" s="3" t="str">
        <f>HYPERLINK("https://icf.clappia.com/app/GMB253374/submission/KDG92364883/ICF247370-GMB253374-lk3k45a2cfd20000000/SIG-20250702_134712c0m6.jpeg", "SIG-20250702_134712c0m6.jpeg")</f>
        <v>SIG-20250702_134712c0m6.jpeg</v>
      </c>
      <c r="AW519" s="1" t="s">
        <v>1088</v>
      </c>
      <c r="AX519" s="3" t="str">
        <f>HYPERLINK("https://icf.clappia.com/app/GMB253374/submission/KDG92364883/ICF247370-GMB253374-1a7i6abc1og480000000/SIG-20250702_1349n396i.jpeg", "SIG-20250702_1349n396i.jpeg")</f>
        <v>SIG-20250702_1349n396i.jpeg</v>
      </c>
      <c r="AY519" s="3" t="str">
        <f>HYPERLINK("https://www.google.com/maps/place/7.97903%2C-11.6601683", "7.97903,-11.6601683")</f>
        <v>7.97903,-11.6601683</v>
      </c>
    </row>
    <row r="520" ht="15.75" customHeight="1">
      <c r="A520" s="1" t="s">
        <v>2783</v>
      </c>
      <c r="B520" s="2" t="s">
        <v>47</v>
      </c>
      <c r="C520" s="1" t="s">
        <v>2781</v>
      </c>
      <c r="D520" s="1" t="s">
        <v>2781</v>
      </c>
      <c r="E520" s="1" t="s">
        <v>2784</v>
      </c>
      <c r="F520" s="1" t="s">
        <v>51</v>
      </c>
      <c r="G520" s="1">
        <v>315.0</v>
      </c>
      <c r="H520" s="1" t="s">
        <v>52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53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54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56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57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f t="shared" si="1"/>
        <v>315</v>
      </c>
      <c r="AM520" s="1">
        <v>315.0</v>
      </c>
      <c r="AN520" s="1">
        <v>327.0</v>
      </c>
      <c r="AO520" s="1">
        <v>315.0</v>
      </c>
      <c r="AP520" s="2">
        <v>11.0</v>
      </c>
      <c r="AQ520" s="1">
        <v>0.0</v>
      </c>
      <c r="AR520" s="1">
        <v>0.0</v>
      </c>
      <c r="AS520" s="1" t="s">
        <v>2785</v>
      </c>
      <c r="AT520" s="3" t="str">
        <f>HYPERLINK("https://icf.clappia.com/app/GMB253374/submission/WOG60811290/ICF247370-GMB253374-10cioelbhibig0000000/SIG-20250702_1053nkgmc.jpeg", "SIG-20250702_1053nkgmc.jpeg")</f>
        <v>SIG-20250702_1053nkgmc.jpeg</v>
      </c>
      <c r="AU520" s="1" t="s">
        <v>2786</v>
      </c>
      <c r="AV520" s="3" t="str">
        <f>HYPERLINK("https://icf.clappia.com/app/GMB253374/submission/WOG60811290/ICF247370-GMB253374-5848nop8ml0800000000/SIG-20250702_105518odoj.jpeg", "SIG-20250702_105518odoj.jpeg")</f>
        <v>SIG-20250702_105518odoj.jpeg</v>
      </c>
      <c r="AW520" s="1" t="s">
        <v>2787</v>
      </c>
      <c r="AX520" s="3" t="str">
        <f>HYPERLINK("https://icf.clappia.com/app/GMB253374/submission/WOG60811290/ICF247370-GMB253374-pfilo86bjlm80000000/SIG-20250702_135018pmli.jpeg", "SIG-20250702_135018pmli.jpeg")</f>
        <v>SIG-20250702_135018pmli.jpeg</v>
      </c>
      <c r="AY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2788</v>
      </c>
      <c r="B521" s="2" t="s">
        <v>47</v>
      </c>
      <c r="C521" s="1" t="s">
        <v>2789</v>
      </c>
      <c r="D521" s="1" t="s">
        <v>2789</v>
      </c>
      <c r="E521" s="1" t="s">
        <v>2790</v>
      </c>
      <c r="F521" s="1" t="s">
        <v>51</v>
      </c>
      <c r="G521" s="1">
        <v>100.0</v>
      </c>
      <c r="H521" s="1" t="s">
        <v>52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53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54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56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57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f t="shared" si="1"/>
        <v>88</v>
      </c>
      <c r="AM521" s="1">
        <v>100.0</v>
      </c>
      <c r="AN521" s="1">
        <v>112.0</v>
      </c>
      <c r="AO521" s="1">
        <v>77.0</v>
      </c>
      <c r="AP521" s="2">
        <v>11.0</v>
      </c>
      <c r="AQ521" s="1">
        <v>23.0</v>
      </c>
      <c r="AR521" s="1">
        <v>23.0</v>
      </c>
      <c r="AS521" s="1" t="s">
        <v>2791</v>
      </c>
      <c r="AT521" s="3" t="str">
        <f>HYPERLINK("https://icf.clappia.com/app/GMB253374/submission/IVN64940043/ICF247370-GMB253374-55j6ilk5n31a00000000/SIG-20250702_13321668go.jpeg", "SIG-20250702_13321668go.jpeg")</f>
        <v>SIG-20250702_13321668go.jpeg</v>
      </c>
      <c r="AU521" s="1" t="s">
        <v>2792</v>
      </c>
      <c r="AV521" s="3" t="str">
        <f>HYPERLINK("https://icf.clappia.com/app/GMB253374/submission/IVN64940043/ICF247370-GMB253374-25dfdp86pj42k0000000/SIG-20250702_1334b7c7p.jpeg", "SIG-20250702_1334b7c7p.jpeg")</f>
        <v>SIG-20250702_1334b7c7p.jpeg</v>
      </c>
      <c r="AW521" s="1" t="s">
        <v>2793</v>
      </c>
      <c r="AX521" s="3" t="str">
        <f>HYPERLINK("https://icf.clappia.com/app/GMB253374/submission/IVN64940043/ICF247370-GMB253374-194g8cmjoebig0000000/SIG-20250702_1340apcce.jpeg", "SIG-20250702_1340apcce.jpeg")</f>
        <v>SIG-20250702_1340apcce.jpeg</v>
      </c>
      <c r="AY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2794</v>
      </c>
      <c r="B522" s="2" t="s">
        <v>47</v>
      </c>
      <c r="C522" s="1" t="s">
        <v>1017</v>
      </c>
      <c r="D522" s="1" t="s">
        <v>1017</v>
      </c>
      <c r="E522" s="4" t="s">
        <v>2795</v>
      </c>
      <c r="F522" s="1" t="s">
        <v>51</v>
      </c>
      <c r="G522" s="1">
        <v>260.0</v>
      </c>
      <c r="H522" s="1" t="s">
        <v>52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53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54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56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57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f t="shared" si="1"/>
        <v>260</v>
      </c>
      <c r="AM522" s="1">
        <v>260.0</v>
      </c>
      <c r="AN522" s="1">
        <v>272.0</v>
      </c>
      <c r="AO522" s="1">
        <v>260.0</v>
      </c>
      <c r="AP522" s="2">
        <v>11.0</v>
      </c>
      <c r="AQ522" s="1">
        <v>0.0</v>
      </c>
      <c r="AR522" s="1">
        <v>0.0</v>
      </c>
      <c r="AS522" s="1" t="s">
        <v>2796</v>
      </c>
      <c r="AT522" s="3" t="str">
        <f>HYPERLINK("https://icf.clappia.com/app/GMB253374/submission/SEV77003046/ICF247370-GMB253374-2cdnok11ndim00000000/SIG-20250702_1248l0739.jpeg", "SIG-20250702_1248l0739.jpeg")</f>
        <v>SIG-20250702_1248l0739.jpeg</v>
      </c>
      <c r="AU522" s="1" t="s">
        <v>2797</v>
      </c>
      <c r="AV522" s="3" t="str">
        <f>HYPERLINK("https://icf.clappia.com/app/GMB253374/submission/SEV77003046/ICF247370-GMB253374-a87ld1kk1ff60000000/SIG-20250702_1249ae1f1.jpeg", "SIG-20250702_1249ae1f1.jpeg")</f>
        <v>SIG-20250702_1249ae1f1.jpeg</v>
      </c>
      <c r="AW522" s="1" t="s">
        <v>2798</v>
      </c>
      <c r="AX522" s="3" t="str">
        <f>HYPERLINK("https://icf.clappia.com/app/GMB253374/submission/SEV77003046/ICF247370-GMB253374-6honmbb042a40000000/SIG-20250702_1347m7169.jpeg", "SIG-20250702_1347m7169.jpeg")</f>
        <v>SIG-20250702_1347m7169.jpeg</v>
      </c>
      <c r="AY522" s="3" t="str">
        <f>HYPERLINK("https://www.google.com/maps/place/9.2248248%2C-12.2077711", "9.2248248,-12.2077711")</f>
        <v>9.2248248,-12.2077711</v>
      </c>
    </row>
    <row r="523" ht="15.75" customHeight="1">
      <c r="A523" s="1" t="s">
        <v>2799</v>
      </c>
      <c r="B523" s="2" t="s">
        <v>47</v>
      </c>
      <c r="C523" s="1" t="s">
        <v>1017</v>
      </c>
      <c r="D523" s="1" t="s">
        <v>1017</v>
      </c>
      <c r="E523" s="1" t="s">
        <v>2800</v>
      </c>
      <c r="F523" s="1" t="s">
        <v>51</v>
      </c>
      <c r="G523" s="1">
        <v>331.0</v>
      </c>
      <c r="H523" s="1" t="s">
        <v>52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53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54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56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57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f t="shared" si="1"/>
        <v>266</v>
      </c>
      <c r="AM523" s="1">
        <v>331.0</v>
      </c>
      <c r="AN523" s="1">
        <v>343.0</v>
      </c>
      <c r="AO523" s="1">
        <v>260.0</v>
      </c>
      <c r="AP523" s="2">
        <v>11.0</v>
      </c>
      <c r="AQ523" s="1">
        <v>71.0</v>
      </c>
      <c r="AR523" s="1">
        <v>71.0</v>
      </c>
      <c r="AS523" s="1" t="s">
        <v>2801</v>
      </c>
      <c r="AT523" s="3" t="str">
        <f>HYPERLINK("https://icf.clappia.com/app/GMB253374/submission/OKJ43301726/ICF247370-GMB253374-5808ei58d70400000000/SIG-20250702_1333a0jh8.jpeg", "SIG-20250702_1333a0jh8.jpeg")</f>
        <v>SIG-20250702_1333a0jh8.jpeg</v>
      </c>
      <c r="AU523" s="1" t="s">
        <v>2802</v>
      </c>
      <c r="AV523" s="3" t="str">
        <f>HYPERLINK("https://icf.clappia.com/app/GMB253374/submission/OKJ43301726/ICF247370-GMB253374-18e4mh0b10g480000000/SIG-20250702_13366holm.jpeg", "SIG-20250702_13366holm.jpeg")</f>
        <v>SIG-20250702_13366holm.jpeg</v>
      </c>
      <c r="AW523" s="1" t="s">
        <v>2096</v>
      </c>
      <c r="AX523" s="3" t="str">
        <f>HYPERLINK("https://icf.clappia.com/app/GMB253374/submission/OKJ43301726/ICF247370-GMB253374-58njdjphhkke00000000/SIG-20250702_1336bkflc.jpeg", "SIG-20250702_1336bkflc.jpeg")</f>
        <v>SIG-20250702_1336bkflc.jpeg</v>
      </c>
      <c r="AY523" s="3" t="str">
        <f>HYPERLINK("https://www.google.com/maps/place/7.9019217%2C-11.548625", "7.9019217,-11.548625")</f>
        <v>7.9019217,-11.548625</v>
      </c>
    </row>
    <row r="524" ht="15.75" customHeight="1">
      <c r="A524" s="1" t="s">
        <v>2803</v>
      </c>
      <c r="B524" s="2" t="s">
        <v>47</v>
      </c>
      <c r="C524" s="1" t="s">
        <v>2804</v>
      </c>
      <c r="D524" s="1" t="s">
        <v>2804</v>
      </c>
      <c r="E524" s="1" t="s">
        <v>2805</v>
      </c>
      <c r="F524" s="1" t="s">
        <v>51</v>
      </c>
      <c r="G524" s="1">
        <v>237.0</v>
      </c>
      <c r="H524" s="1" t="s">
        <v>52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53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54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56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57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f t="shared" si="1"/>
        <v>231</v>
      </c>
      <c r="AM524" s="1">
        <v>237.0</v>
      </c>
      <c r="AN524" s="1">
        <v>249.0</v>
      </c>
      <c r="AO524" s="1">
        <v>229.0</v>
      </c>
      <c r="AP524" s="2">
        <v>11.0</v>
      </c>
      <c r="AQ524" s="1">
        <v>8.0</v>
      </c>
      <c r="AR524" s="1">
        <v>8.0</v>
      </c>
      <c r="AS524" s="1" t="s">
        <v>2806</v>
      </c>
      <c r="AT524" s="3" t="str">
        <f>HYPERLINK("https://icf.clappia.com/app/GMB253374/submission/SCW38797242/ICF247370-GMB253374-66ga4ipb9gmg00000000/SIG-20250702_133912akbk.jpeg", "SIG-20250702_133912akbk.jpeg")</f>
        <v>SIG-20250702_133912akbk.jpeg</v>
      </c>
      <c r="AU524" s="1" t="s">
        <v>2807</v>
      </c>
      <c r="AV524" s="3" t="str">
        <f>HYPERLINK("https://icf.clappia.com/app/GMB253374/submission/SCW38797242/ICF247370-GMB253374-1kgnaa194e4ng0000000/SIG-20250702_13403357.jpeg", "SIG-20250702_13403357.jpeg")</f>
        <v>SIG-20250702_13403357.jpeg</v>
      </c>
      <c r="AW524" s="1" t="s">
        <v>2808</v>
      </c>
      <c r="AX524" s="3" t="str">
        <f>HYPERLINK("https://icf.clappia.com/app/GMB253374/submission/SCW38797242/ICF247370-GMB253374-ad43jin7jp1a0000000/SIG-20250702_1341j2o2h.jpeg", "SIG-20250702_1341j2o2h.jpeg")</f>
        <v>SIG-20250702_1341j2o2h.jpeg</v>
      </c>
      <c r="AY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2809</v>
      </c>
      <c r="B525" s="2" t="s">
        <v>47</v>
      </c>
      <c r="C525" s="1" t="s">
        <v>2810</v>
      </c>
      <c r="D525" s="1" t="s">
        <v>2804</v>
      </c>
      <c r="E525" s="1" t="s">
        <v>2811</v>
      </c>
      <c r="F525" s="1" t="s">
        <v>51</v>
      </c>
      <c r="G525" s="1">
        <v>285.0</v>
      </c>
      <c r="H525" s="1" t="s">
        <v>52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53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54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56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57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f t="shared" si="1"/>
        <v>176</v>
      </c>
      <c r="AM525" s="1">
        <v>285.0</v>
      </c>
      <c r="AN525" s="1">
        <v>297.0</v>
      </c>
      <c r="AO525" s="1">
        <v>176.0</v>
      </c>
      <c r="AP525" s="2">
        <v>11.0</v>
      </c>
      <c r="AQ525" s="1">
        <v>109.0</v>
      </c>
      <c r="AR525" s="1">
        <v>109.0</v>
      </c>
      <c r="AS525" s="1" t="s">
        <v>2094</v>
      </c>
      <c r="AT525" s="3" t="str">
        <f>HYPERLINK("https://icf.clappia.com/app/GMB253374/submission/OWU21740347/ICF247370-GMB253374-5j53fo1j824o00000000/SIG-20250701_105414kngn.jpeg", "SIG-20250701_105414kngn.jpeg")</f>
        <v>SIG-20250701_105414kngn.jpeg</v>
      </c>
      <c r="AU525" s="1" t="s">
        <v>2096</v>
      </c>
      <c r="AV525" s="3" t="str">
        <f>HYPERLINK("https://icf.clappia.com/app/GMB253374/submission/OWU21740347/ICF247370-GMB253374-23jj6b46gn38i0000000/SIG-20250701_10547l822.jpeg", "SIG-20250701_10547l822.jpeg")</f>
        <v>SIG-20250701_10547l822.jpeg</v>
      </c>
      <c r="AW525" s="1" t="s">
        <v>2812</v>
      </c>
      <c r="AX525" s="3" t="str">
        <f>HYPERLINK("https://icf.clappia.com/app/GMB253374/submission/OWU21740347/ICF247370-GMB253374-5bgb3h370pem00000000/SIG-20250701_11451c9n5.jpeg", "SIG-20250701_11451c9n5.jpeg")</f>
        <v>SIG-20250701_11451c9n5.jpeg</v>
      </c>
      <c r="AY525" s="3" t="str">
        <f>HYPERLINK("https://www.google.com/maps/place/7.9153817%2C-11.56143", "7.9153817,-11.56143")</f>
        <v>7.9153817,-11.56143</v>
      </c>
    </row>
    <row r="526" ht="15.75" customHeight="1">
      <c r="A526" s="1" t="s">
        <v>2813</v>
      </c>
      <c r="B526" s="2" t="s">
        <v>47</v>
      </c>
      <c r="C526" s="1" t="s">
        <v>2814</v>
      </c>
      <c r="D526" s="1" t="s">
        <v>2815</v>
      </c>
      <c r="E526" s="1" t="s">
        <v>2816</v>
      </c>
      <c r="F526" s="1" t="s">
        <v>51</v>
      </c>
      <c r="G526" s="1">
        <v>140.0</v>
      </c>
      <c r="H526" s="1" t="s">
        <v>52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53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54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56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57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f t="shared" si="1"/>
        <v>111</v>
      </c>
      <c r="AM526" s="1">
        <v>140.0</v>
      </c>
      <c r="AN526" s="1">
        <v>152.0</v>
      </c>
      <c r="AO526" s="1">
        <v>111.0</v>
      </c>
      <c r="AP526" s="2">
        <v>11.0</v>
      </c>
      <c r="AQ526" s="1">
        <v>29.0</v>
      </c>
      <c r="AR526" s="1">
        <v>29.0</v>
      </c>
      <c r="AS526" s="1" t="s">
        <v>2817</v>
      </c>
      <c r="AT526" s="3" t="str">
        <f>HYPERLINK("https://icf.clappia.com/app/GMB253374/submission/AID56934981/ICF247370-GMB253374-1i3733p6591040000000/SIG-20250702_1141pd0ae.jpeg", "SIG-20250702_1141pd0ae.jpeg")</f>
        <v>SIG-20250702_1141pd0ae.jpeg</v>
      </c>
      <c r="AU526" s="1" t="s">
        <v>2818</v>
      </c>
      <c r="AV526" s="3" t="str">
        <f>HYPERLINK("https://icf.clappia.com/app/GMB253374/submission/AID56934981/ICF247370-GMB253374-4cab7o92eegm00000000/SIG-20250702_114315gbdf.jpeg", "SIG-20250702_114315gbdf.jpeg")</f>
        <v>SIG-20250702_114315gbdf.jpeg</v>
      </c>
      <c r="AW526" s="1" t="s">
        <v>2818</v>
      </c>
      <c r="AX526" s="3" t="str">
        <f>HYPERLINK("https://icf.clappia.com/app/GMB253374/submission/AID56934981/ICF247370-GMB253374-1eg4iofmmmjoe0000000/SIG-20250702_1143jk5cj.jpeg", "SIG-20250702_1143jk5cj.jpeg")</f>
        <v>SIG-20250702_1143jk5cj.jpeg</v>
      </c>
      <c r="AY526" s="3" t="str">
        <f>HYPERLINK("https://www.google.com/maps/place/7.7148133%2C-11.92425", "7.7148133,-11.92425")</f>
        <v>7.7148133,-11.92425</v>
      </c>
    </row>
    <row r="527" ht="15.75" customHeight="1">
      <c r="A527" s="1" t="s">
        <v>2819</v>
      </c>
      <c r="B527" s="2" t="s">
        <v>47</v>
      </c>
      <c r="C527" s="1" t="s">
        <v>2820</v>
      </c>
      <c r="D527" s="1" t="s">
        <v>2820</v>
      </c>
      <c r="E527" s="1" t="s">
        <v>2821</v>
      </c>
      <c r="F527" s="1" t="s">
        <v>51</v>
      </c>
      <c r="G527" s="1">
        <v>283.0</v>
      </c>
      <c r="H527" s="1" t="s">
        <v>52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53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54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56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57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f t="shared" si="1"/>
        <v>133</v>
      </c>
      <c r="AM527" s="1">
        <v>283.0</v>
      </c>
      <c r="AN527" s="1">
        <v>295.0</v>
      </c>
      <c r="AO527" s="1">
        <v>133.0</v>
      </c>
      <c r="AP527" s="2">
        <v>11.0</v>
      </c>
      <c r="AQ527" s="1">
        <v>150.0</v>
      </c>
      <c r="AR527" s="1">
        <v>150.0</v>
      </c>
      <c r="AS527" s="1" t="s">
        <v>2822</v>
      </c>
      <c r="AT527" s="3" t="str">
        <f>HYPERLINK("https://icf.clappia.com/app/GMB253374/submission/ILE39828168/ICF247370-GMB253374-5e9hf7ii0la800000000/SIG-20250702_1339g9cll.jpeg", "SIG-20250702_1339g9cll.jpeg")</f>
        <v>SIG-20250702_1339g9cll.jpeg</v>
      </c>
      <c r="AU527" s="1" t="s">
        <v>2823</v>
      </c>
      <c r="AV527" s="3" t="str">
        <f>HYPERLINK("https://icf.clappia.com/app/GMB253374/submission/ILE39828168/ICF247370-GMB253374-clp2jh9d0ohm0000000/SIG-20250702_13391335mm.jpeg", "SIG-20250702_13391335mm.jpeg")</f>
        <v>SIG-20250702_13391335mm.jpeg</v>
      </c>
      <c r="AW527" s="1" t="s">
        <v>1574</v>
      </c>
      <c r="AX527" s="3" t="str">
        <f>HYPERLINK("https://icf.clappia.com/app/GMB253374/submission/ILE39828168/ICF247370-GMB253374-2e0nnon1mo9800000000/SIG-20250702_1340cekae.jpeg", "SIG-20250702_1340cekae.jpeg")</f>
        <v>SIG-20250702_1340cekae.jpeg</v>
      </c>
      <c r="AY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2824</v>
      </c>
      <c r="B528" s="2" t="s">
        <v>47</v>
      </c>
      <c r="C528" s="1" t="s">
        <v>2825</v>
      </c>
      <c r="D528" s="1" t="s">
        <v>2825</v>
      </c>
      <c r="E528" s="1" t="s">
        <v>2826</v>
      </c>
      <c r="F528" s="1" t="s">
        <v>72</v>
      </c>
      <c r="G528" s="1">
        <v>379.0</v>
      </c>
      <c r="H528" s="1" t="s">
        <v>52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53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54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56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57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f t="shared" si="1"/>
        <v>380</v>
      </c>
      <c r="AM528" s="1">
        <v>379.0</v>
      </c>
      <c r="AN528" s="1">
        <v>391.0</v>
      </c>
      <c r="AO528" s="1">
        <v>379.0</v>
      </c>
      <c r="AP528" s="2">
        <v>11.0</v>
      </c>
      <c r="AQ528" s="1">
        <v>0.0</v>
      </c>
      <c r="AR528" s="1">
        <v>0.0</v>
      </c>
      <c r="AS528" s="1" t="s">
        <v>423</v>
      </c>
      <c r="AT528" s="3" t="str">
        <f>HYPERLINK("https://icf.clappia.com/app/GMB253374/submission/BKF25125546/ICF247370-GMB253374-4ien49og9lka00000000/SIG-20250702_1019bbcl0.jpeg", "SIG-20250702_1019bbcl0.jpeg")</f>
        <v>SIG-20250702_1019bbcl0.jpeg</v>
      </c>
      <c r="AU528" s="1" t="s">
        <v>424</v>
      </c>
      <c r="AV528" s="3" t="str">
        <f>HYPERLINK("https://icf.clappia.com/app/GMB253374/submission/BKF25125546/ICF247370-GMB253374-6b63j1lg61cc00000000/SIG-20250702_10201319hp.jpeg", "SIG-20250702_10201319hp.jpeg")</f>
        <v>SIG-20250702_10201319hp.jpeg</v>
      </c>
      <c r="AW528" s="1" t="s">
        <v>425</v>
      </c>
      <c r="AX528" s="3" t="str">
        <f>HYPERLINK("https://icf.clappia.com/app/GMB253374/submission/BKF25125546/ICF247370-GMB253374-4ie6p7dmma5800000000/SIG-20250702_1020g3kgm.jpeg", "SIG-20250702_1020g3kgm.jpeg")</f>
        <v>SIG-20250702_1020g3kgm.jpeg</v>
      </c>
      <c r="AY528" s="3" t="str">
        <f>HYPERLINK("https://www.google.com/maps/place/8.9169717%2C-12.030035", "8.9169717,-12.030035")</f>
        <v>8.9169717,-12.030035</v>
      </c>
    </row>
    <row r="529" ht="15.75" customHeight="1">
      <c r="A529" s="1" t="s">
        <v>2827</v>
      </c>
      <c r="B529" s="2" t="s">
        <v>47</v>
      </c>
      <c r="C529" s="1" t="s">
        <v>2828</v>
      </c>
      <c r="D529" s="1" t="s">
        <v>2828</v>
      </c>
      <c r="E529" s="1" t="s">
        <v>2829</v>
      </c>
      <c r="F529" s="1" t="s">
        <v>51</v>
      </c>
      <c r="G529" s="1">
        <v>150.0</v>
      </c>
      <c r="H529" s="1" t="s">
        <v>52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53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54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56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57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f t="shared" si="1"/>
        <v>135</v>
      </c>
      <c r="AM529" s="1">
        <v>150.0</v>
      </c>
      <c r="AN529" s="1">
        <v>162.0</v>
      </c>
      <c r="AO529" s="1">
        <v>135.0</v>
      </c>
      <c r="AP529" s="2">
        <v>11.0</v>
      </c>
      <c r="AQ529" s="1">
        <v>15.0</v>
      </c>
      <c r="AR529" s="1">
        <v>15.0</v>
      </c>
      <c r="AS529" s="1" t="s">
        <v>2830</v>
      </c>
      <c r="AT529" s="3" t="str">
        <f>HYPERLINK("https://icf.clappia.com/app/GMB253374/submission/WBD08652758/ICF247370-GMB253374-401ep71jd4i600000000/SIG-20250702_13041p2ca.jpeg", "SIG-20250702_13041p2ca.jpeg")</f>
        <v>SIG-20250702_13041p2ca.jpeg</v>
      </c>
      <c r="AU529" s="1" t="s">
        <v>2831</v>
      </c>
      <c r="AV529" s="3" t="str">
        <f>HYPERLINK("https://icf.clappia.com/app/GMB253374/submission/WBD08652758/ICF247370-GMB253374-102jia7m7hi2c0000000/SIG-20250702_130580p6.jpeg", "SIG-20250702_130580p6.jpeg")</f>
        <v>SIG-20250702_130580p6.jpeg</v>
      </c>
      <c r="AW529" s="1" t="s">
        <v>2832</v>
      </c>
      <c r="AX529" s="3" t="str">
        <f>HYPERLINK("https://icf.clappia.com/app/GMB253374/submission/WBD08652758/ICF247370-GMB253374-5hne4odbgg4400000000/SIG-20250702_1306127mpb.jpeg", "SIG-20250702_1306127mpb.jpeg")</f>
        <v>SIG-20250702_1306127mpb.jpeg</v>
      </c>
      <c r="AY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2833</v>
      </c>
      <c r="B530" s="2" t="s">
        <v>47</v>
      </c>
      <c r="C530" s="1" t="s">
        <v>2834</v>
      </c>
      <c r="D530" s="1" t="s">
        <v>2834</v>
      </c>
      <c r="E530" s="1" t="s">
        <v>2835</v>
      </c>
      <c r="F530" s="1" t="s">
        <v>51</v>
      </c>
      <c r="G530" s="1">
        <v>100.0</v>
      </c>
      <c r="H530" s="1" t="s">
        <v>52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53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54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56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57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f t="shared" si="1"/>
        <v>263</v>
      </c>
      <c r="AM530" s="1">
        <v>100.0</v>
      </c>
      <c r="AN530" s="1">
        <v>112.0</v>
      </c>
      <c r="AO530" s="1">
        <v>90.0</v>
      </c>
      <c r="AP530" s="2">
        <v>11.0</v>
      </c>
      <c r="AQ530" s="1">
        <v>10.0</v>
      </c>
      <c r="AR530" s="1">
        <v>10.0</v>
      </c>
      <c r="AS530" s="1" t="s">
        <v>1190</v>
      </c>
      <c r="AT530" s="3" t="str">
        <f>HYPERLINK("https://icf.clappia.com/app/GMB253374/submission/BZY35330485/ICF247370-GMB253374-4dc232gpnkg000000000/SIG-20250702_1152288ao.jpeg", "SIG-20250702_1152288ao.jpeg")</f>
        <v>SIG-20250702_1152288ao.jpeg</v>
      </c>
      <c r="AU530" s="1" t="s">
        <v>1191</v>
      </c>
      <c r="AV530" s="3" t="str">
        <f>HYPERLINK("https://icf.clappia.com/app/GMB253374/submission/BZY35330485/ICF247370-GMB253374-48c1n9gnjpd400000000/SIG-20250702_1152gbljf.jpeg", "SIG-20250702_1152gbljf.jpeg")</f>
        <v>SIG-20250702_1152gbljf.jpeg</v>
      </c>
      <c r="AW530" s="1" t="s">
        <v>1192</v>
      </c>
      <c r="AX530" s="3" t="str">
        <f>HYPERLINK("https://icf.clappia.com/app/GMB253374/submission/BZY35330485/ICF247370-GMB253374-iom7a3pf5k5e000000/SIG-20250702_115215397d.jpeg", "SIG-20250702_115215397d.jpeg")</f>
        <v>SIG-20250702_115215397d.jpeg</v>
      </c>
      <c r="AY530" s="3" t="str">
        <f>HYPERLINK("https://www.google.com/maps/place/8.9173211%2C-12.031411", "8.9173211,-12.031411")</f>
        <v>8.9173211,-12.031411</v>
      </c>
    </row>
    <row r="531" ht="15.75" customHeight="1">
      <c r="A531" s="1" t="s">
        <v>2836</v>
      </c>
      <c r="B531" s="2" t="s">
        <v>47</v>
      </c>
      <c r="C531" s="1" t="s">
        <v>2837</v>
      </c>
      <c r="D531" s="1" t="s">
        <v>2837</v>
      </c>
      <c r="E531" s="1" t="s">
        <v>2838</v>
      </c>
      <c r="F531" s="1" t="s">
        <v>51</v>
      </c>
      <c r="G531" s="1">
        <v>100.0</v>
      </c>
      <c r="H531" s="1" t="s">
        <v>52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53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54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56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57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f t="shared" si="1"/>
        <v>100</v>
      </c>
      <c r="AM531" s="1">
        <v>100.0</v>
      </c>
      <c r="AN531" s="1">
        <v>112.0</v>
      </c>
      <c r="AO531" s="1">
        <v>100.0</v>
      </c>
      <c r="AP531" s="2">
        <v>11.0</v>
      </c>
      <c r="AQ531" s="1">
        <v>0.0</v>
      </c>
      <c r="AR531" s="1">
        <v>0.0</v>
      </c>
      <c r="AS531" s="1" t="s">
        <v>2839</v>
      </c>
      <c r="AT531" s="3" t="str">
        <f>HYPERLINK("https://icf.clappia.com/app/GMB253374/submission/STR41780069/ICF247370-GMB253374-5i0fpoma0pa800000000/SIG-20250702_1329d6ml9.jpeg", "SIG-20250702_1329d6ml9.jpeg")</f>
        <v>SIG-20250702_1329d6ml9.jpeg</v>
      </c>
      <c r="AU531" s="1" t="s">
        <v>2840</v>
      </c>
      <c r="AV531" s="3" t="str">
        <f>HYPERLINK("https://icf.clappia.com/app/GMB253374/submission/STR41780069/ICF247370-GMB253374-3448db4d0b6600000000/SIG-20250702_1330121kie.jpeg", "SIG-20250702_1330121kie.jpeg")</f>
        <v>SIG-20250702_1330121kie.jpeg</v>
      </c>
      <c r="AW531" s="1" t="s">
        <v>2841</v>
      </c>
      <c r="AX531" s="3" t="str">
        <f>HYPERLINK("https://icf.clappia.com/app/GMB253374/submission/STR41780069/ICF247370-GMB253374-4hh2h0obo48k00000000/SIG-20250702_133115i416.jpeg", "SIG-20250702_133115i416.jpeg")</f>
        <v>SIG-20250702_133115i416.jpeg</v>
      </c>
      <c r="AY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2842</v>
      </c>
      <c r="B532" s="2" t="s">
        <v>47</v>
      </c>
      <c r="C532" s="1" t="s">
        <v>1745</v>
      </c>
      <c r="D532" s="1" t="s">
        <v>1745</v>
      </c>
      <c r="E532" s="1" t="s">
        <v>2843</v>
      </c>
      <c r="F532" s="1" t="s">
        <v>72</v>
      </c>
      <c r="G532" s="1">
        <v>50.0</v>
      </c>
      <c r="H532" s="1" t="s">
        <v>52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53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54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56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57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f t="shared" si="1"/>
        <v>50</v>
      </c>
      <c r="AM532" s="1">
        <v>50.0</v>
      </c>
      <c r="AN532" s="1">
        <v>62.0</v>
      </c>
      <c r="AO532" s="1">
        <v>50.0</v>
      </c>
      <c r="AP532" s="2">
        <v>11.0</v>
      </c>
      <c r="AQ532" s="1">
        <v>0.0</v>
      </c>
      <c r="AR532" s="1">
        <v>0.0</v>
      </c>
      <c r="AS532" s="1" t="s">
        <v>1667</v>
      </c>
      <c r="AT532" s="3" t="str">
        <f>HYPERLINK("https://icf.clappia.com/app/GMB253374/submission/JJP09179331/ICF247370-GMB253374-69ggaahcbeio00000000/SIG-20250702_1327g036g.jpeg", "SIG-20250702_1327g036g.jpeg")</f>
        <v>SIG-20250702_1327g036g.jpeg</v>
      </c>
      <c r="AU532" s="1" t="s">
        <v>1668</v>
      </c>
      <c r="AV532" s="3" t="str">
        <f>HYPERLINK("https://icf.clappia.com/app/GMB253374/submission/JJP09179331/ICF247370-GMB253374-512lg7hkhj6o00000000/SIG-20250702_1328168i7.jpeg", "SIG-20250702_1328168i7.jpeg")</f>
        <v>SIG-20250702_1328168i7.jpeg</v>
      </c>
      <c r="AW532" s="1" t="s">
        <v>1669</v>
      </c>
      <c r="AX532" s="3" t="str">
        <f>HYPERLINK("https://icf.clappia.com/app/GMB253374/submission/JJP09179331/ICF247370-GMB253374-4lm5fpbmllj200000000/SIG-20250702_132917l4i0.jpeg", "SIG-20250702_132917l4i0.jpeg")</f>
        <v>SIG-20250702_132917l4i0.jpeg</v>
      </c>
      <c r="AY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2844</v>
      </c>
      <c r="B533" s="2" t="s">
        <v>47</v>
      </c>
      <c r="C533" s="1" t="s">
        <v>2845</v>
      </c>
      <c r="D533" s="1" t="s">
        <v>2845</v>
      </c>
      <c r="E533" s="1" t="s">
        <v>2846</v>
      </c>
      <c r="F533" s="1" t="s">
        <v>51</v>
      </c>
      <c r="G533" s="1">
        <v>100.0</v>
      </c>
      <c r="H533" s="1" t="s">
        <v>52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53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54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56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57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f t="shared" si="1"/>
        <v>81</v>
      </c>
      <c r="AM533" s="1">
        <v>100.0</v>
      </c>
      <c r="AN533" s="1">
        <v>112.0</v>
      </c>
      <c r="AO533" s="1">
        <v>81.0</v>
      </c>
      <c r="AP533" s="2">
        <v>11.0</v>
      </c>
      <c r="AQ533" s="1">
        <v>19.0</v>
      </c>
      <c r="AR533" s="1">
        <v>19.0</v>
      </c>
      <c r="AS533" s="1" t="s">
        <v>1329</v>
      </c>
      <c r="AT533" s="3" t="str">
        <f>HYPERLINK("https://icf.clappia.com/app/GMB253374/submission/ZUP76712771/ICF247370-GMB253374-60i3dke02e8e00000000/SIG-20250702_130844fg8.jpeg", "SIG-20250702_130844fg8.jpeg")</f>
        <v>SIG-20250702_130844fg8.jpeg</v>
      </c>
      <c r="AU533" s="1" t="s">
        <v>2847</v>
      </c>
      <c r="AV533" s="3" t="str">
        <f>HYPERLINK("https://icf.clappia.com/app/GMB253374/submission/ZUP76712771/ICF247370-GMB253374-3kglh82n9gmc00000000/SIG-20250702_131135g1m.jpeg", "SIG-20250702_131135g1m.jpeg")</f>
        <v>SIG-20250702_131135g1m.jpeg</v>
      </c>
      <c r="AW533" s="1" t="s">
        <v>1304</v>
      </c>
      <c r="AX533" s="3" t="str">
        <f>HYPERLINK("https://icf.clappia.com/app/GMB253374/submission/ZUP76712771/ICF247370-GMB253374-384oh7codd7o00000000/SIG-20250702_13111a04ce.jpeg", "SIG-20250702_13111a04ce.jpeg")</f>
        <v>SIG-20250702_13111a04ce.jpeg</v>
      </c>
      <c r="AY533" s="3" t="str">
        <f>HYPERLINK("https://www.google.com/maps/place/7.7949717%2C-11.86965", "7.7949717,-11.86965")</f>
        <v>7.7949717,-11.86965</v>
      </c>
    </row>
    <row r="534" ht="15.75" customHeight="1">
      <c r="A534" s="1" t="s">
        <v>2848</v>
      </c>
      <c r="B534" s="2" t="s">
        <v>47</v>
      </c>
      <c r="C534" s="1" t="s">
        <v>2845</v>
      </c>
      <c r="D534" s="1" t="s">
        <v>2845</v>
      </c>
      <c r="E534" s="1" t="s">
        <v>2849</v>
      </c>
      <c r="F534" s="1" t="s">
        <v>51</v>
      </c>
      <c r="G534" s="1">
        <v>300.0</v>
      </c>
      <c r="H534" s="1" t="s">
        <v>52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53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54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56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57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f t="shared" si="1"/>
        <v>275</v>
      </c>
      <c r="AM534" s="1">
        <v>300.0</v>
      </c>
      <c r="AN534" s="1">
        <v>312.0</v>
      </c>
      <c r="AO534" s="1">
        <v>275.0</v>
      </c>
      <c r="AP534" s="2">
        <v>11.0</v>
      </c>
      <c r="AQ534" s="1">
        <v>25.0</v>
      </c>
      <c r="AR534" s="1">
        <v>25.0</v>
      </c>
      <c r="AS534" s="1" t="s">
        <v>2850</v>
      </c>
      <c r="AT534" s="3" t="str">
        <f>HYPERLINK("https://icf.clappia.com/app/GMB253374/submission/GMF00776621/ICF247370-GMB253374-4onkb882k6nm00000000/SIG-20250702_13211ag779.jpeg", "SIG-20250702_13211ag779.jpeg")</f>
        <v>SIG-20250702_13211ag779.jpeg</v>
      </c>
      <c r="AU534" s="1" t="s">
        <v>2851</v>
      </c>
      <c r="AV534" s="3" t="str">
        <f>HYPERLINK("https://icf.clappia.com/app/GMB253374/submission/GMF00776621/ICF247370-GMB253374-5l3e52p2cao000000000/SIG-20250702_1321f988e.jpeg", "SIG-20250702_1321f988e.jpeg")</f>
        <v>SIG-20250702_1321f988e.jpeg</v>
      </c>
      <c r="AW534" s="1" t="s">
        <v>2852</v>
      </c>
      <c r="AX534" s="3" t="str">
        <f>HYPERLINK("https://icf.clappia.com/app/GMB253374/submission/GMF00776621/ICF247370-GMB253374-5nm83hjgiggi00000000/SIG-20250702_132240gl4.jpeg", "SIG-20250702_132240gl4.jpeg")</f>
        <v>SIG-20250702_132240gl4.jpeg</v>
      </c>
      <c r="AY534" s="3" t="str">
        <f>HYPERLINK("https://www.google.com/maps/place/8.970955%2C-12.1596167", "8.970955,-12.1596167")</f>
        <v>8.970955,-12.1596167</v>
      </c>
    </row>
    <row r="535" ht="15.75" customHeight="1">
      <c r="A535" s="1" t="s">
        <v>2853</v>
      </c>
      <c r="B535" s="2" t="s">
        <v>47</v>
      </c>
      <c r="C535" s="1" t="s">
        <v>2854</v>
      </c>
      <c r="D535" s="1" t="s">
        <v>2854</v>
      </c>
      <c r="E535" s="1" t="s">
        <v>2855</v>
      </c>
      <c r="F535" s="1" t="s">
        <v>51</v>
      </c>
      <c r="G535" s="1">
        <v>189.0</v>
      </c>
      <c r="H535" s="1" t="s">
        <v>52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53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54</v>
      </c>
      <c r="U535" s="1" t="s">
        <v>55</v>
      </c>
      <c r="V535" s="1" t="s">
        <v>55</v>
      </c>
      <c r="W535" s="1" t="s">
        <v>55</v>
      </c>
      <c r="X535" s="1" t="s">
        <v>55</v>
      </c>
      <c r="Y535" s="1" t="s">
        <v>55</v>
      </c>
      <c r="Z535" s="1" t="s">
        <v>56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57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f t="shared" si="1"/>
        <v>189</v>
      </c>
      <c r="AM535" s="1">
        <v>189.0</v>
      </c>
      <c r="AN535" s="1">
        <v>201.0</v>
      </c>
      <c r="AO535" s="1">
        <v>183.0</v>
      </c>
      <c r="AP535" s="2">
        <v>11.0</v>
      </c>
      <c r="AQ535" s="1">
        <v>6.0</v>
      </c>
      <c r="AR535" s="1">
        <v>6.0</v>
      </c>
      <c r="AS535" s="1" t="s">
        <v>2856</v>
      </c>
      <c r="AT535" s="3" t="str">
        <f>HYPERLINK("https://icf.clappia.com/app/GMB253374/submission/CIW34664799/ICF247370-GMB253374-52hea6ncc52o00000000/SIG-20250702_12578kmn.jpeg", "SIG-20250702_12578kmn.jpeg")</f>
        <v>SIG-20250702_12578kmn.jpeg</v>
      </c>
      <c r="AU535" s="1" t="s">
        <v>2857</v>
      </c>
      <c r="AV535" s="3" t="str">
        <f>HYPERLINK("https://icf.clappia.com/app/GMB253374/submission/CIW34664799/ICF247370-GMB253374-5i7cn3oanmnm00000000/SIG-20250702_125896nhm.jpeg", "SIG-20250702_125896nhm.jpeg")</f>
        <v>SIG-20250702_125896nhm.jpeg</v>
      </c>
      <c r="AW535" s="1" t="s">
        <v>2858</v>
      </c>
      <c r="AX535" s="3" t="str">
        <f>HYPERLINK("https://icf.clappia.com/app/GMB253374/submission/CIW34664799/ICF247370-GMB253374-2j4ham7bg2ma00000000/SIG-20250702_1258og21j.jpeg", "SIG-20250702_1258og21j.jpeg")</f>
        <v>SIG-20250702_1258og21j.jpeg</v>
      </c>
      <c r="AY535" s="3" t="str">
        <f>HYPERLINK("https://www.google.com/maps/place/7.5568067%2C-11.86943", "7.5568067,-11.86943")</f>
        <v>7.5568067,-11.86943</v>
      </c>
    </row>
    <row r="536" ht="15.75" customHeight="1">
      <c r="A536" s="1" t="s">
        <v>2859</v>
      </c>
      <c r="B536" s="2" t="s">
        <v>47</v>
      </c>
      <c r="C536" s="1" t="s">
        <v>2860</v>
      </c>
      <c r="D536" s="1" t="s">
        <v>2860</v>
      </c>
      <c r="E536" s="1" t="s">
        <v>2861</v>
      </c>
      <c r="F536" s="1" t="s">
        <v>51</v>
      </c>
      <c r="G536" s="1">
        <v>140.0</v>
      </c>
      <c r="H536" s="1" t="s">
        <v>52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53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54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56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57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f t="shared" si="1"/>
        <v>140</v>
      </c>
      <c r="AM536" s="1">
        <v>140.0</v>
      </c>
      <c r="AN536" s="1">
        <v>152.0</v>
      </c>
      <c r="AO536" s="1">
        <v>113.0</v>
      </c>
      <c r="AP536" s="2">
        <v>11.0</v>
      </c>
      <c r="AQ536" s="1">
        <v>27.0</v>
      </c>
      <c r="AR536" s="1">
        <v>27.0</v>
      </c>
      <c r="AS536" s="1" t="s">
        <v>2862</v>
      </c>
      <c r="AT536" s="3" t="str">
        <f>HYPERLINK("https://icf.clappia.com/app/GMB253374/submission/ATS37734491/ICF247370-GMB253374-nkkkk25j5g4g000000/SIG-20250702_1240n3dld.jpeg", "SIG-20250702_1240n3dld.jpeg")</f>
        <v>SIG-20250702_1240n3dld.jpeg</v>
      </c>
      <c r="AU536" s="1" t="s">
        <v>2863</v>
      </c>
      <c r="AV536" s="3" t="str">
        <f>HYPERLINK("https://icf.clappia.com/app/GMB253374/submission/ATS37734491/ICF247370-GMB253374-4aj68a6o908g00000000/SIG-20250702_12427e334.jpeg", "SIG-20250702_12427e334.jpeg")</f>
        <v>SIG-20250702_12427e334.jpeg</v>
      </c>
      <c r="AW536" s="1" t="s">
        <v>2864</v>
      </c>
      <c r="AX536" s="3" t="str">
        <f>HYPERLINK("https://icf.clappia.com/app/GMB253374/submission/ATS37734491/ICF247370-GMB253374-611hbdl38p8c00000000/SIG-20250702_12434p0e.jpeg", "SIG-20250702_12434p0e.jpeg")</f>
        <v>SIG-20250702_12434p0e.jpeg</v>
      </c>
      <c r="AY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2865</v>
      </c>
      <c r="B537" s="2" t="s">
        <v>47</v>
      </c>
      <c r="C537" s="1" t="s">
        <v>2860</v>
      </c>
      <c r="D537" s="1" t="s">
        <v>2860</v>
      </c>
      <c r="E537" s="1" t="s">
        <v>2866</v>
      </c>
      <c r="F537" s="1" t="s">
        <v>51</v>
      </c>
      <c r="G537" s="1">
        <v>150.0</v>
      </c>
      <c r="H537" s="1" t="s">
        <v>52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53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54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56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57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f t="shared" si="1"/>
        <v>131</v>
      </c>
      <c r="AM537" s="1">
        <v>150.0</v>
      </c>
      <c r="AN537" s="1">
        <v>162.0</v>
      </c>
      <c r="AO537" s="1">
        <v>131.0</v>
      </c>
      <c r="AP537" s="2">
        <v>11.0</v>
      </c>
      <c r="AQ537" s="1">
        <v>19.0</v>
      </c>
      <c r="AR537" s="1">
        <v>19.0</v>
      </c>
      <c r="AS537" s="1" t="s">
        <v>591</v>
      </c>
      <c r="AT537" s="3" t="str">
        <f>HYPERLINK("https://icf.clappia.com/app/GMB253374/submission/JIW20996950/ICF247370-GMB253374-1l1nelp01dfp20000000/SIG-20250702_1320okgfp.jpeg", "SIG-20250702_1320okgfp.jpeg")</f>
        <v>SIG-20250702_1320okgfp.jpeg</v>
      </c>
      <c r="AU537" s="1" t="s">
        <v>592</v>
      </c>
      <c r="AV537" s="3" t="str">
        <f>HYPERLINK("https://icf.clappia.com/app/GMB253374/submission/JIW20996950/ICF247370-GMB253374-42n0ink0fmg600000000/SIG-20250702_13201772k8.jpeg", "SIG-20250702_13201772k8.jpeg")</f>
        <v>SIG-20250702_13201772k8.jpeg</v>
      </c>
      <c r="AW537" s="1" t="s">
        <v>593</v>
      </c>
      <c r="AX537" s="3" t="str">
        <f>HYPERLINK("https://icf.clappia.com/app/GMB253374/submission/JIW20996950/ICF247370-GMB253374-4hpin11ljc6c00000000/SIG-20250702_132014pblm.jpeg", "SIG-20250702_132014pblm.jpeg")</f>
        <v>SIG-20250702_132014pblm.jpeg</v>
      </c>
      <c r="AY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2867</v>
      </c>
      <c r="B538" s="2" t="s">
        <v>47</v>
      </c>
      <c r="C538" s="1" t="s">
        <v>2569</v>
      </c>
      <c r="D538" s="1" t="s">
        <v>2569</v>
      </c>
      <c r="E538" s="1" t="s">
        <v>2868</v>
      </c>
      <c r="F538" s="1" t="s">
        <v>51</v>
      </c>
      <c r="G538" s="1">
        <v>419.0</v>
      </c>
      <c r="H538" s="1" t="s">
        <v>52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53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54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56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57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f t="shared" si="1"/>
        <v>419</v>
      </c>
      <c r="AM538" s="1">
        <v>419.0</v>
      </c>
      <c r="AN538" s="1">
        <v>431.0</v>
      </c>
      <c r="AO538" s="1">
        <v>419.0</v>
      </c>
      <c r="AP538" s="2">
        <v>11.0</v>
      </c>
      <c r="AQ538" s="1">
        <v>0.0</v>
      </c>
      <c r="AR538" s="1">
        <v>0.0</v>
      </c>
      <c r="AS538" s="1" t="s">
        <v>2869</v>
      </c>
      <c r="AT538" s="3" t="str">
        <f>HYPERLINK("https://icf.clappia.com/app/GMB253374/submission/QHY64123517/ICF247370-GMB253374-4p66akkl6nde00000000/SIG-20250702_1146f6jpi.jpeg", "SIG-20250702_1146f6jpi.jpeg")</f>
        <v>SIG-20250702_1146f6jpi.jpeg</v>
      </c>
      <c r="AU538" s="1" t="s">
        <v>2870</v>
      </c>
      <c r="AV538" s="3" t="str">
        <f>HYPERLINK("https://icf.clappia.com/app/GMB253374/submission/QHY64123517/ICF247370-GMB253374-4fkl08cm3m9400000000/SIG-20250702_1148fl1lm.jpeg", "SIG-20250702_1148fl1lm.jpeg")</f>
        <v>SIG-20250702_1148fl1lm.jpeg</v>
      </c>
      <c r="AW538" s="1" t="s">
        <v>2871</v>
      </c>
      <c r="AX538" s="3" t="str">
        <f>HYPERLINK("https://icf.clappia.com/app/GMB253374/submission/QHY64123517/ICF247370-GMB253374-30p889mcdnki00000000/SIG-20250702_1146l68nf.jpeg", "SIG-20250702_1146l68nf.jpeg")</f>
        <v>SIG-20250702_1146l68nf.jpeg</v>
      </c>
      <c r="AY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2872</v>
      </c>
      <c r="B539" s="2" t="s">
        <v>47</v>
      </c>
      <c r="C539" s="1" t="s">
        <v>2873</v>
      </c>
      <c r="D539" s="1" t="s">
        <v>2873</v>
      </c>
      <c r="E539" s="1" t="s">
        <v>2874</v>
      </c>
      <c r="F539" s="1" t="s">
        <v>51</v>
      </c>
      <c r="G539" s="1">
        <v>250.0</v>
      </c>
      <c r="H539" s="1" t="s">
        <v>52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53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54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56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57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f t="shared" si="1"/>
        <v>240</v>
      </c>
      <c r="AM539" s="1">
        <v>250.0</v>
      </c>
      <c r="AN539" s="1">
        <v>262.0</v>
      </c>
      <c r="AO539" s="1">
        <v>240.0</v>
      </c>
      <c r="AP539" s="2">
        <v>11.0</v>
      </c>
      <c r="AQ539" s="1">
        <v>10.0</v>
      </c>
      <c r="AR539" s="1">
        <v>10.0</v>
      </c>
      <c r="AS539" s="1" t="s">
        <v>2258</v>
      </c>
      <c r="AT539" s="3" t="str">
        <f>HYPERLINK("https://icf.clappia.com/app/GMB253374/submission/YDG85774831/ICF247370-GMB253374-12o1eg9j5i6n20000000/SIG-20250702_13141699dp.jpeg", "SIG-20250702_13141699dp.jpeg")</f>
        <v>SIG-20250702_13141699dp.jpeg</v>
      </c>
      <c r="AU539" s="1" t="s">
        <v>2875</v>
      </c>
      <c r="AV539" s="3" t="str">
        <f>HYPERLINK("https://icf.clappia.com/app/GMB253374/submission/YDG85774831/ICF247370-GMB253374-3idmh78fok8c00000000/SIG-20250702_1314eldjp.jpeg", "SIG-20250702_1314eldjp.jpeg")</f>
        <v>SIG-20250702_1314eldjp.jpeg</v>
      </c>
      <c r="AW539" s="1" t="s">
        <v>2876</v>
      </c>
      <c r="AX539" s="3" t="str">
        <f>HYPERLINK("https://icf.clappia.com/app/GMB253374/submission/YDG85774831/ICF247370-GMB253374-336oad2o3h1i00000000/SIG-20250702_1315bb5ka.jpeg", "SIG-20250702_1315bb5ka.jpeg")</f>
        <v>SIG-20250702_1315bb5ka.jpeg</v>
      </c>
      <c r="AY539" s="3" t="str">
        <f>HYPERLINK("https://www.google.com/maps/place/7.937805%2C-11.6352767", "7.937805,-11.6352767")</f>
        <v>7.937805,-11.6352767</v>
      </c>
    </row>
    <row r="540" ht="15.75" customHeight="1">
      <c r="A540" s="1" t="s">
        <v>2877</v>
      </c>
      <c r="B540" s="2" t="s">
        <v>47</v>
      </c>
      <c r="C540" s="1" t="s">
        <v>2878</v>
      </c>
      <c r="D540" s="1" t="s">
        <v>2879</v>
      </c>
      <c r="E540" s="1" t="s">
        <v>2880</v>
      </c>
      <c r="F540" s="1" t="s">
        <v>51</v>
      </c>
      <c r="G540" s="1">
        <v>200.0</v>
      </c>
      <c r="H540" s="1" t="s">
        <v>52</v>
      </c>
      <c r="I540" s="1">
        <v>23.0</v>
      </c>
      <c r="J540" s="1" t="s">
        <v>55</v>
      </c>
      <c r="K540" s="1" t="s">
        <v>55</v>
      </c>
      <c r="L540" s="1">
        <v>23.0</v>
      </c>
      <c r="M540" s="1">
        <v>20.0</v>
      </c>
      <c r="N540" s="1" t="s">
        <v>53</v>
      </c>
      <c r="O540" s="1">
        <v>32.0</v>
      </c>
      <c r="P540" s="1" t="s">
        <v>55</v>
      </c>
      <c r="Q540" s="1" t="s">
        <v>55</v>
      </c>
      <c r="R540" s="1">
        <v>32.0</v>
      </c>
      <c r="S540" s="1">
        <v>29.0</v>
      </c>
      <c r="T540" s="1" t="s">
        <v>54</v>
      </c>
      <c r="U540" s="1">
        <v>31.0</v>
      </c>
      <c r="V540" s="1" t="s">
        <v>55</v>
      </c>
      <c r="W540" s="1" t="s">
        <v>55</v>
      </c>
      <c r="X540" s="1">
        <v>31.0</v>
      </c>
      <c r="Y540" s="1">
        <v>25.0</v>
      </c>
      <c r="Z540" s="1" t="s">
        <v>56</v>
      </c>
      <c r="AA540" s="1">
        <v>32.0</v>
      </c>
      <c r="AB540" s="1" t="s">
        <v>55</v>
      </c>
      <c r="AC540" s="1" t="s">
        <v>55</v>
      </c>
      <c r="AD540" s="1">
        <v>32.0</v>
      </c>
      <c r="AE540" s="1">
        <v>31.0</v>
      </c>
      <c r="AF540" s="1" t="s">
        <v>57</v>
      </c>
      <c r="AG540" s="1">
        <v>39.0</v>
      </c>
      <c r="AH540" s="1" t="s">
        <v>55</v>
      </c>
      <c r="AI540" s="1" t="s">
        <v>55</v>
      </c>
      <c r="AJ540" s="1">
        <v>39.0</v>
      </c>
      <c r="AK540" s="1">
        <v>35.0</v>
      </c>
      <c r="AL540" s="1">
        <f t="shared" si="1"/>
        <v>157</v>
      </c>
      <c r="AM540" s="1">
        <v>200.0</v>
      </c>
      <c r="AN540" s="1">
        <v>212.0</v>
      </c>
      <c r="AO540" s="1">
        <v>140.0</v>
      </c>
      <c r="AP540" s="2">
        <v>11.0</v>
      </c>
      <c r="AQ540" s="1">
        <v>60.0</v>
      </c>
      <c r="AR540" s="1">
        <v>60.0</v>
      </c>
      <c r="AS540" s="1" t="s">
        <v>928</v>
      </c>
      <c r="AT540" s="3" t="str">
        <f>HYPERLINK("https://icf.clappia.com/app/GMB253374/submission/AZF38150544/ICF247370-GMB253374-43aghoog1ig200000000/SIG-20250702_124215cb1g.jpeg", "SIG-20250702_124215cb1g.jpeg")</f>
        <v>SIG-20250702_124215cb1g.jpeg</v>
      </c>
      <c r="AU540" s="1" t="s">
        <v>929</v>
      </c>
      <c r="AV540" s="3" t="str">
        <f>HYPERLINK("https://icf.clappia.com/app/GMB253374/submission/AZF38150544/ICF247370-GMB253374-2kni9jf5lc2g00000000/SIG-20250702_124232h5l.jpeg", "SIG-20250702_124232h5l.jpeg")</f>
        <v>SIG-20250702_124232h5l.jpeg</v>
      </c>
      <c r="AW540" s="1" t="s">
        <v>2881</v>
      </c>
      <c r="AX540" s="3" t="str">
        <f>HYPERLINK("https://icf.clappia.com/app/GMB253374/submission/AZF38150544/ICF247370-GMB253374-1ac4c73524pbe0000000/SIG-20250702_124314d5gc.jpeg", "SIG-20250702_124314d5gc.jpeg")</f>
        <v>SIG-20250702_124314d5gc.jpeg</v>
      </c>
      <c r="AY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2882</v>
      </c>
      <c r="B541" s="2" t="s">
        <v>47</v>
      </c>
      <c r="C541" s="1" t="s">
        <v>2883</v>
      </c>
      <c r="D541" s="1" t="s">
        <v>2879</v>
      </c>
      <c r="E541" s="1" t="s">
        <v>2884</v>
      </c>
      <c r="F541" s="1" t="s">
        <v>51</v>
      </c>
      <c r="G541" s="1">
        <v>208.0</v>
      </c>
      <c r="H541" s="1" t="s">
        <v>52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53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54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56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57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f t="shared" si="1"/>
        <v>202</v>
      </c>
      <c r="AM541" s="1">
        <v>208.0</v>
      </c>
      <c r="AN541" s="1">
        <v>220.0</v>
      </c>
      <c r="AO541" s="1">
        <v>168.0</v>
      </c>
      <c r="AP541" s="2">
        <v>11.0</v>
      </c>
      <c r="AQ541" s="1">
        <v>40.0</v>
      </c>
      <c r="AR541" s="1">
        <v>40.0</v>
      </c>
      <c r="AS541" s="1" t="s">
        <v>928</v>
      </c>
      <c r="AT541" s="3" t="str">
        <f>HYPERLINK("https://icf.clappia.com/app/GMB253374/submission/TFK29666419/ICF247370-GMB253374-5kkh1ajp5jmg00000000/SIG-20250701_1117117o65.jpeg", "SIG-20250701_1117117o65.jpeg")</f>
        <v>SIG-20250701_1117117o65.jpeg</v>
      </c>
      <c r="AU541" s="1" t="s">
        <v>2885</v>
      </c>
      <c r="AV541" s="3" t="str">
        <f>HYPERLINK("https://icf.clappia.com/app/GMB253374/submission/TFK29666419/ICF247370-GMB253374-5hmeba42iaoo00000000/SIG-20250701_113413ik60.jpeg", "SIG-20250701_113413ik60.jpeg")</f>
        <v>SIG-20250701_113413ik60.jpeg</v>
      </c>
      <c r="AW541" s="1" t="s">
        <v>929</v>
      </c>
      <c r="AX541" s="3" t="str">
        <f>HYPERLINK("https://icf.clappia.com/app/GMB253374/submission/TFK29666419/ICF247370-GMB253374-10p3p0k8md2ic0000000/SIG-20250701_11341hhgj.jpeg", "SIG-20250701_11341hhgj.jpeg")</f>
        <v>SIG-20250701_11341hhgj.jpeg</v>
      </c>
      <c r="AY541" s="3" t="str">
        <f>HYPERLINK("https://www.google.com/maps/place/7.93631%2C-11.7224433", "7.93631,-11.7224433")</f>
        <v>7.93631,-11.7224433</v>
      </c>
    </row>
    <row r="542" ht="15.75" customHeight="1">
      <c r="A542" s="1" t="s">
        <v>2886</v>
      </c>
      <c r="B542" s="2" t="s">
        <v>47</v>
      </c>
      <c r="C542" s="1" t="s">
        <v>2887</v>
      </c>
      <c r="D542" s="1" t="s">
        <v>2888</v>
      </c>
      <c r="E542" s="1" t="s">
        <v>2889</v>
      </c>
      <c r="F542" s="1" t="s">
        <v>51</v>
      </c>
      <c r="G542" s="1">
        <v>150.0</v>
      </c>
      <c r="H542" s="1" t="s">
        <v>52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53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54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56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55</v>
      </c>
      <c r="AF542" s="1" t="s">
        <v>57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f t="shared" si="1"/>
        <v>105</v>
      </c>
      <c r="AM542" s="1">
        <v>150.0</v>
      </c>
      <c r="AN542" s="1">
        <v>162.0</v>
      </c>
      <c r="AO542" s="1">
        <v>105.0</v>
      </c>
      <c r="AP542" s="2">
        <v>11.0</v>
      </c>
      <c r="AQ542" s="1">
        <v>45.0</v>
      </c>
      <c r="AR542" s="1">
        <v>45.0</v>
      </c>
      <c r="AS542" s="1" t="s">
        <v>2890</v>
      </c>
      <c r="AT542" s="3" t="str">
        <f>HYPERLINK("https://icf.clappia.com/app/GMB253374/submission/WPC94614006/ICF247370-GMB253374-230cbeifio9da0000000/SIG-20250702_13038gf25.jpeg", "SIG-20250702_13038gf25.jpeg")</f>
        <v>SIG-20250702_13038gf25.jpeg</v>
      </c>
      <c r="AU542" s="1" t="s">
        <v>2891</v>
      </c>
      <c r="AV542" s="3" t="str">
        <f>HYPERLINK("https://icf.clappia.com/app/GMB253374/submission/WPC94614006/ICF247370-GMB253374-65cpkj3h5jec00000000/SIG-20250702_1303170nep.jpeg", "SIG-20250702_1303170nep.jpeg")</f>
        <v>SIG-20250702_1303170nep.jpeg</v>
      </c>
      <c r="AW542" s="1" t="s">
        <v>2892</v>
      </c>
      <c r="AX542" s="3" t="str">
        <f>HYPERLINK("https://icf.clappia.com/app/GMB253374/submission/WPC94614006/ICF247370-GMB253374-175ckc9emencc0000000/SIG-20250702_130418ldfg.jpeg", "SIG-20250702_130418ldfg.jpeg")</f>
        <v>SIG-20250702_130418ldfg.jpeg</v>
      </c>
      <c r="AY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2893</v>
      </c>
      <c r="B543" s="2" t="s">
        <v>47</v>
      </c>
      <c r="C543" s="1" t="s">
        <v>2894</v>
      </c>
      <c r="D543" s="1" t="s">
        <v>2895</v>
      </c>
      <c r="E543" s="1" t="s">
        <v>2896</v>
      </c>
      <c r="F543" s="1" t="s">
        <v>51</v>
      </c>
      <c r="G543" s="1">
        <v>197.0</v>
      </c>
      <c r="H543" s="1" t="s">
        <v>52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53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54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56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57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f t="shared" si="1"/>
        <v>197</v>
      </c>
      <c r="AM543" s="1">
        <v>197.0</v>
      </c>
      <c r="AN543" s="1">
        <v>209.0</v>
      </c>
      <c r="AO543" s="1">
        <v>197.0</v>
      </c>
      <c r="AP543" s="2">
        <v>11.0</v>
      </c>
      <c r="AQ543" s="1">
        <v>0.0</v>
      </c>
      <c r="AR543" s="1">
        <v>0.0</v>
      </c>
      <c r="AS543" s="1" t="s">
        <v>2890</v>
      </c>
      <c r="AT543" s="3" t="str">
        <f>HYPERLINK("https://icf.clappia.com/app/GMB253374/submission/ZWZ32555432/ICF247370-GMB253374-lok95a9o2cb20000000/SIG-20250701_101216n87m.jpeg", "SIG-20250701_101216n87m.jpeg")</f>
        <v>SIG-20250701_101216n87m.jpeg</v>
      </c>
      <c r="AU543" s="1" t="s">
        <v>2891</v>
      </c>
      <c r="AV543" s="3" t="str">
        <f>HYPERLINK("https://icf.clappia.com/app/GMB253374/submission/ZWZ32555432/ICF247370-GMB253374-3gc6d1b184mo00000000/SIG-20250701_101310i02j.jpeg", "SIG-20250701_101310i02j.jpeg")</f>
        <v>SIG-20250701_101310i02j.jpeg</v>
      </c>
      <c r="AW543" s="1" t="s">
        <v>2892</v>
      </c>
      <c r="AX543" s="3" t="str">
        <f>HYPERLINK("https://icf.clappia.com/app/GMB253374/submission/ZWZ32555432/ICF247370-GMB253374-4nkcj13agne800000000/SIG-20250701_101415e67g.jpeg", "SIG-20250701_101415e67g.jpeg")</f>
        <v>SIG-20250701_101415e67g.jpeg</v>
      </c>
      <c r="AY543" s="3" t="str">
        <f>HYPERLINK("https://www.google.com/maps/place/8.017421%2C-11.5821865", "8.017421,-11.5821865")</f>
        <v>8.017421,-11.5821865</v>
      </c>
    </row>
    <row r="544" ht="15.75" customHeight="1">
      <c r="A544" s="1" t="s">
        <v>2897</v>
      </c>
      <c r="B544" s="2" t="s">
        <v>47</v>
      </c>
      <c r="C544" s="1" t="s">
        <v>2898</v>
      </c>
      <c r="D544" s="1" t="s">
        <v>2898</v>
      </c>
      <c r="E544" s="1" t="s">
        <v>2899</v>
      </c>
      <c r="F544" s="1" t="s">
        <v>51</v>
      </c>
      <c r="G544" s="1">
        <v>244.0</v>
      </c>
      <c r="H544" s="1" t="s">
        <v>52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53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54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56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57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f t="shared" si="1"/>
        <v>244</v>
      </c>
      <c r="AM544" s="1">
        <v>244.0</v>
      </c>
      <c r="AN544" s="1">
        <v>256.0</v>
      </c>
      <c r="AO544" s="1">
        <v>244.0</v>
      </c>
      <c r="AP544" s="2">
        <v>11.0</v>
      </c>
      <c r="AQ544" s="1">
        <v>0.0</v>
      </c>
      <c r="AR544" s="1">
        <v>0.0</v>
      </c>
      <c r="AS544" s="1" t="s">
        <v>1184</v>
      </c>
      <c r="AT544" s="3" t="str">
        <f>HYPERLINK("https://icf.clappia.com/app/GMB253374/submission/SXL63529926/ICF247370-GMB253374-io00m46hon5i0000000/SIG-20250702_1309b93l7.jpeg", "SIG-20250702_1309b93l7.jpeg")</f>
        <v>SIG-20250702_1309b93l7.jpeg</v>
      </c>
      <c r="AU544" s="1" t="s">
        <v>2900</v>
      </c>
      <c r="AV544" s="3" t="str">
        <f>HYPERLINK("https://icf.clappia.com/app/GMB253374/submission/SXL63529926/ICF247370-GMB253374-3g0kj3h4ib9200000000/SIG-20250702_1310cl7nm.jpeg", "SIG-20250702_1310cl7nm.jpeg")</f>
        <v>SIG-20250702_1310cl7nm.jpeg</v>
      </c>
      <c r="AW544" s="1" t="s">
        <v>1186</v>
      </c>
      <c r="AX544" s="3" t="str">
        <f>HYPERLINK("https://icf.clappia.com/app/GMB253374/submission/SXL63529926/ICF247370-GMB253374-1kcea84n7k2a40000000/SIG-20250702_13109d2ok.jpeg", "SIG-20250702_13109d2ok.jpeg")</f>
        <v>SIG-20250702_13109d2ok.jpeg</v>
      </c>
      <c r="AY544" s="3" t="str">
        <f>HYPERLINK("https://www.google.com/maps/place/7.925305%2C-11.7199633", "7.925305,-11.7199633")</f>
        <v>7.925305,-11.7199633</v>
      </c>
    </row>
    <row r="545" ht="15.75" customHeight="1">
      <c r="A545" s="1" t="s">
        <v>2901</v>
      </c>
      <c r="B545" s="2" t="s">
        <v>47</v>
      </c>
      <c r="C545" s="1" t="s">
        <v>192</v>
      </c>
      <c r="D545" s="1" t="s">
        <v>2898</v>
      </c>
      <c r="E545" s="1" t="s">
        <v>2902</v>
      </c>
      <c r="F545" s="1" t="s">
        <v>51</v>
      </c>
      <c r="G545" s="1">
        <v>100.0</v>
      </c>
      <c r="H545" s="1" t="s">
        <v>52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53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54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56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57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f t="shared" si="1"/>
        <v>93</v>
      </c>
      <c r="AM545" s="1">
        <v>100.0</v>
      </c>
      <c r="AN545" s="1">
        <v>112.0</v>
      </c>
      <c r="AO545" s="1">
        <v>93.0</v>
      </c>
      <c r="AP545" s="2">
        <v>11.0</v>
      </c>
      <c r="AQ545" s="1">
        <v>7.0</v>
      </c>
      <c r="AR545" s="1">
        <v>7.0</v>
      </c>
      <c r="AS545" s="1" t="s">
        <v>1086</v>
      </c>
      <c r="AT545" s="3" t="str">
        <f>HYPERLINK("https://icf.clappia.com/app/GMB253374/submission/DPO77891064/ICF247370-GMB253374-4ckhjlf4moge00000000/SIG-20250701_1154ahbf.jpeg", "SIG-20250701_1154ahbf.jpeg")</f>
        <v>SIG-20250701_1154ahbf.jpeg</v>
      </c>
      <c r="AU545" s="1" t="s">
        <v>1087</v>
      </c>
      <c r="AV545" s="3" t="str">
        <f>HYPERLINK("https://icf.clappia.com/app/GMB253374/submission/DPO77891064/ICF247370-GMB253374-533phghdbm8600000000/SIG-20250701_1155hjcfb.jpeg", "SIG-20250701_1155hjcfb.jpeg")</f>
        <v>SIG-20250701_1155hjcfb.jpeg</v>
      </c>
      <c r="AW545" s="1" t="s">
        <v>2903</v>
      </c>
      <c r="AX545" s="3" t="str">
        <f>HYPERLINK("https://icf.clappia.com/app/GMB253374/submission/DPO77891064/ICF247370-GMB253374-5bff0efbinc800000000/SIG-20250701_115619nk1.jpeg", "SIG-20250701_115619nk1.jpeg")</f>
        <v>SIG-20250701_115619nk1.jpeg</v>
      </c>
      <c r="AY545" s="3" t="str">
        <f>HYPERLINK("https://www.google.com/maps/place/7.9777283%2C-11.67153", "7.9777283,-11.67153")</f>
        <v>7.9777283,-11.67153</v>
      </c>
    </row>
    <row r="546" ht="15.75" customHeight="1">
      <c r="A546" s="1" t="s">
        <v>2904</v>
      </c>
      <c r="B546" s="2" t="s">
        <v>47</v>
      </c>
      <c r="C546" s="1" t="s">
        <v>2905</v>
      </c>
      <c r="D546" s="1" t="s">
        <v>2906</v>
      </c>
      <c r="E546" s="1" t="s">
        <v>2907</v>
      </c>
      <c r="F546" s="1" t="s">
        <v>51</v>
      </c>
      <c r="G546" s="1">
        <v>100.0</v>
      </c>
      <c r="H546" s="1" t="s">
        <v>52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53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54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56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57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f t="shared" si="1"/>
        <v>100</v>
      </c>
      <c r="AM546" s="1">
        <v>100.0</v>
      </c>
      <c r="AN546" s="1">
        <v>112.0</v>
      </c>
      <c r="AO546" s="1">
        <v>100.0</v>
      </c>
      <c r="AP546" s="2">
        <v>11.0</v>
      </c>
      <c r="AQ546" s="1">
        <v>0.0</v>
      </c>
      <c r="AR546" s="1">
        <v>0.0</v>
      </c>
      <c r="AS546" s="1" t="s">
        <v>2908</v>
      </c>
      <c r="AT546" s="3" t="str">
        <f>HYPERLINK("https://icf.clappia.com/app/GMB253374/submission/ONV50574360/ICF247370-GMB253374-112nd89h6c4fa0000000/SIG-20250630_16351aah6b.jpeg", "SIG-20250630_16351aah6b.jpeg")</f>
        <v>SIG-20250630_16351aah6b.jpeg</v>
      </c>
      <c r="AU546" s="1" t="s">
        <v>1087</v>
      </c>
      <c r="AV546" s="3" t="str">
        <f>HYPERLINK("https://icf.clappia.com/app/GMB253374/submission/ONV50574360/ICF247370-GMB253374-4p9ipf1cfjpe00000000/SIG-20250630_1636151epl.jpeg", "SIG-20250630_1636151epl.jpeg")</f>
        <v>SIG-20250630_1636151epl.jpeg</v>
      </c>
      <c r="AW546" s="1" t="s">
        <v>1088</v>
      </c>
      <c r="AX546" s="3" t="str">
        <f>HYPERLINK("https://icf.clappia.com/app/GMB253374/submission/ONV50574360/ICF247370-GMB253374-2m092epn4i3g00000000/SIG-20250630_1636159a43.jpeg", "SIG-20250630_1636159a43.jpeg")</f>
        <v>SIG-20250630_1636159a43.jpeg</v>
      </c>
      <c r="AY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2909</v>
      </c>
      <c r="B547" s="2" t="s">
        <v>47</v>
      </c>
      <c r="C547" s="1" t="s">
        <v>2906</v>
      </c>
      <c r="D547" s="1" t="s">
        <v>2906</v>
      </c>
      <c r="E547" s="1" t="s">
        <v>2910</v>
      </c>
      <c r="F547" s="1" t="s">
        <v>72</v>
      </c>
      <c r="G547" s="1">
        <v>300.0</v>
      </c>
      <c r="H547" s="1" t="s">
        <v>52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53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54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56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57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f t="shared" si="1"/>
        <v>135</v>
      </c>
      <c r="AM547" s="1">
        <v>300.0</v>
      </c>
      <c r="AN547" s="1">
        <v>312.0</v>
      </c>
      <c r="AO547" s="1">
        <v>135.0</v>
      </c>
      <c r="AP547" s="2">
        <v>11.0</v>
      </c>
      <c r="AQ547" s="1">
        <v>165.0</v>
      </c>
      <c r="AR547" s="1">
        <v>165.0</v>
      </c>
      <c r="AS547" s="1" t="s">
        <v>2911</v>
      </c>
      <c r="AT547" s="3" t="str">
        <f>HYPERLINK("https://icf.clappia.com/app/GMB253374/submission/UMZ54485225/ICF247370-GMB253374-6bagjmb986ao00000000/SIG-20250702_1259170075.jpeg", "SIG-20250702_1259170075.jpeg")</f>
        <v>SIG-20250702_1259170075.jpeg</v>
      </c>
      <c r="AU547" s="1" t="s">
        <v>2912</v>
      </c>
      <c r="AV547" s="3" t="str">
        <f>HYPERLINK("https://icf.clappia.com/app/GMB253374/submission/UMZ54485225/ICF247370-GMB253374-hgkgacb7l3n60000000/SIG-20250702_1132196odj.jpeg", "SIG-20250702_1132196odj.jpeg")</f>
        <v>SIG-20250702_1132196odj.jpeg</v>
      </c>
      <c r="AW547" s="1" t="s">
        <v>2913</v>
      </c>
      <c r="AX547" s="3" t="str">
        <f>HYPERLINK("https://icf.clappia.com/app/GMB253374/submission/UMZ54485225/ICF247370-GMB253374-624liajd9g2800000000/SIG-20250702_1134ob9ba.jpeg", "SIG-20250702_1134ob9ba.jpeg")</f>
        <v>SIG-20250702_1134ob9ba.jpeg</v>
      </c>
      <c r="AY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2914</v>
      </c>
      <c r="B548" s="2" t="s">
        <v>47</v>
      </c>
      <c r="C548" s="1" t="s">
        <v>2915</v>
      </c>
      <c r="D548" s="1" t="s">
        <v>2915</v>
      </c>
      <c r="E548" s="1" t="s">
        <v>2916</v>
      </c>
      <c r="F548" s="1" t="s">
        <v>51</v>
      </c>
      <c r="G548" s="1">
        <v>300.0</v>
      </c>
      <c r="H548" s="1" t="s">
        <v>52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53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54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56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57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f t="shared" si="1"/>
        <v>319</v>
      </c>
      <c r="AM548" s="1">
        <v>300.0</v>
      </c>
      <c r="AN548" s="1">
        <v>312.0</v>
      </c>
      <c r="AO548" s="1">
        <v>300.0</v>
      </c>
      <c r="AP548" s="2">
        <v>11.0</v>
      </c>
      <c r="AQ548" s="1">
        <v>0.0</v>
      </c>
      <c r="AR548" s="1">
        <v>0.0</v>
      </c>
      <c r="AS548" s="1" t="s">
        <v>969</v>
      </c>
      <c r="AT548" s="3" t="str">
        <f>HYPERLINK("https://icf.clappia.com/app/GMB253374/submission/NYB05584935/ICF247370-GMB253374-13ojkddpnmgna0000000/SIG-20250702_13042mpcn.jpeg", "SIG-20250702_13042mpcn.jpeg")</f>
        <v>SIG-20250702_13042mpcn.jpeg</v>
      </c>
      <c r="AU548" s="1" t="s">
        <v>971</v>
      </c>
      <c r="AV548" s="3" t="str">
        <f>HYPERLINK("https://icf.clappia.com/app/GMB253374/submission/NYB05584935/ICF247370-GMB253374-d3iipgknao9k0000000/SIG-20250702_13043coc6.jpeg", "SIG-20250702_13043coc6.jpeg")</f>
        <v>SIG-20250702_13043coc6.jpeg</v>
      </c>
      <c r="AW548" s="1" t="s">
        <v>970</v>
      </c>
      <c r="AX548" s="3" t="str">
        <f>HYPERLINK("https://icf.clappia.com/app/GMB253374/submission/NYB05584935/ICF247370-GMB253374-3f14aca780mo00000000/SIG-20250702_13051aebj4.jpeg", "SIG-20250702_13051aebj4.jpeg")</f>
        <v>SIG-20250702_13051aebj4.jpeg</v>
      </c>
      <c r="AY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2917</v>
      </c>
      <c r="B549" s="2" t="s">
        <v>47</v>
      </c>
      <c r="C549" s="1" t="s">
        <v>2918</v>
      </c>
      <c r="D549" s="1" t="s">
        <v>2918</v>
      </c>
      <c r="E549" s="1" t="s">
        <v>2919</v>
      </c>
      <c r="F549" s="1" t="s">
        <v>51</v>
      </c>
      <c r="G549" s="1">
        <v>130.0</v>
      </c>
      <c r="H549" s="1" t="s">
        <v>52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53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54</v>
      </c>
      <c r="U549" s="1" t="s">
        <v>55</v>
      </c>
      <c r="V549" s="1" t="s">
        <v>55</v>
      </c>
      <c r="W549" s="1" t="s">
        <v>55</v>
      </c>
      <c r="X549" s="1" t="s">
        <v>55</v>
      </c>
      <c r="Y549" s="1" t="s">
        <v>55</v>
      </c>
      <c r="Z549" s="1" t="s">
        <v>56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55</v>
      </c>
      <c r="AF549" s="1" t="s">
        <v>57</v>
      </c>
      <c r="AG549" s="1" t="s">
        <v>55</v>
      </c>
      <c r="AH549" s="1" t="s">
        <v>55</v>
      </c>
      <c r="AI549" s="1" t="s">
        <v>55</v>
      </c>
      <c r="AJ549" s="1" t="s">
        <v>55</v>
      </c>
      <c r="AK549" s="1" t="s">
        <v>55</v>
      </c>
      <c r="AL549" s="1">
        <f t="shared" si="1"/>
        <v>128</v>
      </c>
      <c r="AM549" s="1">
        <v>130.0</v>
      </c>
      <c r="AN549" s="1">
        <v>142.0</v>
      </c>
      <c r="AO549" s="1">
        <v>128.0</v>
      </c>
      <c r="AP549" s="2">
        <v>11.0</v>
      </c>
      <c r="AQ549" s="1">
        <v>2.0</v>
      </c>
      <c r="AR549" s="1">
        <v>2.0</v>
      </c>
      <c r="AS549" s="1" t="s">
        <v>1876</v>
      </c>
      <c r="AT549" s="3" t="str">
        <f>HYPERLINK("https://icf.clappia.com/app/GMB253374/submission/KVV52149800/ICF247370-GMB253374-1hogbfi3k6h7m0000000/SIG-20250702_1303d77kc.jpeg", "SIG-20250702_1303d77kc.jpeg")</f>
        <v>SIG-20250702_1303d77kc.jpeg</v>
      </c>
      <c r="AU549" s="1" t="s">
        <v>1877</v>
      </c>
      <c r="AV549" s="3" t="str">
        <f>HYPERLINK("https://icf.clappia.com/app/GMB253374/submission/KVV52149800/ICF247370-GMB253374-25b7j4dfefa2i0000000/SIG-20250702_1303g9jo4.jpeg", "SIG-20250702_1303g9jo4.jpeg")</f>
        <v>SIG-20250702_1303g9jo4.jpeg</v>
      </c>
      <c r="AW549" s="1" t="s">
        <v>2920</v>
      </c>
      <c r="AX549" s="3" t="str">
        <f>HYPERLINK("https://icf.clappia.com/app/GMB253374/submission/KVV52149800/ICF247370-GMB253374-5c9cgc608gc600000000/SIG-20250702_13035559d.jpeg", "SIG-20250702_13035559d.jpeg")</f>
        <v>SIG-20250702_13035559d.jpeg</v>
      </c>
      <c r="AY549" s="3" t="str">
        <f>HYPERLINK("https://www.google.com/maps/place/7.768975%2C-11.6566133", "7.768975,-11.6566133")</f>
        <v>7.768975,-11.6566133</v>
      </c>
    </row>
    <row r="550" ht="15.75" customHeight="1">
      <c r="A550" s="1" t="s">
        <v>2921</v>
      </c>
      <c r="B550" s="2" t="s">
        <v>47</v>
      </c>
      <c r="C550" s="1" t="s">
        <v>2887</v>
      </c>
      <c r="D550" s="1" t="s">
        <v>2922</v>
      </c>
      <c r="E550" s="2" t="s">
        <v>2923</v>
      </c>
      <c r="F550" s="1" t="s">
        <v>51</v>
      </c>
      <c r="G550" s="1">
        <v>151.0</v>
      </c>
      <c r="H550" s="1" t="s">
        <v>52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53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54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56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57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f t="shared" si="1"/>
        <v>310</v>
      </c>
      <c r="AM550" s="1">
        <v>151.0</v>
      </c>
      <c r="AN550" s="1">
        <v>163.0</v>
      </c>
      <c r="AO550" s="1">
        <v>151.0</v>
      </c>
      <c r="AP550" s="2">
        <v>11.0</v>
      </c>
      <c r="AQ550" s="1">
        <v>0.0</v>
      </c>
      <c r="AR550" s="1">
        <v>0.0</v>
      </c>
      <c r="AS550" s="1" t="s">
        <v>699</v>
      </c>
      <c r="AT550" s="3" t="str">
        <f>HYPERLINK("https://icf.clappia.com/app/GMB253374/submission/IUS23879914/ICF247370-GMB253374-68bknl30l0e000000000/SIG-20250702_125527ce7.jpeg", "SIG-20250702_125527ce7.jpeg")</f>
        <v>SIG-20250702_125527ce7.jpeg</v>
      </c>
      <c r="AU550" s="1" t="s">
        <v>2924</v>
      </c>
      <c r="AV550" s="3" t="str">
        <f>HYPERLINK("https://icf.clappia.com/app/GMB253374/submission/IUS23879914/ICF247370-GMB253374-2jifn603lp4c00000000/SIG-20250702_125614mo7l.jpeg", "SIG-20250702_125614mo7l.jpeg")</f>
        <v>SIG-20250702_125614mo7l.jpeg</v>
      </c>
      <c r="AW550" s="1" t="s">
        <v>2925</v>
      </c>
      <c r="AX550" s="3" t="str">
        <f>HYPERLINK("https://icf.clappia.com/app/GMB253374/submission/IUS23879914/ICF247370-GMB253374-5pefjjk231a400000000/SIG-20250702_13053i5ie.jpeg", "SIG-20250702_13053i5ie.jpeg")</f>
        <v>SIG-20250702_13053i5ie.jpeg</v>
      </c>
      <c r="AY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2926</v>
      </c>
      <c r="B551" s="2" t="s">
        <v>47</v>
      </c>
      <c r="C551" s="1" t="s">
        <v>2887</v>
      </c>
      <c r="D551" s="1" t="s">
        <v>2887</v>
      </c>
      <c r="E551" s="2" t="s">
        <v>2927</v>
      </c>
      <c r="F551" s="1" t="s">
        <v>72</v>
      </c>
      <c r="G551" s="1">
        <v>150.0</v>
      </c>
      <c r="H551" s="1" t="s">
        <v>52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53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54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56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57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f t="shared" si="1"/>
        <v>150</v>
      </c>
      <c r="AM551" s="1">
        <v>150.0</v>
      </c>
      <c r="AN551" s="1">
        <v>162.0</v>
      </c>
      <c r="AO551" s="1">
        <v>146.0</v>
      </c>
      <c r="AP551" s="2">
        <v>11.0</v>
      </c>
      <c r="AQ551" s="1">
        <v>4.0</v>
      </c>
      <c r="AR551" s="1">
        <v>4.0</v>
      </c>
      <c r="AS551" s="1" t="s">
        <v>2928</v>
      </c>
      <c r="AT551" s="3" t="str">
        <f>HYPERLINK("https://icf.clappia.com/app/GMB253374/submission/FXE71069844/ICF247370-GMB253374-3ig9l15j79ae00000000/SIG-20250702_130416mhhc.jpeg", "SIG-20250702_130416mhhc.jpeg")</f>
        <v>SIG-20250702_130416mhhc.jpeg</v>
      </c>
      <c r="AU551" s="1" t="s">
        <v>2929</v>
      </c>
      <c r="AV551" s="3" t="str">
        <f>HYPERLINK("https://icf.clappia.com/app/GMB253374/submission/FXE71069844/ICF247370-GMB253374-2g0mbn1n27cg00000000/SIG-20250702_1304163fnb.jpeg", "SIG-20250702_1304163fnb.jpeg")</f>
        <v>SIG-20250702_1304163fnb.jpeg</v>
      </c>
      <c r="AW551" s="1" t="s">
        <v>2930</v>
      </c>
      <c r="AX551" s="3" t="str">
        <f>HYPERLINK("https://icf.clappia.com/app/GMB253374/submission/FXE71069844/ICF247370-GMB253374-2l58nplcoc0k00000000/SIG-20250702_130411ei.jpeg", "SIG-20250702_130411ei.jpeg")</f>
        <v>SIG-20250702_130411ei.jpeg</v>
      </c>
      <c r="AY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2931</v>
      </c>
      <c r="B552" s="2" t="s">
        <v>47</v>
      </c>
      <c r="C552" s="1" t="s">
        <v>2932</v>
      </c>
      <c r="D552" s="1" t="s">
        <v>2932</v>
      </c>
      <c r="E552" s="1" t="s">
        <v>2933</v>
      </c>
      <c r="F552" s="1" t="s">
        <v>51</v>
      </c>
      <c r="G552" s="1">
        <v>200.0</v>
      </c>
      <c r="H552" s="1" t="s">
        <v>52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53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54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56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57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f t="shared" si="1"/>
        <v>200</v>
      </c>
      <c r="AM552" s="1">
        <v>200.0</v>
      </c>
      <c r="AN552" s="1">
        <v>212.0</v>
      </c>
      <c r="AO552" s="1">
        <v>190.0</v>
      </c>
      <c r="AP552" s="2">
        <v>11.0</v>
      </c>
      <c r="AQ552" s="1">
        <v>10.0</v>
      </c>
      <c r="AR552" s="1">
        <v>10.0</v>
      </c>
      <c r="AS552" s="1" t="s">
        <v>2934</v>
      </c>
      <c r="AT552" s="3" t="str">
        <f>HYPERLINK("https://icf.clappia.com/app/GMB253374/submission/EKA30638343/ICF247370-GMB253374-57p6dpkgob0800000000/SIG-20250702_1301ogj35.jpeg", "SIG-20250702_1301ogj35.jpeg")</f>
        <v>SIG-20250702_1301ogj35.jpeg</v>
      </c>
      <c r="AU552" s="1" t="s">
        <v>2935</v>
      </c>
      <c r="AV552" s="3" t="str">
        <f>HYPERLINK("https://icf.clappia.com/app/GMB253374/submission/EKA30638343/ICF247370-GMB253374-66hn9mdod0g200000000/SIG-20250702_1301efcja.jpeg", "SIG-20250702_1301efcja.jpeg")</f>
        <v>SIG-20250702_1301efcja.jpeg</v>
      </c>
      <c r="AW552" s="1" t="s">
        <v>2936</v>
      </c>
      <c r="AX552" s="3" t="str">
        <f>HYPERLINK("https://icf.clappia.com/app/GMB253374/submission/EKA30638343/ICF247370-GMB253374-f52nl9aj040g0000000/SIG-20250702_1302goc3e.jpeg", "SIG-20250702_1302goc3e.jpeg")</f>
        <v>SIG-20250702_1302goc3e.jpeg</v>
      </c>
      <c r="AY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2937</v>
      </c>
      <c r="B553" s="2" t="s">
        <v>47</v>
      </c>
      <c r="C553" s="1" t="s">
        <v>2938</v>
      </c>
      <c r="D553" s="1" t="s">
        <v>2938</v>
      </c>
      <c r="E553" s="1" t="s">
        <v>2939</v>
      </c>
      <c r="F553" s="1" t="s">
        <v>72</v>
      </c>
      <c r="G553" s="1">
        <v>200.0</v>
      </c>
      <c r="H553" s="1" t="s">
        <v>52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53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54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56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57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f t="shared" si="1"/>
        <v>200</v>
      </c>
      <c r="AM553" s="1">
        <v>200.0</v>
      </c>
      <c r="AN553" s="1">
        <v>212.0</v>
      </c>
      <c r="AO553" s="1">
        <v>200.0</v>
      </c>
      <c r="AP553" s="2">
        <v>11.0</v>
      </c>
      <c r="AQ553" s="1">
        <v>0.0</v>
      </c>
      <c r="AR553" s="1">
        <v>0.0</v>
      </c>
      <c r="AS553" s="1" t="s">
        <v>2940</v>
      </c>
      <c r="AT553" s="3" t="str">
        <f>HYPERLINK("https://icf.clappia.com/app/GMB253374/submission/BKN39615081/ICF247370-GMB253374-306c8jbkjd5c00000000/SIG-20250702_1300chje1.jpeg", "SIG-20250702_1300chje1.jpeg")</f>
        <v>SIG-20250702_1300chje1.jpeg</v>
      </c>
      <c r="AU553" s="1" t="s">
        <v>2941</v>
      </c>
      <c r="AV553" s="3" t="str">
        <f>HYPERLINK("https://icf.clappia.com/app/GMB253374/submission/BKN39615081/ICF247370-GMB253374-1omc3be41lhoe0000000/SIG-20250702_13017hhj8.jpeg", "SIG-20250702_13017hhj8.jpeg")</f>
        <v>SIG-20250702_13017hhj8.jpeg</v>
      </c>
      <c r="AW553" s="1" t="s">
        <v>2942</v>
      </c>
      <c r="AX553" s="3" t="str">
        <f>HYPERLINK("https://icf.clappia.com/app/GMB253374/submission/BKN39615081/ICF247370-GMB253374-358b9dn4mc080000000/SIG-20250702_1301oiab1.jpeg", "SIG-20250702_1301oiab1.jpeg")</f>
        <v>SIG-20250702_1301oiab1.jpeg</v>
      </c>
      <c r="AY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2943</v>
      </c>
      <c r="B554" s="2" t="s">
        <v>47</v>
      </c>
      <c r="C554" s="1" t="s">
        <v>2938</v>
      </c>
      <c r="D554" s="1" t="s">
        <v>2938</v>
      </c>
      <c r="E554" s="1" t="s">
        <v>2944</v>
      </c>
      <c r="F554" s="1" t="s">
        <v>51</v>
      </c>
      <c r="G554" s="1">
        <v>326.0</v>
      </c>
      <c r="H554" s="1" t="s">
        <v>52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53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54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56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57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f t="shared" si="1"/>
        <v>326</v>
      </c>
      <c r="AM554" s="1">
        <v>326.0</v>
      </c>
      <c r="AN554" s="1">
        <v>338.0</v>
      </c>
      <c r="AO554" s="1">
        <v>316.0</v>
      </c>
      <c r="AP554" s="2">
        <v>11.0</v>
      </c>
      <c r="AQ554" s="1">
        <v>10.0</v>
      </c>
      <c r="AR554" s="1">
        <v>10.0</v>
      </c>
      <c r="AS554" s="1" t="s">
        <v>2945</v>
      </c>
      <c r="AT554" s="3" t="str">
        <f>HYPERLINK("https://icf.clappia.com/app/GMB253374/submission/ECS19800293/ICF247370-GMB253374-47eie2indbe400000000/SIG-20250702_125918mk06.jpeg", "SIG-20250702_125918mk06.jpeg")</f>
        <v>SIG-20250702_125918mk06.jpeg</v>
      </c>
      <c r="AU554" s="1" t="s">
        <v>2371</v>
      </c>
      <c r="AV554" s="3" t="str">
        <f>HYPERLINK("https://icf.clappia.com/app/GMB253374/submission/ECS19800293/ICF247370-GMB253374-696epo2n12oo00000000/SIG-20250702_1300ap3oj.jpeg", "SIG-20250702_1300ap3oj.jpeg")</f>
        <v>SIG-20250702_1300ap3oj.jpeg</v>
      </c>
      <c r="AW554" s="1" t="s">
        <v>2946</v>
      </c>
      <c r="AX554" s="3" t="str">
        <f>HYPERLINK("https://icf.clappia.com/app/GMB253374/submission/ECS19800293/ICF247370-GMB253374-7f9i359edkm40000000/SIG-20250702_130080e4c.jpeg", "SIG-20250702_130080e4c.jpeg")</f>
        <v>SIG-20250702_130080e4c.jpeg</v>
      </c>
      <c r="AY554" s="3" t="str">
        <f>HYPERLINK("https://www.google.com/maps/place/8.8091583%2C-12.039325", "8.8091583,-12.039325")</f>
        <v>8.8091583,-12.039325</v>
      </c>
    </row>
    <row r="555" ht="15.75" customHeight="1">
      <c r="A555" s="1" t="s">
        <v>2947</v>
      </c>
      <c r="B555" s="2" t="s">
        <v>47</v>
      </c>
      <c r="C555" s="1" t="s">
        <v>2948</v>
      </c>
      <c r="D555" s="1" t="s">
        <v>2948</v>
      </c>
      <c r="E555" s="1" t="s">
        <v>2949</v>
      </c>
      <c r="F555" s="1" t="s">
        <v>51</v>
      </c>
      <c r="G555" s="1">
        <v>200.0</v>
      </c>
      <c r="H555" s="1" t="s">
        <v>52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53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54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56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57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f t="shared" si="1"/>
        <v>198</v>
      </c>
      <c r="AM555" s="1">
        <v>200.0</v>
      </c>
      <c r="AN555" s="1">
        <v>212.0</v>
      </c>
      <c r="AO555" s="1">
        <v>198.0</v>
      </c>
      <c r="AP555" s="2">
        <v>11.0</v>
      </c>
      <c r="AQ555" s="1">
        <v>2.0</v>
      </c>
      <c r="AR555" s="1">
        <v>2.0</v>
      </c>
      <c r="AS555" s="1" t="s">
        <v>2850</v>
      </c>
      <c r="AT555" s="3" t="str">
        <f>HYPERLINK("https://icf.clappia.com/app/GMB253374/submission/CRW82483693/ICF247370-GMB253374-1ii0lg5l7ag2i0000000/SIG-20250702_12543jpem.jpeg", "SIG-20250702_12543jpem.jpeg")</f>
        <v>SIG-20250702_12543jpem.jpeg</v>
      </c>
      <c r="AU555" s="1" t="s">
        <v>2851</v>
      </c>
      <c r="AV555" s="3" t="str">
        <f>HYPERLINK("https://icf.clappia.com/app/GMB253374/submission/CRW82483693/ICF247370-GMB253374-60e0d00idf6e00000000/SIG-20250702_1255leg9a.jpeg", "SIG-20250702_1255leg9a.jpeg")</f>
        <v>SIG-20250702_1255leg9a.jpeg</v>
      </c>
      <c r="AW555" s="1" t="s">
        <v>2950</v>
      </c>
      <c r="AX555" s="3" t="str">
        <f>HYPERLINK("https://icf.clappia.com/app/GMB253374/submission/CRW82483693/ICF247370-GMB253374-69153enb9n5a00000000/SIG-20250702_12559ngfi.jpeg", "SIG-20250702_12559ngfi.jpeg")</f>
        <v>SIG-20250702_12559ngfi.jpeg</v>
      </c>
      <c r="AY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2951</v>
      </c>
      <c r="B556" s="2" t="s">
        <v>47</v>
      </c>
      <c r="C556" s="1" t="s">
        <v>2952</v>
      </c>
      <c r="D556" s="1" t="s">
        <v>2953</v>
      </c>
      <c r="E556" s="1" t="s">
        <v>2954</v>
      </c>
      <c r="F556" s="1" t="s">
        <v>51</v>
      </c>
      <c r="G556" s="1">
        <v>538.0</v>
      </c>
      <c r="H556" s="1" t="s">
        <v>52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53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54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56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57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f t="shared" si="1"/>
        <v>439</v>
      </c>
      <c r="AM556" s="1">
        <v>538.0</v>
      </c>
      <c r="AN556" s="1">
        <v>550.0</v>
      </c>
      <c r="AO556" s="1">
        <v>439.0</v>
      </c>
      <c r="AP556" s="2">
        <v>11.0</v>
      </c>
      <c r="AQ556" s="1">
        <v>99.0</v>
      </c>
      <c r="AR556" s="1">
        <v>99.0</v>
      </c>
      <c r="AS556" s="1" t="s">
        <v>2955</v>
      </c>
      <c r="AT556" s="3" t="str">
        <f>HYPERLINK("https://icf.clappia.com/app/GMB253374/submission/LYC79705257/ICF247370-GMB253374-5ehlk5nf506k00000000/SIG-20250701_1345cm2ha.jpeg", "SIG-20250701_1345cm2ha.jpeg")</f>
        <v>SIG-20250701_1345cm2ha.jpeg</v>
      </c>
      <c r="AU556" s="1" t="s">
        <v>885</v>
      </c>
      <c r="AV556" s="3" t="str">
        <f>HYPERLINK("https://icf.clappia.com/app/GMB253374/submission/LYC79705257/ICF247370-GMB253374-489c8ah650fg00000000/SIG-20250701_134715918j.jpeg", "SIG-20250701_134715918j.jpeg")</f>
        <v>SIG-20250701_134715918j.jpeg</v>
      </c>
      <c r="AW556" s="1" t="s">
        <v>2956</v>
      </c>
      <c r="AX556" s="3" t="str">
        <f>HYPERLINK("https://icf.clappia.com/app/GMB253374/submission/LYC79705257/ICF247370-GMB253374-2h4iee6b8de800000000/SIG-20250701_1348181h8b.jpeg", "SIG-20250701_1348181h8b.jpeg")</f>
        <v>SIG-20250701_1348181h8b.jpeg</v>
      </c>
      <c r="AY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2957</v>
      </c>
      <c r="B557" s="2" t="s">
        <v>47</v>
      </c>
      <c r="C557" s="1" t="s">
        <v>2953</v>
      </c>
      <c r="D557" s="1" t="s">
        <v>2953</v>
      </c>
      <c r="E557" s="1" t="s">
        <v>2958</v>
      </c>
      <c r="F557" s="1" t="s">
        <v>51</v>
      </c>
      <c r="G557" s="1">
        <v>200.0</v>
      </c>
      <c r="H557" s="1" t="s">
        <v>52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53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54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56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57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f t="shared" si="1"/>
        <v>230</v>
      </c>
      <c r="AM557" s="1">
        <v>200.0</v>
      </c>
      <c r="AN557" s="1">
        <v>212.0</v>
      </c>
      <c r="AO557" s="1">
        <v>200.0</v>
      </c>
      <c r="AP557" s="2">
        <v>11.0</v>
      </c>
      <c r="AQ557" s="1">
        <v>0.0</v>
      </c>
      <c r="AR557" s="1">
        <v>0.0</v>
      </c>
      <c r="AS557" s="1" t="s">
        <v>1167</v>
      </c>
      <c r="AT557" s="3" t="str">
        <f>HYPERLINK("https://icf.clappia.com/app/GMB253374/submission/MPH32699599/ICF247370-GMB253374-3hepab1k58e000000000/SIG-20250702_1253gbo6l.jpeg", "SIG-20250702_1253gbo6l.jpeg")</f>
        <v>SIG-20250702_1253gbo6l.jpeg</v>
      </c>
      <c r="AU557" s="1" t="s">
        <v>2959</v>
      </c>
      <c r="AV557" s="3" t="str">
        <f>HYPERLINK("https://icf.clappia.com/app/GMB253374/submission/MPH32699599/ICF247370-GMB253374-10jn4i2i1joik0000000/SIG-20250702_1253ld7h2.jpeg", "SIG-20250702_1253ld7h2.jpeg")</f>
        <v>SIG-20250702_1253ld7h2.jpeg</v>
      </c>
      <c r="AW557" s="1" t="s">
        <v>2960</v>
      </c>
      <c r="AX557" s="3" t="str">
        <f>HYPERLINK("https://icf.clappia.com/app/GMB253374/submission/MPH32699599/ICF247370-GMB253374-645hpg0p0b1e00000000/SIG-20250702_12543gl6f.jpeg", "SIG-20250702_12543gl6f.jpeg")</f>
        <v>SIG-20250702_12543gl6f.jpeg</v>
      </c>
      <c r="AY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2961</v>
      </c>
      <c r="B558" s="2" t="s">
        <v>47</v>
      </c>
      <c r="C558" s="1" t="s">
        <v>2962</v>
      </c>
      <c r="D558" s="1" t="s">
        <v>2963</v>
      </c>
      <c r="E558" s="1" t="s">
        <v>2964</v>
      </c>
      <c r="F558" s="1" t="s">
        <v>51</v>
      </c>
      <c r="G558" s="1">
        <v>100.0</v>
      </c>
      <c r="H558" s="1" t="s">
        <v>52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53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54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56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57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f t="shared" si="1"/>
        <v>109</v>
      </c>
      <c r="AM558" s="1">
        <v>100.0</v>
      </c>
      <c r="AN558" s="1">
        <v>112.0</v>
      </c>
      <c r="AO558" s="1">
        <v>100.0</v>
      </c>
      <c r="AP558" s="2">
        <v>11.0</v>
      </c>
      <c r="AQ558" s="1">
        <v>0.0</v>
      </c>
      <c r="AR558" s="1">
        <v>0.0</v>
      </c>
      <c r="AS558" s="1" t="s">
        <v>2325</v>
      </c>
      <c r="AT558" s="3" t="str">
        <f>HYPERLINK("https://icf.clappia.com/app/GMB253374/submission/EMW42064852/ICF247370-GMB253374-3fo4kpl88p1g00000000/SIG-20250702_12514oha0.jpeg", "SIG-20250702_12514oha0.jpeg")</f>
        <v>SIG-20250702_12514oha0.jpeg</v>
      </c>
      <c r="AU558" s="1" t="s">
        <v>2326</v>
      </c>
      <c r="AV558" s="3" t="str">
        <f>HYPERLINK("https://icf.clappia.com/app/GMB253374/submission/EMW42064852/ICF247370-GMB253374-2jcegca3jnhm0000000/SIG-20250702_1251akfc4.jpeg", "SIG-20250702_1251akfc4.jpeg")</f>
        <v>SIG-20250702_1251akfc4.jpeg</v>
      </c>
      <c r="AW558" s="1" t="s">
        <v>2327</v>
      </c>
      <c r="AX558" s="3" t="str">
        <f>HYPERLINK("https://icf.clappia.com/app/GMB253374/submission/EMW42064852/ICF247370-GMB253374-4n2icc1a7kcm0000000/SIG-20250702_12515b37j.jpeg", "SIG-20250702_12515b37j.jpeg")</f>
        <v>SIG-20250702_12515b37j.jpeg</v>
      </c>
      <c r="AY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2965</v>
      </c>
      <c r="B559" s="2" t="s">
        <v>47</v>
      </c>
      <c r="C559" s="1" t="s">
        <v>2966</v>
      </c>
      <c r="D559" s="1" t="s">
        <v>2966</v>
      </c>
      <c r="E559" s="1" t="s">
        <v>2967</v>
      </c>
      <c r="F559" s="1" t="s">
        <v>51</v>
      </c>
      <c r="G559" s="1">
        <v>450.0</v>
      </c>
      <c r="H559" s="1" t="s">
        <v>52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53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54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56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57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f t="shared" si="1"/>
        <v>227</v>
      </c>
      <c r="AM559" s="1">
        <v>450.0</v>
      </c>
      <c r="AN559" s="1">
        <v>462.0</v>
      </c>
      <c r="AO559" s="1">
        <v>227.0</v>
      </c>
      <c r="AP559" s="2">
        <v>11.0</v>
      </c>
      <c r="AQ559" s="1">
        <v>223.0</v>
      </c>
      <c r="AR559" s="1">
        <v>223.0</v>
      </c>
      <c r="AS559" s="1" t="s">
        <v>2850</v>
      </c>
      <c r="AT559" s="3" t="str">
        <f>HYPERLINK("https://icf.clappia.com/app/GMB253374/submission/MKQ61328973/ICF247370-GMB253374-54d58dnjld6i00000000/SIG-20250702_12281m7b9.jpeg", "SIG-20250702_12281m7b9.jpeg")</f>
        <v>SIG-20250702_12281m7b9.jpeg</v>
      </c>
      <c r="AU559" s="1" t="s">
        <v>2851</v>
      </c>
      <c r="AV559" s="3" t="str">
        <f>HYPERLINK("https://icf.clappia.com/app/GMB253374/submission/MKQ61328973/ICF247370-GMB253374-1cgne25c6oi9e0000000/SIG-20250702_1229mbmo2.jpeg", "SIG-20250702_1229mbmo2.jpeg")</f>
        <v>SIG-20250702_1229mbmo2.jpeg</v>
      </c>
      <c r="AW559" s="1" t="s">
        <v>2852</v>
      </c>
      <c r="AX559" s="3" t="str">
        <f>HYPERLINK("https://icf.clappia.com/app/GMB253374/submission/MKQ61328973/ICF247370-GMB253374-pgcae6c7f6320000000/SIG-20250702_1229n5fgk.jpeg", "SIG-20250702_1229n5fgk.jpeg")</f>
        <v>SIG-20250702_1229n5fgk.jpeg</v>
      </c>
      <c r="AY559" s="3" t="str">
        <f>HYPERLINK("https://www.google.com/maps/place/8.9708283%2C-12.15982", "8.9708283,-12.15982")</f>
        <v>8.9708283,-12.15982</v>
      </c>
    </row>
    <row r="560" ht="15.75" customHeight="1">
      <c r="A560" s="1" t="s">
        <v>2968</v>
      </c>
      <c r="B560" s="2" t="s">
        <v>47</v>
      </c>
      <c r="C560" s="1" t="s">
        <v>2969</v>
      </c>
      <c r="D560" s="1" t="s">
        <v>2969</v>
      </c>
      <c r="E560" s="1" t="s">
        <v>2970</v>
      </c>
      <c r="F560" s="1" t="s">
        <v>51</v>
      </c>
      <c r="G560" s="1">
        <v>379.0</v>
      </c>
      <c r="H560" s="1" t="s">
        <v>52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53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54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56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57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f t="shared" si="1"/>
        <v>379</v>
      </c>
      <c r="AM560" s="1">
        <v>379.0</v>
      </c>
      <c r="AN560" s="1">
        <v>391.0</v>
      </c>
      <c r="AO560" s="1">
        <v>379.0</v>
      </c>
      <c r="AP560" s="2">
        <v>11.0</v>
      </c>
      <c r="AQ560" s="1">
        <v>0.0</v>
      </c>
      <c r="AR560" s="1">
        <v>0.0</v>
      </c>
      <c r="AS560" s="1" t="s">
        <v>2971</v>
      </c>
      <c r="AT560" s="3" t="str">
        <f>HYPERLINK("https://icf.clappia.com/app/GMB253374/submission/VVK56370482/ICF247370-GMB253374-4ja4a77841hm00000000/SIG-20250702_1234181jb8.jpeg", "SIG-20250702_1234181jb8.jpeg")</f>
        <v>SIG-20250702_1234181jb8.jpeg</v>
      </c>
      <c r="AU560" s="1" t="s">
        <v>2972</v>
      </c>
      <c r="AV560" s="3" t="str">
        <f>HYPERLINK("https://icf.clappia.com/app/GMB253374/submission/VVK56370482/ICF247370-GMB253374-1g0dlnli9in3m0000000/SIG-20250702_1234gehle.jpeg", "SIG-20250702_1234gehle.jpeg")</f>
        <v>SIG-20250702_1234gehle.jpeg</v>
      </c>
      <c r="AW560" s="1" t="s">
        <v>833</v>
      </c>
      <c r="AX560" s="3" t="str">
        <f>HYPERLINK("https://icf.clappia.com/app/GMB253374/submission/VVK56370482/ICF247370-GMB253374-3690ec7473gi00000000/SIG-20250702_1247pi2a5.jpeg", "SIG-20250702_1247pi2a5.jpeg")</f>
        <v>SIG-20250702_1247pi2a5.jpeg</v>
      </c>
      <c r="AY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2973</v>
      </c>
      <c r="B561" s="2" t="s">
        <v>47</v>
      </c>
      <c r="C561" s="1" t="s">
        <v>2974</v>
      </c>
      <c r="D561" s="1" t="s">
        <v>2974</v>
      </c>
      <c r="E561" s="1" t="s">
        <v>2975</v>
      </c>
      <c r="F561" s="1" t="s">
        <v>51</v>
      </c>
      <c r="G561" s="1">
        <v>88.0</v>
      </c>
      <c r="H561" s="1" t="s">
        <v>52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53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54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56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57</v>
      </c>
      <c r="AG561" s="1" t="s">
        <v>55</v>
      </c>
      <c r="AH561" s="1" t="s">
        <v>55</v>
      </c>
      <c r="AI561" s="1" t="s">
        <v>55</v>
      </c>
      <c r="AJ561" s="1" t="s">
        <v>55</v>
      </c>
      <c r="AK561" s="1" t="s">
        <v>55</v>
      </c>
      <c r="AL561" s="1">
        <f t="shared" si="1"/>
        <v>92</v>
      </c>
      <c r="AM561" s="1">
        <v>88.0</v>
      </c>
      <c r="AN561" s="1">
        <v>100.0</v>
      </c>
      <c r="AO561" s="1">
        <v>57.0</v>
      </c>
      <c r="AP561" s="2">
        <v>11.0</v>
      </c>
      <c r="AQ561" s="1">
        <v>31.0</v>
      </c>
      <c r="AR561" s="1">
        <v>31.0</v>
      </c>
      <c r="AS561" s="1" t="s">
        <v>2976</v>
      </c>
      <c r="AT561" s="3" t="str">
        <f>HYPERLINK("https://icf.clappia.com/app/GMB253374/submission/CKT69918223/ICF247370-GMB253374-g8jkc7ad7g080000000/SIG-20250702_124511n9cn.jpeg", "SIG-20250702_124511n9cn.jpeg")</f>
        <v>SIG-20250702_124511n9cn.jpeg</v>
      </c>
      <c r="AU561" s="1" t="s">
        <v>2977</v>
      </c>
      <c r="AV561" s="3" t="str">
        <f>HYPERLINK("https://icf.clappia.com/app/GMB253374/submission/CKT69918223/ICF247370-GMB253374-4coh35470dp600000000/SIG-20250702_1246hidlb.jpeg", "SIG-20250702_1246hidlb.jpeg")</f>
        <v>SIG-20250702_1246hidlb.jpeg</v>
      </c>
      <c r="AW561" s="1" t="s">
        <v>2978</v>
      </c>
      <c r="AX561" s="3" t="str">
        <f>HYPERLINK("https://icf.clappia.com/app/GMB253374/submission/CKT69918223/ICF247370-GMB253374-2ecfghj226ho00000000/SIG-20250702_1247fkkjd.jpeg", "SIG-20250702_1247fkkjd.jpeg")</f>
        <v>SIG-20250702_1247fkkjd.jpeg</v>
      </c>
      <c r="AY561" s="3" t="str">
        <f>HYPERLINK("https://www.google.com/maps/place/8.1214183%2C-11.757605", "8.1214183,-11.757605")</f>
        <v>8.1214183,-11.757605</v>
      </c>
    </row>
    <row r="562" ht="15.75" customHeight="1">
      <c r="A562" s="1" t="s">
        <v>2979</v>
      </c>
      <c r="B562" s="2" t="s">
        <v>47</v>
      </c>
      <c r="C562" s="1" t="s">
        <v>2974</v>
      </c>
      <c r="D562" s="1" t="s">
        <v>2974</v>
      </c>
      <c r="E562" s="1" t="s">
        <v>2980</v>
      </c>
      <c r="F562" s="1" t="s">
        <v>72</v>
      </c>
      <c r="G562" s="1">
        <v>127.0</v>
      </c>
      <c r="H562" s="1" t="s">
        <v>52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53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54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56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57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f t="shared" si="1"/>
        <v>120</v>
      </c>
      <c r="AM562" s="1">
        <v>127.0</v>
      </c>
      <c r="AN562" s="1">
        <v>139.0</v>
      </c>
      <c r="AO562" s="1">
        <v>115.0</v>
      </c>
      <c r="AP562" s="2">
        <v>11.0</v>
      </c>
      <c r="AQ562" s="1">
        <v>12.0</v>
      </c>
      <c r="AR562" s="1">
        <v>12.0</v>
      </c>
      <c r="AS562" s="1" t="s">
        <v>1013</v>
      </c>
      <c r="AT562" s="3" t="str">
        <f>HYPERLINK("https://icf.clappia.com/app/GMB253374/submission/WJE59997358/ICF247370-GMB253374-5o3o8g1e751a00000000/SIG-20250702_1212jg12p.jpeg", "SIG-20250702_1212jg12p.jpeg")</f>
        <v>SIG-20250702_1212jg12p.jpeg</v>
      </c>
      <c r="AU562" s="1" t="s">
        <v>1014</v>
      </c>
      <c r="AV562" s="3" t="str">
        <f>HYPERLINK("https://icf.clappia.com/app/GMB253374/submission/WJE59997358/ICF247370-GMB253374-30ohok3jemnk00000000/SIG-20250702_121313b27n.jpeg", "SIG-20250702_121313b27n.jpeg")</f>
        <v>SIG-20250702_121313b27n.jpeg</v>
      </c>
      <c r="AW562" s="1" t="s">
        <v>1015</v>
      </c>
      <c r="AX562" s="3" t="str">
        <f>HYPERLINK("https://icf.clappia.com/app/GMB253374/submission/WJE59997358/ICF247370-GMB253374-47599ee4cae800000000/SIG-20250702_12143pomm.jpeg", "SIG-20250702_12143pomm.jpeg")</f>
        <v>SIG-20250702_12143pomm.jpeg</v>
      </c>
      <c r="AY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2981</v>
      </c>
      <c r="B563" s="2" t="s">
        <v>47</v>
      </c>
      <c r="C563" s="1" t="s">
        <v>2878</v>
      </c>
      <c r="D563" s="1" t="s">
        <v>2878</v>
      </c>
      <c r="E563" s="1" t="s">
        <v>2982</v>
      </c>
      <c r="F563" s="1" t="s">
        <v>51</v>
      </c>
      <c r="G563" s="1">
        <v>203.0</v>
      </c>
      <c r="H563" s="1" t="s">
        <v>52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53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54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56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57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f t="shared" si="1"/>
        <v>241</v>
      </c>
      <c r="AM563" s="1">
        <v>203.0</v>
      </c>
      <c r="AN563" s="1">
        <v>215.0</v>
      </c>
      <c r="AO563" s="1">
        <v>203.0</v>
      </c>
      <c r="AP563" s="2">
        <v>11.0</v>
      </c>
      <c r="AQ563" s="1">
        <v>0.0</v>
      </c>
      <c r="AR563" s="1">
        <v>0.0</v>
      </c>
      <c r="AS563" s="1" t="s">
        <v>2983</v>
      </c>
      <c r="AT563" s="3" t="str">
        <f>HYPERLINK("https://icf.clappia.com/app/GMB253374/submission/JSR17138998/ICF247370-GMB253374-12mfnbl8j1imk0000000/SIG-20250702_124394m0d.jpeg", "SIG-20250702_124394m0d.jpeg")</f>
        <v>SIG-20250702_124394m0d.jpeg</v>
      </c>
      <c r="AU563" s="1" t="s">
        <v>2984</v>
      </c>
      <c r="AV563" s="3" t="str">
        <f>HYPERLINK("https://icf.clappia.com/app/GMB253374/submission/JSR17138998/ICF247370-GMB253374-5h6b9lgopf8400000000/SIG-20250702_12428f8fp.jpeg", "SIG-20250702_12428f8fp.jpeg")</f>
        <v>SIG-20250702_12428f8fp.jpeg</v>
      </c>
      <c r="AW563" s="1" t="s">
        <v>2985</v>
      </c>
      <c r="AX563" s="3" t="str">
        <f>HYPERLINK("https://icf.clappia.com/app/GMB253374/submission/JSR17138998/ICF247370-GMB253374-2na33afng3gc00000000/SIG-20250702_124457go0.jpeg", "SIG-20250702_124457go0.jpeg")</f>
        <v>SIG-20250702_124457go0.jpeg</v>
      </c>
      <c r="AY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2986</v>
      </c>
      <c r="B564" s="2" t="s">
        <v>47</v>
      </c>
      <c r="C564" s="1" t="s">
        <v>2878</v>
      </c>
      <c r="D564" s="1" t="s">
        <v>2878</v>
      </c>
      <c r="E564" s="1" t="s">
        <v>2987</v>
      </c>
      <c r="F564" s="1" t="s">
        <v>51</v>
      </c>
      <c r="G564" s="1">
        <v>200.0</v>
      </c>
      <c r="H564" s="1" t="s">
        <v>52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53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54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56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57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f t="shared" si="1"/>
        <v>185</v>
      </c>
      <c r="AM564" s="1">
        <v>200.0</v>
      </c>
      <c r="AN564" s="1">
        <v>212.0</v>
      </c>
      <c r="AO564" s="1">
        <v>82.0</v>
      </c>
      <c r="AP564" s="2">
        <v>11.0</v>
      </c>
      <c r="AQ564" s="1">
        <v>118.0</v>
      </c>
      <c r="AR564" s="1">
        <v>118.0</v>
      </c>
      <c r="AS564" s="1" t="s">
        <v>993</v>
      </c>
      <c r="AT564" s="3" t="str">
        <f>HYPERLINK("https://icf.clappia.com/app/GMB253374/submission/BHF37229115/ICF247370-GMB253374-nfdhjpc4nhig0000000/SIG-20250702_1242ged20.jpeg", "SIG-20250702_1242ged20.jpeg")</f>
        <v>SIG-20250702_1242ged20.jpeg</v>
      </c>
      <c r="AU564" s="1" t="s">
        <v>994</v>
      </c>
      <c r="AV564" s="3" t="str">
        <f>HYPERLINK("https://icf.clappia.com/app/GMB253374/submission/BHF37229115/ICF247370-GMB253374-150odkpjabo3a0000000/SIG-20250702_1243mc8jc.jpeg", "SIG-20250702_1243mc8jc.jpeg")</f>
        <v>SIG-20250702_1243mc8jc.jpeg</v>
      </c>
      <c r="AW564" s="1" t="s">
        <v>1282</v>
      </c>
      <c r="AX564" s="3" t="str">
        <f>HYPERLINK("https://icf.clappia.com/app/GMB253374/submission/BHF37229115/ICF247370-GMB253374-667ae43d008000000000/SIG-20250702_124315m625.jpeg", "SIG-20250702_124315m625.jpeg")</f>
        <v>SIG-20250702_124315m625.jpeg</v>
      </c>
      <c r="AY564" s="3" t="str">
        <f>HYPERLINK("https://www.google.com/maps/place/7.9726883%2C-11.731735", "7.9726883,-11.731735")</f>
        <v>7.9726883,-11.731735</v>
      </c>
    </row>
    <row r="565" ht="15.75" customHeight="1">
      <c r="A565" s="1" t="s">
        <v>2988</v>
      </c>
      <c r="B565" s="2" t="s">
        <v>47</v>
      </c>
      <c r="C565" s="1" t="s">
        <v>2989</v>
      </c>
      <c r="D565" s="1" t="s">
        <v>2989</v>
      </c>
      <c r="E565" s="1" t="s">
        <v>2990</v>
      </c>
      <c r="F565" s="1" t="s">
        <v>51</v>
      </c>
      <c r="G565" s="1">
        <v>186.0</v>
      </c>
      <c r="H565" s="1" t="s">
        <v>52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53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54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56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57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f t="shared" si="1"/>
        <v>186</v>
      </c>
      <c r="AM565" s="1">
        <v>186.0</v>
      </c>
      <c r="AN565" s="1">
        <v>198.0</v>
      </c>
      <c r="AO565" s="1">
        <v>186.0</v>
      </c>
      <c r="AP565" s="2">
        <v>11.0</v>
      </c>
      <c r="AQ565" s="1">
        <v>0.0</v>
      </c>
      <c r="AR565" s="1">
        <v>0.0</v>
      </c>
      <c r="AS565" s="1" t="s">
        <v>2991</v>
      </c>
      <c r="AT565" s="3" t="str">
        <f>HYPERLINK("https://icf.clappia.com/app/GMB253374/submission/XPP48776575/ICF247370-GMB253374-5d833d88hp2o00000000/SIG-20250702_1218jbb7c.jpeg", "SIG-20250702_1218jbb7c.jpeg")</f>
        <v>SIG-20250702_1218jbb7c.jpeg</v>
      </c>
      <c r="AU565" s="1" t="s">
        <v>2992</v>
      </c>
      <c r="AV565" s="3" t="str">
        <f>HYPERLINK("https://icf.clappia.com/app/GMB253374/submission/XPP48776575/ICF247370-GMB253374-5ao6ijjo1h9a00000000/SIG-20250702_122014ij3f.jpeg", "SIG-20250702_122014ij3f.jpeg")</f>
        <v>SIG-20250702_122014ij3f.jpeg</v>
      </c>
      <c r="AW565" s="1" t="s">
        <v>2993</v>
      </c>
      <c r="AX565" s="3" t="str">
        <f>HYPERLINK("https://icf.clappia.com/app/GMB253374/submission/XPP48776575/ICF247370-GMB253374-60agehg728c000000000/SIG-20250702_122219oj01.jpeg", "SIG-20250702_122219oj01.jpeg")</f>
        <v>SIG-20250702_122219oj01.jpeg</v>
      </c>
      <c r="AY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2994</v>
      </c>
      <c r="B566" s="2" t="s">
        <v>47</v>
      </c>
      <c r="C566" s="1" t="s">
        <v>2995</v>
      </c>
      <c r="D566" s="1" t="s">
        <v>2996</v>
      </c>
      <c r="E566" s="1" t="s">
        <v>2997</v>
      </c>
      <c r="F566" s="1" t="s">
        <v>51</v>
      </c>
      <c r="G566" s="1">
        <v>400.0</v>
      </c>
      <c r="H566" s="1" t="s">
        <v>52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53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54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56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57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f t="shared" si="1"/>
        <v>313</v>
      </c>
      <c r="AM566" s="1">
        <v>400.0</v>
      </c>
      <c r="AN566" s="1">
        <v>412.0</v>
      </c>
      <c r="AO566" s="1">
        <v>313.0</v>
      </c>
      <c r="AP566" s="2">
        <v>11.0</v>
      </c>
      <c r="AQ566" s="1">
        <v>87.0</v>
      </c>
      <c r="AR566" s="1">
        <v>87.0</v>
      </c>
      <c r="AS566" s="1" t="s">
        <v>2998</v>
      </c>
      <c r="AT566" s="3" t="str">
        <f>HYPERLINK("https://icf.clappia.com/app/GMB253374/submission/VAT49333102/ICF247370-GMB253374-486lk4c8o2ig00000000/SIG-20250630_122011kfhg.jpeg", "SIG-20250630_122011kfhg.jpeg")</f>
        <v>SIG-20250630_122011kfhg.jpeg</v>
      </c>
      <c r="AU566" s="1" t="s">
        <v>2999</v>
      </c>
      <c r="AV566" s="3" t="str">
        <f>HYPERLINK("https://icf.clappia.com/app/GMB253374/submission/VAT49333102/ICF247370-GMB253374-28fb5hjgmj9cc0000000/SIG-20250630_1221k5b8.jpeg", "SIG-20250630_1221k5b8.jpeg")</f>
        <v>SIG-20250630_1221k5b8.jpeg</v>
      </c>
      <c r="AW566" s="1" t="s">
        <v>3000</v>
      </c>
      <c r="AX566" s="3" t="str">
        <f>HYPERLINK("https://icf.clappia.com/app/GMB253374/submission/VAT49333102/ICF247370-GMB253374-695oo2peo80200000000/SIG-20250630_1224cc907.jpeg", "SIG-20250630_1224cc907.jpeg")</f>
        <v>SIG-20250630_1224cc907.jpeg</v>
      </c>
      <c r="AY566" s="3" t="str">
        <f>HYPERLINK("https://www.google.com/maps/place/8.7486467%2C-12.048565", "8.7486467,-12.048565")</f>
        <v>8.7486467,-12.048565</v>
      </c>
    </row>
    <row r="567" ht="15.75" customHeight="1">
      <c r="A567" s="1" t="s">
        <v>3001</v>
      </c>
      <c r="B567" s="2" t="s">
        <v>47</v>
      </c>
      <c r="C567" s="1" t="s">
        <v>2996</v>
      </c>
      <c r="D567" s="1" t="s">
        <v>2996</v>
      </c>
      <c r="E567" s="1" t="s">
        <v>3002</v>
      </c>
      <c r="F567" s="1" t="s">
        <v>51</v>
      </c>
      <c r="G567" s="1">
        <v>234.0</v>
      </c>
      <c r="H567" s="1" t="s">
        <v>52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53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54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56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57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f t="shared" si="1"/>
        <v>205</v>
      </c>
      <c r="AM567" s="1">
        <v>234.0</v>
      </c>
      <c r="AN567" s="1">
        <v>246.0</v>
      </c>
      <c r="AO567" s="1">
        <v>194.0</v>
      </c>
      <c r="AP567" s="2">
        <v>11.0</v>
      </c>
      <c r="AQ567" s="1">
        <v>40.0</v>
      </c>
      <c r="AR567" s="1">
        <v>40.0</v>
      </c>
      <c r="AS567" s="1" t="s">
        <v>754</v>
      </c>
      <c r="AT567" s="3" t="str">
        <f>HYPERLINK("https://icf.clappia.com/app/GMB253374/submission/JIT65202652/ICF247370-GMB253374-18cg4681p1j120000000/SIG-20250702_12387akak.jpeg", "SIG-20250702_12387akak.jpeg")</f>
        <v>SIG-20250702_12387akak.jpeg</v>
      </c>
      <c r="AU567" s="1" t="s">
        <v>755</v>
      </c>
      <c r="AV567" s="3" t="str">
        <f>HYPERLINK("https://icf.clappia.com/app/GMB253374/submission/JIT65202652/ICF247370-GMB253374-1171ifajhml760000000/SIG-20250702_123847ehc.jpeg", "SIG-20250702_123847ehc.jpeg")</f>
        <v>SIG-20250702_123847ehc.jpeg</v>
      </c>
      <c r="AW567" s="1" t="s">
        <v>756</v>
      </c>
      <c r="AX567" s="3" t="str">
        <f>HYPERLINK("https://icf.clappia.com/app/GMB253374/submission/JIT65202652/ICF247370-GMB253374-5ahmm15hf2o800000000/SIG-20250702_12381b797.jpeg", "SIG-20250702_12381b797.jpeg")</f>
        <v>SIG-20250702_12381b797.jpeg</v>
      </c>
      <c r="AY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3003</v>
      </c>
      <c r="B568" s="2" t="s">
        <v>47</v>
      </c>
      <c r="C568" s="1" t="s">
        <v>2995</v>
      </c>
      <c r="D568" s="1" t="s">
        <v>2995</v>
      </c>
      <c r="E568" s="1" t="s">
        <v>3004</v>
      </c>
      <c r="F568" s="1" t="s">
        <v>51</v>
      </c>
      <c r="G568" s="1">
        <v>268.0</v>
      </c>
      <c r="H568" s="1" t="s">
        <v>52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53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54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56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57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f t="shared" si="1"/>
        <v>131</v>
      </c>
      <c r="AM568" s="1">
        <v>268.0</v>
      </c>
      <c r="AN568" s="1">
        <v>280.0</v>
      </c>
      <c r="AO568" s="1">
        <v>106.0</v>
      </c>
      <c r="AP568" s="2">
        <v>11.0</v>
      </c>
      <c r="AQ568" s="1">
        <v>162.0</v>
      </c>
      <c r="AR568" s="1">
        <v>162.0</v>
      </c>
      <c r="AS568" s="1" t="s">
        <v>3005</v>
      </c>
      <c r="AT568" s="3" t="str">
        <f>HYPERLINK("https://icf.clappia.com/app/GMB253374/submission/OSN73037398/ICF247370-GMB253374-34c02g6m9nn600000000/SIG-20250701_1845l6fn6.jpeg", "SIG-20250701_1845l6fn6.jpeg")</f>
        <v>SIG-20250701_1845l6fn6.jpeg</v>
      </c>
      <c r="AU568" s="1" t="s">
        <v>3006</v>
      </c>
      <c r="AV568" s="3" t="str">
        <f>HYPERLINK("https://icf.clappia.com/app/GMB253374/submission/OSN73037398/ICF247370-GMB253374-7jekm2pepe0m0000000/SIG-20250701_1856m4nca.jpeg", "SIG-20250701_1856m4nca.jpeg")</f>
        <v>SIG-20250701_1856m4nca.jpeg</v>
      </c>
      <c r="AW568" s="1" t="s">
        <v>2588</v>
      </c>
      <c r="AX568" s="3" t="str">
        <f>HYPERLINK("https://icf.clappia.com/app/GMB253374/submission/OSN73037398/ICF247370-GMB253374-1o32122b9of840000000/SIG-20250701_184573c4i.jpeg", "SIG-20250701_184573c4i.jpeg")</f>
        <v>SIG-20250701_184573c4i.jpeg</v>
      </c>
      <c r="AY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3007</v>
      </c>
      <c r="B569" s="2" t="s">
        <v>47</v>
      </c>
      <c r="C569" s="1" t="s">
        <v>3008</v>
      </c>
      <c r="D569" s="1" t="s">
        <v>3009</v>
      </c>
      <c r="E569" s="1" t="s">
        <v>3010</v>
      </c>
      <c r="F569" s="1" t="s">
        <v>51</v>
      </c>
      <c r="G569" s="1">
        <v>94.0</v>
      </c>
      <c r="H569" s="1" t="s">
        <v>52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53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54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56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57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f t="shared" si="1"/>
        <v>80</v>
      </c>
      <c r="AM569" s="1">
        <v>94.0</v>
      </c>
      <c r="AN569" s="1">
        <v>106.0</v>
      </c>
      <c r="AO569" s="1">
        <v>56.0</v>
      </c>
      <c r="AP569" s="2">
        <v>11.0</v>
      </c>
      <c r="AQ569" s="1">
        <v>38.0</v>
      </c>
      <c r="AR569" s="1">
        <v>38.0</v>
      </c>
      <c r="AS569" s="1" t="s">
        <v>3011</v>
      </c>
      <c r="AT569" s="3" t="str">
        <f>HYPERLINK("https://icf.clappia.com/app/GMB253374/submission/XXY07759475/ICF247370-GMB253374-2akcbdc35alf60000000/SIG-20250701_11181433nn.jpeg", "SIG-20250701_11181433nn.jpeg")</f>
        <v>SIG-20250701_11181433nn.jpeg</v>
      </c>
      <c r="AU569" s="1" t="s">
        <v>2977</v>
      </c>
      <c r="AV569" s="3" t="str">
        <f>HYPERLINK("https://icf.clappia.com/app/GMB253374/submission/XXY07759475/ICF247370-GMB253374-4b86606ja3kc00000000/SIG-20250701_1120kpagm.jpeg", "SIG-20250701_1120kpagm.jpeg")</f>
        <v>SIG-20250701_1120kpagm.jpeg</v>
      </c>
      <c r="AW569" s="1" t="s">
        <v>3012</v>
      </c>
      <c r="AX569" s="3" t="str">
        <f>HYPERLINK("https://icf.clappia.com/app/GMB253374/submission/XXY07759475/ICF247370-GMB253374-4oggl4oc0o0e00000000/SIG-20250701_1119mb63n.jpeg", "SIG-20250701_1119mb63n.jpeg")</f>
        <v>SIG-20250701_1119mb63n.jpeg</v>
      </c>
      <c r="AY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3013</v>
      </c>
      <c r="B570" s="2" t="s">
        <v>47</v>
      </c>
      <c r="C570" s="1" t="s">
        <v>3009</v>
      </c>
      <c r="D570" s="1" t="s">
        <v>3009</v>
      </c>
      <c r="E570" s="1" t="s">
        <v>3014</v>
      </c>
      <c r="F570" s="1" t="s">
        <v>51</v>
      </c>
      <c r="G570" s="1">
        <v>446.0</v>
      </c>
      <c r="H570" s="1" t="s">
        <v>52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53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54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56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57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f t="shared" si="1"/>
        <v>410</v>
      </c>
      <c r="AM570" s="1">
        <v>446.0</v>
      </c>
      <c r="AN570" s="1">
        <v>458.0</v>
      </c>
      <c r="AO570" s="1">
        <v>400.0</v>
      </c>
      <c r="AP570" s="2">
        <v>11.0</v>
      </c>
      <c r="AQ570" s="1">
        <v>46.0</v>
      </c>
      <c r="AR570" s="1">
        <v>46.0</v>
      </c>
      <c r="AS570" s="1" t="s">
        <v>3015</v>
      </c>
      <c r="AT570" s="3" t="str">
        <f>HYPERLINK("https://icf.clappia.com/app/GMB253374/submission/UBX88790743/ICF247370-GMB253374-2hjjg6315b5800000000/SIG-20250702_1234k1ob6.jpeg", "SIG-20250702_1234k1ob6.jpeg")</f>
        <v>SIG-20250702_1234k1ob6.jpeg</v>
      </c>
      <c r="AU570" s="1" t="s">
        <v>3016</v>
      </c>
      <c r="AV570" s="3" t="str">
        <f>HYPERLINK("https://icf.clappia.com/app/GMB253374/submission/UBX88790743/ICF247370-GMB253374-44p7pjd6k2ci00000000/SIG-20250702_1234agkd7.jpeg", "SIG-20250702_1234agkd7.jpeg")</f>
        <v>SIG-20250702_1234agkd7.jpeg</v>
      </c>
      <c r="AW570" s="1" t="s">
        <v>3017</v>
      </c>
      <c r="AX570" s="3" t="str">
        <f>HYPERLINK("https://icf.clappia.com/app/GMB253374/submission/UBX88790743/ICF247370-GMB253374-4ono1omnpkik00000000/SIG-20250702_123512nka1.jpeg", "SIG-20250702_123512nka1.jpeg")</f>
        <v>SIG-20250702_123512nka1.jpeg</v>
      </c>
      <c r="AY570" s="3" t="str">
        <f>HYPERLINK("https://www.google.com/maps/place/7.977645%2C-11.59353", "7.977645,-11.59353")</f>
        <v>7.977645,-11.59353</v>
      </c>
    </row>
    <row r="571" ht="15.75" customHeight="1">
      <c r="A571" s="1" t="s">
        <v>3018</v>
      </c>
      <c r="B571" s="2" t="s">
        <v>47</v>
      </c>
      <c r="C571" s="1" t="s">
        <v>3019</v>
      </c>
      <c r="D571" s="1" t="s">
        <v>3020</v>
      </c>
      <c r="E571" s="1" t="s">
        <v>3021</v>
      </c>
      <c r="F571" s="1" t="s">
        <v>51</v>
      </c>
      <c r="G571" s="1">
        <v>240.0</v>
      </c>
      <c r="H571" s="1" t="s">
        <v>52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53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54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56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57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f t="shared" si="1"/>
        <v>227</v>
      </c>
      <c r="AM571" s="1">
        <v>240.0</v>
      </c>
      <c r="AN571" s="1">
        <v>252.0</v>
      </c>
      <c r="AO571" s="1">
        <v>114.0</v>
      </c>
      <c r="AP571" s="2">
        <v>11.0</v>
      </c>
      <c r="AQ571" s="1">
        <v>126.0</v>
      </c>
      <c r="AR571" s="1">
        <v>126.0</v>
      </c>
      <c r="AS571" s="1" t="s">
        <v>3022</v>
      </c>
      <c r="AT571" s="3" t="str">
        <f>HYPERLINK("https://icf.clappia.com/app/GMB253374/submission/GOU33941413/ICF247370-GMB253374-eh4nf47b4ilc0000000/SIG-20250630_130011bkl4.jpeg", "SIG-20250630_130011bkl4.jpeg")</f>
        <v>SIG-20250630_130011bkl4.jpeg</v>
      </c>
      <c r="AU571" s="1" t="s">
        <v>3023</v>
      </c>
      <c r="AV571" s="3" t="str">
        <f>HYPERLINK("https://icf.clappia.com/app/GMB253374/submission/GOU33941413/ICF247370-GMB253374-1e23op5dpbk2e0000000/SIG-20250630_1254ic1b2.jpeg", "SIG-20250630_1254ic1b2.jpeg")</f>
        <v>SIG-20250630_1254ic1b2.jpeg</v>
      </c>
      <c r="AW571" s="1" t="s">
        <v>3024</v>
      </c>
      <c r="AX571" s="3" t="str">
        <f>HYPERLINK("https://icf.clappia.com/app/GMB253374/submission/GOU33941413/ICF247370-GMB253374-no2flmopb03a0000000/SIG-20250630_1256kb534.jpeg", "SIG-20250630_1256kb534.jpeg")</f>
        <v>SIG-20250630_1256kb534.jpeg</v>
      </c>
      <c r="AY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3025</v>
      </c>
      <c r="B572" s="2" t="s">
        <v>47</v>
      </c>
      <c r="C572" s="1" t="s">
        <v>3026</v>
      </c>
      <c r="D572" s="1" t="s">
        <v>3026</v>
      </c>
      <c r="E572" s="1" t="s">
        <v>3027</v>
      </c>
      <c r="F572" s="1" t="s">
        <v>51</v>
      </c>
      <c r="G572" s="1">
        <v>162.0</v>
      </c>
      <c r="H572" s="1" t="s">
        <v>52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53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54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56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57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f t="shared" si="1"/>
        <v>162</v>
      </c>
      <c r="AM572" s="1">
        <v>162.0</v>
      </c>
      <c r="AN572" s="1">
        <v>174.0</v>
      </c>
      <c r="AO572" s="1">
        <v>162.0</v>
      </c>
      <c r="AP572" s="2">
        <v>11.0</v>
      </c>
      <c r="AQ572" s="1">
        <v>0.0</v>
      </c>
      <c r="AR572" s="1">
        <v>0.0</v>
      </c>
      <c r="AS572" s="1" t="s">
        <v>1055</v>
      </c>
      <c r="AT572" s="3" t="str">
        <f>HYPERLINK("https://icf.clappia.com/app/GMB253374/submission/NGA01518121/ICF247370-GMB253374-2e3ijg071l1c00000000/SIG-20250702_1231139dbi.jpeg", "SIG-20250702_1231139dbi.jpeg")</f>
        <v>SIG-20250702_1231139dbi.jpeg</v>
      </c>
      <c r="AU572" s="1" t="s">
        <v>1056</v>
      </c>
      <c r="AV572" s="3" t="str">
        <f>HYPERLINK("https://icf.clappia.com/app/GMB253374/submission/NGA01518121/ICF247370-GMB253374-3hfn09380dog00000000/SIG-20250702_1231mm7cd.jpeg", "SIG-20250702_1231mm7cd.jpeg")</f>
        <v>SIG-20250702_1231mm7cd.jpeg</v>
      </c>
      <c r="AW572" s="1" t="s">
        <v>3028</v>
      </c>
      <c r="AX572" s="3" t="str">
        <f>HYPERLINK("https://icf.clappia.com/app/GMB253374/submission/NGA01518121/ICF247370-GMB253374-40kpo292k57c00000000/SIG-20250702_12322lomj.jpeg", "SIG-20250702_12322lomj.jpeg")</f>
        <v>SIG-20250702_12322lomj.jpeg</v>
      </c>
      <c r="AY572" s="3" t="str">
        <f>HYPERLINK("https://www.google.com/maps/place/8.860325%2C-12.073145", "8.860325,-12.073145")</f>
        <v>8.860325,-12.073145</v>
      </c>
    </row>
    <row r="573" ht="15.75" customHeight="1">
      <c r="A573" s="1" t="s">
        <v>3029</v>
      </c>
      <c r="B573" s="2" t="s">
        <v>47</v>
      </c>
      <c r="C573" s="1" t="s">
        <v>3026</v>
      </c>
      <c r="D573" s="1" t="s">
        <v>3026</v>
      </c>
      <c r="E573" s="1" t="s">
        <v>3030</v>
      </c>
      <c r="F573" s="1" t="s">
        <v>51</v>
      </c>
      <c r="G573" s="1">
        <v>204.0</v>
      </c>
      <c r="H573" s="1" t="s">
        <v>52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53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54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56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57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f t="shared" si="1"/>
        <v>192</v>
      </c>
      <c r="AM573" s="1">
        <v>204.0</v>
      </c>
      <c r="AN573" s="1">
        <v>216.0</v>
      </c>
      <c r="AO573" s="1">
        <v>181.0</v>
      </c>
      <c r="AP573" s="2">
        <v>11.0</v>
      </c>
      <c r="AQ573" s="1">
        <v>23.0</v>
      </c>
      <c r="AR573" s="1">
        <v>23.0</v>
      </c>
      <c r="AS573" s="1" t="s">
        <v>1945</v>
      </c>
      <c r="AT573" s="3" t="str">
        <f>HYPERLINK("https://icf.clappia.com/app/GMB253374/submission/NPB04953162/ICF247370-GMB253374-4o97o495agcg00000000/SIG-20250702_1231fl4g1.jpeg", "SIG-20250702_1231fl4g1.jpeg")</f>
        <v>SIG-20250702_1231fl4g1.jpeg</v>
      </c>
      <c r="AU573" s="1" t="s">
        <v>1946</v>
      </c>
      <c r="AV573" s="3" t="str">
        <f>HYPERLINK("https://icf.clappia.com/app/GMB253374/submission/NPB04953162/ICF247370-GMB253374-57jmng4dopa600000000/SIG-20250702_12313fo7g.jpeg", "SIG-20250702_12313fo7g.jpeg")</f>
        <v>SIG-20250702_12313fo7g.jpeg</v>
      </c>
      <c r="AW573" s="1" t="s">
        <v>1947</v>
      </c>
      <c r="AX573" s="3" t="str">
        <f>HYPERLINK("https://icf.clappia.com/app/GMB253374/submission/NPB04953162/ICF247370-GMB253374-35278o4o0nf800000000/SIG-20250702_1231af0dp.jpeg", "SIG-20250702_1231af0dp.jpeg")</f>
        <v>SIG-20250702_1231af0dp.jpeg</v>
      </c>
      <c r="AY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3031</v>
      </c>
      <c r="B574" s="2" t="s">
        <v>47</v>
      </c>
      <c r="C574" s="1" t="s">
        <v>3026</v>
      </c>
      <c r="D574" s="1" t="s">
        <v>3026</v>
      </c>
      <c r="E574" s="1" t="s">
        <v>3032</v>
      </c>
      <c r="F574" s="1" t="s">
        <v>51</v>
      </c>
      <c r="G574" s="1">
        <v>669.0</v>
      </c>
      <c r="H574" s="1" t="s">
        <v>52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53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54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56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57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f t="shared" si="1"/>
        <v>659</v>
      </c>
      <c r="AM574" s="1">
        <v>669.0</v>
      </c>
      <c r="AN574" s="1">
        <v>681.0</v>
      </c>
      <c r="AO574" s="1">
        <v>649.0</v>
      </c>
      <c r="AP574" s="2">
        <v>11.0</v>
      </c>
      <c r="AQ574" s="1">
        <v>20.0</v>
      </c>
      <c r="AR574" s="1">
        <v>20.0</v>
      </c>
      <c r="AS574" s="1" t="s">
        <v>3033</v>
      </c>
      <c r="AT574" s="3" t="str">
        <f>HYPERLINK("https://icf.clappia.com/app/GMB253374/submission/BNV19319655/ICF247370-GMB253374-1ea6i1m816j4c0000000/SIG-20250702_1226b2oj2.jpeg", "SIG-20250702_1226b2oj2.jpeg")</f>
        <v>SIG-20250702_1226b2oj2.jpeg</v>
      </c>
      <c r="AU574" s="1" t="s">
        <v>3034</v>
      </c>
      <c r="AV574" s="3" t="str">
        <f>HYPERLINK("https://icf.clappia.com/app/GMB253374/submission/BNV19319655/ICF247370-GMB253374-38153ec5861200000000/SIG-20250702_122817fkm3.jpeg", "SIG-20250702_122817fkm3.jpeg")</f>
        <v>SIG-20250702_122817fkm3.jpeg</v>
      </c>
      <c r="AW574" s="1" t="s">
        <v>3035</v>
      </c>
      <c r="AX574" s="3" t="str">
        <f>HYPERLINK("https://icf.clappia.com/app/GMB253374/submission/BNV19319655/ICF247370-GMB253374-23p49b25kmjcc0000000/SIG-20250702_12273m8bi.jpeg", "SIG-20250702_12273m8bi.jpeg")</f>
        <v>SIG-20250702_12273m8bi.jpeg</v>
      </c>
      <c r="AY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3036</v>
      </c>
      <c r="B575" s="2" t="s">
        <v>47</v>
      </c>
      <c r="C575" s="1" t="s">
        <v>3037</v>
      </c>
      <c r="D575" s="1" t="s">
        <v>3037</v>
      </c>
      <c r="E575" s="1" t="s">
        <v>3038</v>
      </c>
      <c r="F575" s="1" t="s">
        <v>51</v>
      </c>
      <c r="G575" s="1">
        <v>200.0</v>
      </c>
      <c r="H575" s="1" t="s">
        <v>52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53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54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56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57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f t="shared" si="1"/>
        <v>201</v>
      </c>
      <c r="AM575" s="1">
        <v>200.0</v>
      </c>
      <c r="AN575" s="1">
        <v>212.0</v>
      </c>
      <c r="AO575" s="1">
        <v>200.0</v>
      </c>
      <c r="AP575" s="2">
        <v>11.0</v>
      </c>
      <c r="AQ575" s="1">
        <v>0.0</v>
      </c>
      <c r="AR575" s="1">
        <v>0.0</v>
      </c>
      <c r="AS575" s="1" t="s">
        <v>1816</v>
      </c>
      <c r="AT575" s="3" t="str">
        <f>HYPERLINK("https://icf.clappia.com/app/GMB253374/submission/CNV81220148/ICF247370-GMB253374-59hljkljikjm00000000/SIG-20250702_123012hj67.jpeg", "SIG-20250702_123012hj67.jpeg")</f>
        <v>SIG-20250702_123012hj67.jpeg</v>
      </c>
      <c r="AU575" s="1" t="s">
        <v>1817</v>
      </c>
      <c r="AV575" s="3" t="str">
        <f>HYPERLINK("https://icf.clappia.com/app/GMB253374/submission/CNV81220148/ICF247370-GMB253374-3ec8nl4ki2e600000000/SIG-20250702_12059gp8o.jpeg", "SIG-20250702_12059gp8o.jpeg")</f>
        <v>SIG-20250702_12059gp8o.jpeg</v>
      </c>
      <c r="AW575" s="1" t="s">
        <v>1818</v>
      </c>
      <c r="AX575" s="3" t="str">
        <f>HYPERLINK("https://icf.clappia.com/app/GMB253374/submission/CNV81220148/ICF247370-GMB253374-67f7nad2ja7e00000000/SIG-20250702_1207c5ko3.jpeg", "SIG-20250702_1207c5ko3.jpeg")</f>
        <v>SIG-20250702_1207c5ko3.jpeg</v>
      </c>
      <c r="AY575" s="3" t="str">
        <f>HYPERLINK("https://www.google.com/maps/place/7.93682%2C-11.73652", "7.93682,-11.73652")</f>
        <v>7.93682,-11.73652</v>
      </c>
    </row>
    <row r="576" ht="15.75" customHeight="1">
      <c r="A576" s="1" t="s">
        <v>3039</v>
      </c>
      <c r="B576" s="2" t="s">
        <v>47</v>
      </c>
      <c r="C576" s="1" t="s">
        <v>3040</v>
      </c>
      <c r="D576" s="1" t="s">
        <v>3040</v>
      </c>
      <c r="E576" s="1" t="s">
        <v>3041</v>
      </c>
      <c r="F576" s="1" t="s">
        <v>51</v>
      </c>
      <c r="G576" s="1">
        <v>350.0</v>
      </c>
      <c r="H576" s="1" t="s">
        <v>52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53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54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56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57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f t="shared" si="1"/>
        <v>237</v>
      </c>
      <c r="AM576" s="1">
        <v>350.0</v>
      </c>
      <c r="AN576" s="1">
        <v>362.0</v>
      </c>
      <c r="AO576" s="1">
        <v>237.0</v>
      </c>
      <c r="AP576" s="2">
        <v>11.0</v>
      </c>
      <c r="AQ576" s="1">
        <v>113.0</v>
      </c>
      <c r="AR576" s="1">
        <v>113.0</v>
      </c>
      <c r="AS576" s="1" t="s">
        <v>3042</v>
      </c>
      <c r="AT576" s="3" t="str">
        <f>HYPERLINK("https://icf.clappia.com/app/GMB253374/submission/HDR49614853/ICF247370-GMB253374-54496cmp3k7200000000/SIG-20250702_1213dj9nf.jpeg", "SIG-20250702_1213dj9nf.jpeg")</f>
        <v>SIG-20250702_1213dj9nf.jpeg</v>
      </c>
      <c r="AU576" s="1" t="s">
        <v>3043</v>
      </c>
      <c r="AV576" s="3" t="str">
        <f>HYPERLINK("https://icf.clappia.com/app/GMB253374/submission/HDR49614853/ICF247370-GMB253374-4f4h33g1ojec00000000/SIG-20250702_1213144h17.jpeg", "SIG-20250702_1213144h17.jpeg")</f>
        <v>SIG-20250702_1213144h17.jpeg</v>
      </c>
      <c r="AW576" s="1" t="s">
        <v>3044</v>
      </c>
      <c r="AX576" s="3" t="str">
        <f>HYPERLINK("https://icf.clappia.com/app/GMB253374/submission/HDR49614853/ICF247370-GMB253374-2lkfcool1lac00000000/SIG-20250702_1215ame4n.jpeg", "SIG-20250702_1215ame4n.jpeg")</f>
        <v>SIG-20250702_1215ame4n.jpeg</v>
      </c>
      <c r="AY576" s="3" t="str">
        <f>HYPERLINK("https://www.google.com/maps/place/7.944505%2C-11.7470333", "7.944505,-11.7470333")</f>
        <v>7.944505,-11.7470333</v>
      </c>
    </row>
    <row r="577" ht="15.75" customHeight="1">
      <c r="A577" s="1" t="s">
        <v>3045</v>
      </c>
      <c r="B577" s="2" t="s">
        <v>47</v>
      </c>
      <c r="C577" s="1" t="s">
        <v>3040</v>
      </c>
      <c r="D577" s="1" t="s">
        <v>3040</v>
      </c>
      <c r="E577" s="1" t="s">
        <v>3046</v>
      </c>
      <c r="F577" s="1" t="s">
        <v>51</v>
      </c>
      <c r="G577" s="1">
        <v>250.0</v>
      </c>
      <c r="H577" s="1" t="s">
        <v>52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53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54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56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57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f t="shared" si="1"/>
        <v>242</v>
      </c>
      <c r="AM577" s="1">
        <v>250.0</v>
      </c>
      <c r="AN577" s="1">
        <v>262.0</v>
      </c>
      <c r="AO577" s="1">
        <v>215.0</v>
      </c>
      <c r="AP577" s="2">
        <v>11.0</v>
      </c>
      <c r="AQ577" s="1">
        <v>35.0</v>
      </c>
      <c r="AR577" s="1">
        <v>35.0</v>
      </c>
      <c r="AS577" s="1" t="s">
        <v>3047</v>
      </c>
      <c r="AT577" s="3" t="str">
        <f>HYPERLINK("https://icf.clappia.com/app/GMB253374/submission/XUK86161355/ICF247370-GMB253374-nc5n079loi7i0000000/SIG-20250702_1058eee7p.jpeg", "SIG-20250702_1058eee7p.jpeg")</f>
        <v>SIG-20250702_1058eee7p.jpeg</v>
      </c>
      <c r="AU577" s="1" t="s">
        <v>3048</v>
      </c>
      <c r="AV577" s="3" t="str">
        <f>HYPERLINK("https://icf.clappia.com/app/GMB253374/submission/XUK86161355/ICF247370-GMB253374-18nhmm30e542k0000000/SIG-20250702_1100l5he4.jpeg", "SIG-20250702_1100l5he4.jpeg")</f>
        <v>SIG-20250702_1100l5he4.jpeg</v>
      </c>
      <c r="AW577" s="1" t="s">
        <v>3049</v>
      </c>
      <c r="AX577" s="3" t="str">
        <f>HYPERLINK("https://icf.clappia.com/app/GMB253374/submission/XUK86161355/ICF247370-GMB253374-23o5j5lc14hck0000000/SIG-20250702_1101h68b7.jpeg", "SIG-20250702_1101h68b7.jpeg")</f>
        <v>SIG-20250702_1101h68b7.jpeg</v>
      </c>
      <c r="AY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3050</v>
      </c>
      <c r="B578" s="2" t="s">
        <v>47</v>
      </c>
      <c r="C578" s="1" t="s">
        <v>3051</v>
      </c>
      <c r="D578" s="1" t="s">
        <v>3051</v>
      </c>
      <c r="E578" s="1" t="s">
        <v>3052</v>
      </c>
      <c r="F578" s="1" t="s">
        <v>51</v>
      </c>
      <c r="G578" s="1">
        <v>210.0</v>
      </c>
      <c r="H578" s="1" t="s">
        <v>52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53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54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56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57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f t="shared" si="1"/>
        <v>220</v>
      </c>
      <c r="AM578" s="1">
        <v>210.0</v>
      </c>
      <c r="AN578" s="1">
        <v>222.0</v>
      </c>
      <c r="AO578" s="1">
        <v>210.0</v>
      </c>
      <c r="AP578" s="2">
        <v>11.0</v>
      </c>
      <c r="AQ578" s="1">
        <v>0.0</v>
      </c>
      <c r="AR578" s="1">
        <v>0.0</v>
      </c>
      <c r="AS578" s="1" t="s">
        <v>1286</v>
      </c>
      <c r="AT578" s="3" t="str">
        <f>HYPERLINK("https://icf.clappia.com/app/GMB253374/submission/ZUQ10003241/ICF247370-GMB253374-2aoao5njcij8e0000000/SIG-20250702_1229eid5j.jpeg", "SIG-20250702_1229eid5j.jpeg")</f>
        <v>SIG-20250702_1229eid5j.jpeg</v>
      </c>
      <c r="AU578" s="1" t="s">
        <v>1287</v>
      </c>
      <c r="AV578" s="3" t="str">
        <f>HYPERLINK("https://icf.clappia.com/app/GMB253374/submission/ZUQ10003241/ICF247370-GMB253374-261iggoi2hame0000000/SIG-20250702_121718i2n7.jpeg", "SIG-20250702_121718i2n7.jpeg")</f>
        <v>SIG-20250702_121718i2n7.jpeg</v>
      </c>
      <c r="AW578" s="1" t="s">
        <v>1288</v>
      </c>
      <c r="AX578" s="3" t="str">
        <f>HYPERLINK("https://icf.clappia.com/app/GMB253374/submission/ZUQ10003241/ICF247370-GMB253374-19dl6ji7aa7mo0000000/SIG-20250702_1218meah.jpeg", "SIG-20250702_1218meah.jpeg")</f>
        <v>SIG-20250702_1218meah.jpeg</v>
      </c>
      <c r="AY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3053</v>
      </c>
      <c r="B579" s="2" t="s">
        <v>47</v>
      </c>
      <c r="C579" s="1" t="s">
        <v>3054</v>
      </c>
      <c r="D579" s="1" t="s">
        <v>3054</v>
      </c>
      <c r="E579" s="1" t="s">
        <v>3055</v>
      </c>
      <c r="F579" s="1" t="s">
        <v>51</v>
      </c>
      <c r="G579" s="1">
        <v>200.0</v>
      </c>
      <c r="H579" s="1" t="s">
        <v>52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53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54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56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57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f t="shared" si="1"/>
        <v>112</v>
      </c>
      <c r="AM579" s="1">
        <v>200.0</v>
      </c>
      <c r="AN579" s="1">
        <v>212.0</v>
      </c>
      <c r="AO579" s="1">
        <v>112.0</v>
      </c>
      <c r="AP579" s="2">
        <v>11.0</v>
      </c>
      <c r="AQ579" s="1">
        <v>88.0</v>
      </c>
      <c r="AR579" s="1">
        <v>88.0</v>
      </c>
      <c r="AS579" s="1" t="s">
        <v>2361</v>
      </c>
      <c r="AT579" s="3" t="str">
        <f>HYPERLINK("https://icf.clappia.com/app/GMB253374/submission/IIF34505262/ICF247370-GMB253374-60b42hbhi80e00000000/SIG-20250702_12255eo1p.jpeg", "SIG-20250702_12255eo1p.jpeg")</f>
        <v>SIG-20250702_12255eo1p.jpeg</v>
      </c>
      <c r="AU579" s="1" t="s">
        <v>3056</v>
      </c>
      <c r="AV579" s="3" t="str">
        <f>HYPERLINK("https://icf.clappia.com/app/GMB253374/submission/IIF34505262/ICF247370-GMB253374-1o74j5ab6kel60000000/SIG-20250702_122618a384.jpeg", "SIG-20250702_122618a384.jpeg")</f>
        <v>SIG-20250702_122618a384.jpeg</v>
      </c>
      <c r="AW579" s="1" t="s">
        <v>2360</v>
      </c>
      <c r="AX579" s="3" t="str">
        <f>HYPERLINK("https://icf.clappia.com/app/GMB253374/submission/IIF34505262/ICF247370-GMB253374-31ffhn246g8m00000000/SIG-20250702_122810en7f.jpeg", "SIG-20250702_122810en7f.jpeg")</f>
        <v>SIG-20250702_122810en7f.jpeg</v>
      </c>
      <c r="AY579" s="3" t="str">
        <f>HYPERLINK("https://www.google.com/maps/place/8.1404433%2C-11.60505", "8.1404433,-11.60505")</f>
        <v>8.1404433,-11.60505</v>
      </c>
    </row>
    <row r="580" ht="15.75" customHeight="1">
      <c r="A580" s="1" t="s">
        <v>3057</v>
      </c>
      <c r="B580" s="2" t="s">
        <v>47</v>
      </c>
      <c r="C580" s="1" t="s">
        <v>571</v>
      </c>
      <c r="D580" s="1" t="s">
        <v>571</v>
      </c>
      <c r="E580" s="1" t="s">
        <v>3058</v>
      </c>
      <c r="F580" s="1" t="s">
        <v>51</v>
      </c>
      <c r="G580" s="1">
        <v>145.0</v>
      </c>
      <c r="H580" s="1" t="s">
        <v>52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53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54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56</v>
      </c>
      <c r="AA580" s="1" t="s">
        <v>55</v>
      </c>
      <c r="AB580" s="1" t="s">
        <v>55</v>
      </c>
      <c r="AC580" s="1" t="s">
        <v>55</v>
      </c>
      <c r="AD580" s="1" t="s">
        <v>55</v>
      </c>
      <c r="AE580" s="1" t="s">
        <v>55</v>
      </c>
      <c r="AF580" s="1" t="s">
        <v>57</v>
      </c>
      <c r="AG580" s="1" t="s">
        <v>55</v>
      </c>
      <c r="AH580" s="1" t="s">
        <v>55</v>
      </c>
      <c r="AI580" s="1" t="s">
        <v>55</v>
      </c>
      <c r="AJ580" s="1" t="s">
        <v>55</v>
      </c>
      <c r="AK580" s="1" t="s">
        <v>55</v>
      </c>
      <c r="AL580" s="1">
        <f t="shared" si="1"/>
        <v>154</v>
      </c>
      <c r="AM580" s="1">
        <v>145.0</v>
      </c>
      <c r="AN580" s="1">
        <v>157.0</v>
      </c>
      <c r="AO580" s="1">
        <v>119.0</v>
      </c>
      <c r="AP580" s="2">
        <v>11.0</v>
      </c>
      <c r="AQ580" s="1">
        <v>26.0</v>
      </c>
      <c r="AR580" s="1">
        <v>26.0</v>
      </c>
      <c r="AS580" s="1" t="s">
        <v>3059</v>
      </c>
      <c r="AT580" s="3" t="str">
        <f>HYPERLINK("https://icf.clappia.com/app/GMB253374/submission/QHV57865374/ICF247370-GMB253374-3o1hcmmg9o6o00000000/SIG-20250630_1610dp60i.jpeg", "SIG-20250630_1610dp60i.jpeg")</f>
        <v>SIG-20250630_1610dp60i.jpeg</v>
      </c>
      <c r="AU580" s="1" t="s">
        <v>3060</v>
      </c>
      <c r="AV580" s="3" t="str">
        <f>HYPERLINK("https://icf.clappia.com/app/GMB253374/submission/QHV57865374/ICF247370-GMB253374-4i6o48d6gcc600000000/SIG-20250630_16129i7e6.jpeg", "SIG-20250630_16129i7e6.jpeg")</f>
        <v>SIG-20250630_16129i7e6.jpeg</v>
      </c>
      <c r="AW580" s="1" t="s">
        <v>3061</v>
      </c>
      <c r="AX580" s="3" t="str">
        <f>HYPERLINK("https://icf.clappia.com/app/GMB253374/submission/QHV57865374/ICF247370-GMB253374-5b7fih74idda00000000/SIG-20250630_161317dh23.jpeg", "SIG-20250630_161317dh23.jpeg")</f>
        <v>SIG-20250630_161317dh23.jpeg</v>
      </c>
      <c r="AY580" s="3" t="str">
        <f>HYPERLINK("https://www.google.com/maps/place/8.202615%2C-11.4313917", "8.202615,-11.4313917")</f>
        <v>8.202615,-11.4313917</v>
      </c>
    </row>
    <row r="581" ht="15.75" customHeight="1">
      <c r="A581" s="1" t="s">
        <v>3062</v>
      </c>
      <c r="B581" s="2" t="s">
        <v>47</v>
      </c>
      <c r="C581" s="1" t="s">
        <v>3063</v>
      </c>
      <c r="D581" s="1" t="s">
        <v>571</v>
      </c>
      <c r="E581" s="1" t="s">
        <v>3064</v>
      </c>
      <c r="F581" s="1" t="s">
        <v>51</v>
      </c>
      <c r="G581" s="1">
        <v>300.0</v>
      </c>
      <c r="H581" s="1" t="s">
        <v>52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53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54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56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57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f t="shared" si="1"/>
        <v>267</v>
      </c>
      <c r="AM581" s="1">
        <v>300.0</v>
      </c>
      <c r="AN581" s="1">
        <v>312.0</v>
      </c>
      <c r="AO581" s="1">
        <v>263.0</v>
      </c>
      <c r="AP581" s="2">
        <v>11.0</v>
      </c>
      <c r="AQ581" s="1">
        <v>37.0</v>
      </c>
      <c r="AR581" s="1">
        <v>37.0</v>
      </c>
      <c r="AS581" s="1" t="s">
        <v>3065</v>
      </c>
      <c r="AT581" s="3" t="str">
        <f>HYPERLINK("https://icf.clappia.com/app/GMB253374/submission/YSM92133460/ICF247370-GMB253374-10c8eak17k8o00000000/SIG-20250701_1036c6cfo.jpeg", "SIG-20250701_1036c6cfo.jpeg")</f>
        <v>SIG-20250701_1036c6cfo.jpeg</v>
      </c>
      <c r="AU581" s="1" t="s">
        <v>3066</v>
      </c>
      <c r="AV581" s="3" t="str">
        <f>HYPERLINK("https://icf.clappia.com/app/GMB253374/submission/YSM92133460/ICF247370-GMB253374-2bgpa6fbhbbla0000000/SIG-20250701_1036119mml.jpeg", "SIG-20250701_1036119mml.jpeg")</f>
        <v>SIG-20250701_1036119mml.jpeg</v>
      </c>
      <c r="AW581" s="1" t="s">
        <v>3067</v>
      </c>
      <c r="AX581" s="3" t="str">
        <f>HYPERLINK("https://icf.clappia.com/app/GMB253374/submission/YSM92133460/ICF247370-GMB253374-3f3kfoh3opbm00000000/SIG-20250701_10373dloj.jpeg", "SIG-20250701_10373dloj.jpeg")</f>
        <v>SIG-20250701_10373dloj.jpeg</v>
      </c>
      <c r="AY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3068</v>
      </c>
      <c r="B582" s="2" t="s">
        <v>47</v>
      </c>
      <c r="C582" s="1" t="s">
        <v>3069</v>
      </c>
      <c r="D582" s="1" t="s">
        <v>3069</v>
      </c>
      <c r="E582" s="1" t="s">
        <v>3070</v>
      </c>
      <c r="F582" s="1" t="s">
        <v>51</v>
      </c>
      <c r="G582" s="1">
        <v>127.0</v>
      </c>
      <c r="H582" s="1" t="s">
        <v>52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53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54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56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57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f t="shared" si="1"/>
        <v>127</v>
      </c>
      <c r="AM582" s="1">
        <v>127.0</v>
      </c>
      <c r="AN582" s="1">
        <v>139.0</v>
      </c>
      <c r="AO582" s="1">
        <v>127.0</v>
      </c>
      <c r="AP582" s="2">
        <v>11.0</v>
      </c>
      <c r="AQ582" s="1">
        <v>0.0</v>
      </c>
      <c r="AR582" s="1">
        <v>0.0</v>
      </c>
      <c r="AS582" s="1" t="s">
        <v>1272</v>
      </c>
      <c r="AT582" s="3" t="str">
        <f>HYPERLINK("https://icf.clappia.com/app/GMB253374/submission/OVK69262323/ICF247370-GMB253374-n87k9723klbe0000000/SIG-20250702_122015333b.jpeg", "SIG-20250702_122015333b.jpeg")</f>
        <v>SIG-20250702_122015333b.jpeg</v>
      </c>
      <c r="AU582" s="1" t="s">
        <v>3071</v>
      </c>
      <c r="AV582" s="3" t="str">
        <f>HYPERLINK("https://icf.clappia.com/app/GMB253374/submission/OVK69262323/ICF247370-GMB253374-4lka0f2g86b000000000/SIG-20250702_1126ehjon.jpeg", "SIG-20250702_1126ehjon.jpeg")</f>
        <v>SIG-20250702_1126ehjon.jpeg</v>
      </c>
      <c r="AW582" s="1" t="s">
        <v>1270</v>
      </c>
      <c r="AX582" s="3" t="str">
        <f>HYPERLINK("https://icf.clappia.com/app/GMB253374/submission/OVK69262323/ICF247370-GMB253374-67pnjo18iako00000000/SIG-20250702_1122dp3ef.jpeg", "SIG-20250702_1122dp3ef.jpeg")</f>
        <v>SIG-20250702_1122dp3ef.jpeg</v>
      </c>
      <c r="AY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3072</v>
      </c>
      <c r="B583" s="2" t="s">
        <v>47</v>
      </c>
      <c r="C583" s="1" t="s">
        <v>634</v>
      </c>
      <c r="D583" s="1" t="s">
        <v>3073</v>
      </c>
      <c r="E583" s="1" t="s">
        <v>3074</v>
      </c>
      <c r="F583" s="1" t="s">
        <v>51</v>
      </c>
      <c r="G583" s="1">
        <v>41.0</v>
      </c>
      <c r="H583" s="1" t="s">
        <v>52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53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54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56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57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f t="shared" si="1"/>
        <v>41</v>
      </c>
      <c r="AM583" s="1">
        <v>41.0</v>
      </c>
      <c r="AN583" s="1">
        <v>53.0</v>
      </c>
      <c r="AO583" s="1">
        <v>38.0</v>
      </c>
      <c r="AP583" s="2">
        <v>11.0</v>
      </c>
      <c r="AQ583" s="1">
        <v>3.0</v>
      </c>
      <c r="AR583" s="1">
        <v>3.0</v>
      </c>
      <c r="AS583" s="1" t="s">
        <v>3075</v>
      </c>
      <c r="AT583" s="3" t="str">
        <f>HYPERLINK("https://icf.clappia.com/app/GMB253374/submission/UIB50512763/ICF247370-GMB253374-2hahn1h2n8b400000000/SIG-20250702_12067ob0d.jpeg", "SIG-20250702_12067ob0d.jpeg")</f>
        <v>SIG-20250702_12067ob0d.jpeg</v>
      </c>
      <c r="AU583" s="1" t="s">
        <v>3076</v>
      </c>
      <c r="AV583" s="3" t="str">
        <f>HYPERLINK("https://icf.clappia.com/app/GMB253374/submission/UIB50512763/ICF247370-GMB253374-3ain4ihld0b20000000/SIG-20250702_1207fk32h.jpeg", "SIG-20250702_1207fk32h.jpeg")</f>
        <v>SIG-20250702_1207fk32h.jpeg</v>
      </c>
      <c r="AW583" s="1" t="s">
        <v>3077</v>
      </c>
      <c r="AX583" s="3" t="str">
        <f>HYPERLINK("https://icf.clappia.com/app/GMB253374/submission/UIB50512763/ICF247370-GMB253374-4dh4n1jip4a600000000/SIG-20250702_1220116461.jpeg", "SIG-20250702_1220116461.jpeg")</f>
        <v>SIG-20250702_1220116461.jpeg</v>
      </c>
      <c r="AY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3078</v>
      </c>
      <c r="B584" s="2" t="s">
        <v>47</v>
      </c>
      <c r="C584" s="1" t="s">
        <v>3079</v>
      </c>
      <c r="D584" s="1" t="s">
        <v>3079</v>
      </c>
      <c r="E584" s="1" t="s">
        <v>3080</v>
      </c>
      <c r="F584" s="1" t="s">
        <v>51</v>
      </c>
      <c r="G584" s="1">
        <v>267.0</v>
      </c>
      <c r="H584" s="1" t="s">
        <v>52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53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54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56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57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f t="shared" si="1"/>
        <v>207</v>
      </c>
      <c r="AM584" s="1">
        <v>267.0</v>
      </c>
      <c r="AN584" s="1">
        <v>279.0</v>
      </c>
      <c r="AO584" s="1">
        <v>131.0</v>
      </c>
      <c r="AP584" s="2">
        <v>11.0</v>
      </c>
      <c r="AQ584" s="1">
        <v>136.0</v>
      </c>
      <c r="AR584" s="1">
        <v>136.0</v>
      </c>
      <c r="AS584" s="1" t="s">
        <v>3081</v>
      </c>
      <c r="AT584" s="3" t="str">
        <f>HYPERLINK("https://icf.clappia.com/app/GMB253374/submission/KUH63890035/ICF247370-GMB253374-37j88lfaapn200000000/SIG-20250702_1219m0038.jpeg", "SIG-20250702_1219m0038.jpeg")</f>
        <v>SIG-20250702_1219m0038.jpeg</v>
      </c>
      <c r="AU584" s="1" t="s">
        <v>3082</v>
      </c>
      <c r="AV584" s="3" t="str">
        <f>HYPERLINK("https://icf.clappia.com/app/GMB253374/submission/KUH63890035/ICF247370-GMB253374-p23hj19h9hjm0000000/SIG-20250702_1219801o6.jpeg", "SIG-20250702_1219801o6.jpeg")</f>
        <v>SIG-20250702_1219801o6.jpeg</v>
      </c>
      <c r="AW584" s="1" t="s">
        <v>3083</v>
      </c>
      <c r="AX584" s="3" t="str">
        <f>HYPERLINK("https://icf.clappia.com/app/GMB253374/submission/KUH63890035/ICF247370-GMB253374-2nopkc63j9nc00000000/SIG-20250702_1220dpll2.jpeg", "SIG-20250702_1220dpll2.jpeg")</f>
        <v>SIG-20250702_1220dpll2.jpeg</v>
      </c>
      <c r="AY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3084</v>
      </c>
      <c r="B585" s="2" t="s">
        <v>47</v>
      </c>
      <c r="C585" s="1" t="s">
        <v>3085</v>
      </c>
      <c r="D585" s="1" t="s">
        <v>3085</v>
      </c>
      <c r="E585" s="1" t="s">
        <v>3086</v>
      </c>
      <c r="F585" s="1" t="s">
        <v>51</v>
      </c>
      <c r="G585" s="1">
        <v>303.0</v>
      </c>
      <c r="H585" s="1" t="s">
        <v>52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53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54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56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57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f t="shared" si="1"/>
        <v>303</v>
      </c>
      <c r="AM585" s="1">
        <v>303.0</v>
      </c>
      <c r="AN585" s="1">
        <v>315.0</v>
      </c>
      <c r="AO585" s="1">
        <v>300.0</v>
      </c>
      <c r="AP585" s="2">
        <v>11.0</v>
      </c>
      <c r="AQ585" s="1">
        <v>3.0</v>
      </c>
      <c r="AR585" s="1">
        <v>3.0</v>
      </c>
      <c r="AS585" s="1" t="s">
        <v>840</v>
      </c>
      <c r="AT585" s="3" t="str">
        <f>HYPERLINK("https://icf.clappia.com/app/GMB253374/submission/FYF54703499/ICF247370-GMB253374-2ojic2b37l7c00000000/SIG-20250701_18142p615.jpeg", "SIG-20250701_18142p615.jpeg")</f>
        <v>SIG-20250701_18142p615.jpeg</v>
      </c>
      <c r="AU585" s="1" t="s">
        <v>839</v>
      </c>
      <c r="AV585" s="3" t="str">
        <f>HYPERLINK("https://icf.clappia.com/app/GMB253374/submission/FYF54703499/ICF247370-GMB253374-4e1c3nhaplkk00000000/SIG-20250701_18146770n.jpeg", "SIG-20250701_18146770n.jpeg")</f>
        <v>SIG-20250701_18146770n.jpeg</v>
      </c>
      <c r="AW585" s="1" t="s">
        <v>3087</v>
      </c>
      <c r="AX585" s="3" t="str">
        <f>HYPERLINK("https://icf.clappia.com/app/GMB253374/submission/FYF54703499/ICF247370-GMB253374-61bampge266o00000000/SIG-20250701_181610a8b3.jpeg", "SIG-20250701_181610a8b3.jpeg")</f>
        <v>SIG-20250701_181610a8b3.jpeg</v>
      </c>
      <c r="AY585" s="3" t="str">
        <f>HYPERLINK("https://www.google.com/maps/place/8.8175236%2C-12.228005", "8.8175236,-12.228005")</f>
        <v>8.8175236,-12.228005</v>
      </c>
    </row>
    <row r="586" ht="15.75" customHeight="1">
      <c r="A586" s="1" t="s">
        <v>3088</v>
      </c>
      <c r="B586" s="2" t="s">
        <v>47</v>
      </c>
      <c r="C586" s="1" t="s">
        <v>3089</v>
      </c>
      <c r="D586" s="1" t="s">
        <v>3089</v>
      </c>
      <c r="E586" s="1" t="s">
        <v>3090</v>
      </c>
      <c r="F586" s="1" t="s">
        <v>51</v>
      </c>
      <c r="G586" s="1">
        <v>245.0</v>
      </c>
      <c r="H586" s="1" t="s">
        <v>52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53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54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56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57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f t="shared" si="1"/>
        <v>245</v>
      </c>
      <c r="AM586" s="1">
        <v>245.0</v>
      </c>
      <c r="AN586" s="1">
        <v>257.0</v>
      </c>
      <c r="AO586" s="1">
        <v>245.0</v>
      </c>
      <c r="AP586" s="2">
        <v>11.0</v>
      </c>
      <c r="AQ586" s="1">
        <v>0.0</v>
      </c>
      <c r="AR586" s="1">
        <v>0.0</v>
      </c>
      <c r="AS586" s="1" t="s">
        <v>3091</v>
      </c>
      <c r="AT586" s="3" t="str">
        <f>HYPERLINK("https://icf.clappia.com/app/GMB253374/submission/ERW66669732/ICF247370-GMB253374-3182defnpmei00000000/SIG-20250702_121611j2jc.jpeg", "SIG-20250702_121611j2jc.jpeg")</f>
        <v>SIG-20250702_121611j2jc.jpeg</v>
      </c>
      <c r="AU586" s="1" t="s">
        <v>3092</v>
      </c>
      <c r="AV586" s="3" t="str">
        <f>HYPERLINK("https://icf.clappia.com/app/GMB253374/submission/ERW66669732/ICF247370-GMB253374-5na0af854e2g00000000/SIG-20250702_1218179l7k.jpeg", "SIG-20250702_1218179l7k.jpeg")</f>
        <v>SIG-20250702_1218179l7k.jpeg</v>
      </c>
      <c r="AW586" s="1" t="s">
        <v>3093</v>
      </c>
      <c r="AX586" s="3" t="str">
        <f>HYPERLINK("https://icf.clappia.com/app/GMB253374/submission/ERW66669732/ICF247370-GMB253374-j3ek8i4jfj120000000/SIG-20250702_1217o599c.jpeg", "SIG-20250702_1217o599c.jpeg")</f>
        <v>SIG-20250702_1217o599c.jpeg</v>
      </c>
      <c r="AY586" s="3" t="str">
        <f>HYPERLINK("https://www.google.com/maps/place/9.298695%2C-12.2064517", "9.298695,-12.2064517")</f>
        <v>9.298695,-12.2064517</v>
      </c>
    </row>
    <row r="587" ht="15.75" customHeight="1">
      <c r="A587" s="1" t="s">
        <v>3094</v>
      </c>
      <c r="B587" s="2" t="s">
        <v>47</v>
      </c>
      <c r="C587" s="1" t="s">
        <v>3095</v>
      </c>
      <c r="D587" s="1" t="s">
        <v>3095</v>
      </c>
      <c r="E587" s="1" t="s">
        <v>3096</v>
      </c>
      <c r="F587" s="1" t="s">
        <v>51</v>
      </c>
      <c r="G587" s="1">
        <v>150.0</v>
      </c>
      <c r="H587" s="1" t="s">
        <v>52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53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54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56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57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f t="shared" si="1"/>
        <v>127</v>
      </c>
      <c r="AM587" s="1">
        <v>150.0</v>
      </c>
      <c r="AN587" s="1">
        <v>162.0</v>
      </c>
      <c r="AO587" s="1">
        <v>119.0</v>
      </c>
      <c r="AP587" s="2">
        <v>11.0</v>
      </c>
      <c r="AQ587" s="1">
        <v>31.0</v>
      </c>
      <c r="AR587" s="1">
        <v>31.0</v>
      </c>
      <c r="AS587" s="1" t="s">
        <v>100</v>
      </c>
      <c r="AT587" s="3" t="str">
        <f>HYPERLINK("https://icf.clappia.com/app/GMB253374/submission/KUD23802214/ICF247370-GMB253374-303oj3n7ci6800000000/SIG-20250702_12159mnh4.jpeg", "SIG-20250702_12159mnh4.jpeg")</f>
        <v>SIG-20250702_12159mnh4.jpeg</v>
      </c>
      <c r="AU587" s="1" t="s">
        <v>101</v>
      </c>
      <c r="AV587" s="3" t="str">
        <f>HYPERLINK("https://icf.clappia.com/app/GMB253374/submission/KUD23802214/ICF247370-GMB253374-36ak2b774i9m00000000/SIG-20250702_1216n878d.jpeg", "SIG-20250702_1216n878d.jpeg")</f>
        <v>SIG-20250702_1216n878d.jpeg</v>
      </c>
      <c r="AW587" s="1" t="s">
        <v>102</v>
      </c>
      <c r="AX587" s="3" t="str">
        <f>HYPERLINK("https://icf.clappia.com/app/GMB253374/submission/KUD23802214/ICF247370-GMB253374-3ab42ehcog9200000000/SIG-20250702_120914aeo0.jpeg", "SIG-20250702_120914aeo0.jpeg")</f>
        <v>SIG-20250702_120914aeo0.jpeg</v>
      </c>
      <c r="AY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3097</v>
      </c>
      <c r="B588" s="2" t="s">
        <v>47</v>
      </c>
      <c r="C588" s="1" t="s">
        <v>3098</v>
      </c>
      <c r="D588" s="1" t="s">
        <v>3098</v>
      </c>
      <c r="E588" s="1" t="s">
        <v>3099</v>
      </c>
      <c r="F588" s="1" t="s">
        <v>51</v>
      </c>
      <c r="G588" s="1">
        <v>783.0</v>
      </c>
      <c r="H588" s="1" t="s">
        <v>52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53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54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56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57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f t="shared" si="1"/>
        <v>740</v>
      </c>
      <c r="AM588" s="1">
        <v>783.0</v>
      </c>
      <c r="AN588" s="1">
        <v>795.0</v>
      </c>
      <c r="AO588" s="1">
        <v>740.0</v>
      </c>
      <c r="AP588" s="2">
        <v>11.0</v>
      </c>
      <c r="AQ588" s="1">
        <v>43.0</v>
      </c>
      <c r="AR588" s="1">
        <v>43.0</v>
      </c>
      <c r="AS588" s="1" t="s">
        <v>3100</v>
      </c>
      <c r="AT588" s="3" t="str">
        <f>HYPERLINK("https://icf.clappia.com/app/GMB253374/submission/GRY55733590/ICF247370-GMB253374-5dggbcip6lok00000000/SIG-20250702_121314ina3.jpeg", "SIG-20250702_121314ina3.jpeg")</f>
        <v>SIG-20250702_121314ina3.jpeg</v>
      </c>
      <c r="AU588" s="1" t="s">
        <v>3101</v>
      </c>
      <c r="AV588" s="3" t="str">
        <f>HYPERLINK("https://icf.clappia.com/app/GMB253374/submission/GRY55733590/ICF247370-GMB253374-3b3d5ed15nf600000000/SIG-20250702_1214i069n.jpeg", "SIG-20250702_1214i069n.jpeg")</f>
        <v>SIG-20250702_1214i069n.jpeg</v>
      </c>
      <c r="AW588" s="1" t="s">
        <v>3102</v>
      </c>
      <c r="AX588" s="3" t="str">
        <f>HYPERLINK("https://icf.clappia.com/app/GMB253374/submission/GRY55733590/ICF247370-GMB253374-ig1i8o8hgcm40000000/SIG-20250702_121481clh.jpeg", "SIG-20250702_121481clh.jpeg")</f>
        <v>SIG-20250702_121481clh.jpeg</v>
      </c>
      <c r="AY588" s="3" t="str">
        <f>HYPERLINK("https://www.google.com/maps/place/8.896823%2C-12.0531652", "8.896823,-12.0531652")</f>
        <v>8.896823,-12.0531652</v>
      </c>
    </row>
    <row r="589" ht="15.75" customHeight="1">
      <c r="A589" s="1" t="s">
        <v>3103</v>
      </c>
      <c r="B589" s="2" t="s">
        <v>47</v>
      </c>
      <c r="C589" s="1" t="s">
        <v>3104</v>
      </c>
      <c r="D589" s="1" t="s">
        <v>3104</v>
      </c>
      <c r="E589" s="1" t="s">
        <v>3105</v>
      </c>
      <c r="F589" s="1" t="s">
        <v>51</v>
      </c>
      <c r="G589" s="1">
        <v>100.0</v>
      </c>
      <c r="H589" s="1" t="s">
        <v>52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53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54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56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57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f t="shared" si="1"/>
        <v>61</v>
      </c>
      <c r="AM589" s="1">
        <v>100.0</v>
      </c>
      <c r="AN589" s="1">
        <v>112.0</v>
      </c>
      <c r="AO589" s="1">
        <v>52.0</v>
      </c>
      <c r="AP589" s="2">
        <v>11.0</v>
      </c>
      <c r="AQ589" s="1">
        <v>48.0</v>
      </c>
      <c r="AR589" s="1">
        <v>48.0</v>
      </c>
      <c r="AS589" s="1" t="s">
        <v>3106</v>
      </c>
      <c r="AT589" s="3" t="str">
        <f>HYPERLINK("https://icf.clappia.com/app/GMB253374/submission/GWJ73132594/ICF247370-GMB253374-1o4fkjlb53fao0000000/SIG-20250702_1213pofal.jpeg", "SIG-20250702_1213pofal.jpeg")</f>
        <v>SIG-20250702_1213pofal.jpeg</v>
      </c>
      <c r="AU589" s="1" t="s">
        <v>3107</v>
      </c>
      <c r="AV589" s="3" t="str">
        <f>HYPERLINK("https://icf.clappia.com/app/GMB253374/submission/GWJ73132594/ICF247370-GMB253374-3055a3e7afj800000000/SIG-20250702_1213b8496.jpeg", "SIG-20250702_1213b8496.jpeg")</f>
        <v>SIG-20250702_1213b8496.jpeg</v>
      </c>
      <c r="AW589" s="1" t="s">
        <v>3108</v>
      </c>
      <c r="AX589" s="3" t="str">
        <f>HYPERLINK("https://icf.clappia.com/app/GMB253374/submission/GWJ73132594/ICF247370-GMB253374-34mn583ii5p800000000/SIG-20250702_1214pkokc.jpeg", "SIG-20250702_1214pkokc.jpeg")</f>
        <v>SIG-20250702_1214pkokc.jpeg</v>
      </c>
      <c r="AY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3109</v>
      </c>
      <c r="B590" s="2" t="s">
        <v>47</v>
      </c>
      <c r="C590" s="1" t="s">
        <v>3110</v>
      </c>
      <c r="D590" s="1" t="s">
        <v>3110</v>
      </c>
      <c r="E590" s="1" t="s">
        <v>3111</v>
      </c>
      <c r="F590" s="1" t="s">
        <v>72</v>
      </c>
      <c r="G590" s="1">
        <v>200.0</v>
      </c>
      <c r="H590" s="1" t="s">
        <v>52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53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54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56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57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f t="shared" si="1"/>
        <v>137</v>
      </c>
      <c r="AM590" s="1">
        <v>200.0</v>
      </c>
      <c r="AN590" s="1">
        <v>212.0</v>
      </c>
      <c r="AO590" s="1">
        <v>137.0</v>
      </c>
      <c r="AP590" s="2">
        <v>11.0</v>
      </c>
      <c r="AQ590" s="1">
        <v>63.0</v>
      </c>
      <c r="AR590" s="1">
        <v>63.0</v>
      </c>
      <c r="AS590" s="1" t="s">
        <v>3112</v>
      </c>
      <c r="AT590" s="3" t="str">
        <f>HYPERLINK("https://icf.clappia.com/app/GMB253374/submission/LZX91616456/ICF247370-GMB253374-33gcg4j4hbc200000000/SIG-20250702_1210m1cha.jpeg", "SIG-20250702_1210m1cha.jpeg")</f>
        <v>SIG-20250702_1210m1cha.jpeg</v>
      </c>
      <c r="AU590" s="1" t="s">
        <v>2566</v>
      </c>
      <c r="AV590" s="3" t="str">
        <f>HYPERLINK("https://icf.clappia.com/app/GMB253374/submission/LZX91616456/ICF247370-GMB253374-2mgadk829o5c00000000/SIG-20250702_1211j352d.jpeg", "SIG-20250702_1211j352d.jpeg")</f>
        <v>SIG-20250702_1211j352d.jpeg</v>
      </c>
      <c r="AW590" s="1" t="s">
        <v>3113</v>
      </c>
      <c r="AX590" s="3" t="str">
        <f>HYPERLINK("https://icf.clappia.com/app/GMB253374/submission/LZX91616456/ICF247370-GMB253374-4bj8fkeddd0g00000000/SIG-20250702_1212ml60c.jpeg", "SIG-20250702_1212ml60c.jpeg")</f>
        <v>SIG-20250702_1212ml60c.jpeg</v>
      </c>
      <c r="AY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3114</v>
      </c>
      <c r="B591" s="2" t="s">
        <v>47</v>
      </c>
      <c r="C591" s="1" t="s">
        <v>3115</v>
      </c>
      <c r="D591" s="1" t="s">
        <v>3115</v>
      </c>
      <c r="E591" s="1" t="s">
        <v>3116</v>
      </c>
      <c r="F591" s="1" t="s">
        <v>51</v>
      </c>
      <c r="G591" s="1">
        <v>176.0</v>
      </c>
      <c r="H591" s="1" t="s">
        <v>52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53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54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56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57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f t="shared" si="1"/>
        <v>176</v>
      </c>
      <c r="AM591" s="1">
        <v>176.0</v>
      </c>
      <c r="AN591" s="1">
        <v>188.0</v>
      </c>
      <c r="AO591" s="1">
        <v>126.0</v>
      </c>
      <c r="AP591" s="2">
        <v>11.0</v>
      </c>
      <c r="AQ591" s="1">
        <v>50.0</v>
      </c>
      <c r="AR591" s="1">
        <v>50.0</v>
      </c>
      <c r="AS591" s="1" t="s">
        <v>1276</v>
      </c>
      <c r="AT591" s="3" t="str">
        <f>HYPERLINK("https://icf.clappia.com/app/GMB253374/submission/YZH12236770/ICF247370-GMB253374-1c1onnnnf7pbm0000000/SIG-20250702_1157bd0c1.jpeg", "SIG-20250702_1157bd0c1.jpeg")</f>
        <v>SIG-20250702_1157bd0c1.jpeg</v>
      </c>
      <c r="AU591" s="1" t="s">
        <v>1277</v>
      </c>
      <c r="AV591" s="3" t="str">
        <f>HYPERLINK("https://icf.clappia.com/app/GMB253374/submission/YZH12236770/ICF247370-GMB253374-3f6phaelceog00000000/SIG-20250702_11581ae61d.jpeg", "SIG-20250702_11581ae61d.jpeg")</f>
        <v>SIG-20250702_11581ae61d.jpeg</v>
      </c>
      <c r="AW591" s="1" t="s">
        <v>3117</v>
      </c>
      <c r="AX591" s="3" t="str">
        <f>HYPERLINK("https://icf.clappia.com/app/GMB253374/submission/YZH12236770/ICF247370-GMB253374-63ma1d39bgog00000000/SIG-20250702_1211mhigb.jpeg", "SIG-20250702_1211mhigb.jpeg")</f>
        <v>SIG-20250702_1211mhigb.jpeg</v>
      </c>
      <c r="AY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3118</v>
      </c>
      <c r="B592" s="2" t="s">
        <v>47</v>
      </c>
      <c r="C592" s="1" t="s">
        <v>3115</v>
      </c>
      <c r="D592" s="1" t="s">
        <v>3115</v>
      </c>
      <c r="E592" s="1" t="s">
        <v>3119</v>
      </c>
      <c r="F592" s="1" t="s">
        <v>72</v>
      </c>
      <c r="G592" s="1">
        <v>75.0</v>
      </c>
      <c r="H592" s="1" t="s">
        <v>52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53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54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56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57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f t="shared" si="1"/>
        <v>85</v>
      </c>
      <c r="AM592" s="1">
        <v>75.0</v>
      </c>
      <c r="AN592" s="1">
        <v>87.0</v>
      </c>
      <c r="AO592" s="1">
        <v>75.0</v>
      </c>
      <c r="AP592" s="2">
        <v>11.0</v>
      </c>
      <c r="AQ592" s="1">
        <v>0.0</v>
      </c>
      <c r="AR592" s="1">
        <v>0.0</v>
      </c>
      <c r="AS592" s="1" t="s">
        <v>2245</v>
      </c>
      <c r="AT592" s="3" t="str">
        <f>HYPERLINK("https://icf.clappia.com/app/GMB253374/submission/KXY69152889/ICF247370-GMB253374-1dn4j9pe1e4o00000000/SIG-20250702_1210go1o5.jpeg", "SIG-20250702_1210go1o5.jpeg")</f>
        <v>SIG-20250702_1210go1o5.jpeg</v>
      </c>
      <c r="AU592" s="1" t="s">
        <v>2246</v>
      </c>
      <c r="AV592" s="3" t="str">
        <f>HYPERLINK("https://icf.clappia.com/app/GMB253374/submission/KXY69152889/ICF247370-GMB253374-3lnib465f5dk00000000/SIG-20250702_1210141gf1.jpeg", "SIG-20250702_1210141gf1.jpeg")</f>
        <v>SIG-20250702_1210141gf1.jpeg</v>
      </c>
      <c r="AW592" s="1" t="s">
        <v>2247</v>
      </c>
      <c r="AX592" s="3" t="str">
        <f>HYPERLINK("https://icf.clappia.com/app/GMB253374/submission/KXY69152889/ICF247370-GMB253374-1bbh10cgb0f2g0000000/SIG-20250702_121015j85j.jpeg", "SIG-20250702_121015j85j.jpeg")</f>
        <v>SIG-20250702_121015j85j.jpeg</v>
      </c>
      <c r="AY592" s="3" t="str">
        <f>HYPERLINK("https://www.google.com/maps/place/8.89562%2C-12.0443683", "8.89562,-12.0443683")</f>
        <v>8.89562,-12.0443683</v>
      </c>
    </row>
    <row r="593" ht="15.75" customHeight="1">
      <c r="A593" s="1" t="s">
        <v>3120</v>
      </c>
      <c r="B593" s="2" t="s">
        <v>47</v>
      </c>
      <c r="C593" s="1" t="s">
        <v>3121</v>
      </c>
      <c r="D593" s="1" t="s">
        <v>3121</v>
      </c>
      <c r="E593" s="1" t="s">
        <v>3122</v>
      </c>
      <c r="F593" s="1" t="s">
        <v>51</v>
      </c>
      <c r="G593" s="1">
        <v>100.0</v>
      </c>
      <c r="H593" s="1" t="s">
        <v>52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53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2000</v>
      </c>
      <c r="T593" s="1" t="s">
        <v>54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56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57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1999</v>
      </c>
      <c r="AL593" s="1">
        <f t="shared" si="1"/>
        <v>150</v>
      </c>
      <c r="AM593" s="1">
        <v>100.0</v>
      </c>
      <c r="AN593" s="1">
        <v>112.0</v>
      </c>
      <c r="AO593" s="1">
        <v>95.0</v>
      </c>
      <c r="AP593" s="2">
        <v>11.0</v>
      </c>
      <c r="AQ593" s="1">
        <v>5.0</v>
      </c>
      <c r="AR593" s="1">
        <v>5.0</v>
      </c>
      <c r="AS593" s="1" t="s">
        <v>3123</v>
      </c>
      <c r="AT593" s="3" t="str">
        <f>HYPERLINK("https://icf.clappia.com/app/GMB253374/submission/FAI32842177/ICF247370-GMB253374-chgjh16pjj360000000/SIG-20250702_1208n8d2l.jpeg", "SIG-20250702_1208n8d2l.jpeg")</f>
        <v>SIG-20250702_1208n8d2l.jpeg</v>
      </c>
      <c r="AU593" s="1" t="s">
        <v>2002</v>
      </c>
      <c r="AV593" s="3" t="str">
        <f>HYPERLINK("https://icf.clappia.com/app/GMB253374/submission/FAI32842177/ICF247370-GMB253374-20g5lgcdccd440000000/SIG-20250702_1206gpmp5.jpeg", "SIG-20250702_1206gpmp5.jpeg")</f>
        <v>SIG-20250702_1206gpmp5.jpeg</v>
      </c>
      <c r="AW593" s="1" t="s">
        <v>3124</v>
      </c>
      <c r="AX593" s="3" t="str">
        <f>HYPERLINK("https://icf.clappia.com/app/GMB253374/submission/FAI32842177/ICF247370-GMB253374-45hmimlp4dae00000000/SIG-20250702_120713694l.jpeg", "SIG-20250702_120713694l.jpeg")</f>
        <v>SIG-20250702_120713694l.jpeg</v>
      </c>
      <c r="AY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3125</v>
      </c>
      <c r="B594" s="2" t="s">
        <v>47</v>
      </c>
      <c r="C594" s="1" t="s">
        <v>3121</v>
      </c>
      <c r="D594" s="1" t="s">
        <v>3121</v>
      </c>
      <c r="E594" s="1" t="s">
        <v>3126</v>
      </c>
      <c r="F594" s="1" t="s">
        <v>51</v>
      </c>
      <c r="G594" s="1">
        <v>209.0</v>
      </c>
      <c r="H594" s="1" t="s">
        <v>52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53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54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56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57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f t="shared" si="1"/>
        <v>209</v>
      </c>
      <c r="AM594" s="1">
        <v>209.0</v>
      </c>
      <c r="AN594" s="1">
        <v>221.0</v>
      </c>
      <c r="AO594" s="1">
        <v>209.0</v>
      </c>
      <c r="AP594" s="2">
        <v>11.0</v>
      </c>
      <c r="AQ594" s="1">
        <v>0.0</v>
      </c>
      <c r="AR594" s="1">
        <v>0.0</v>
      </c>
      <c r="AS594" s="1" t="s">
        <v>3127</v>
      </c>
      <c r="AT594" s="3" t="str">
        <f>HYPERLINK("https://icf.clappia.com/app/GMB253374/submission/MMA50444029/ICF247370-GMB253374-2bm3p9ch157200000000/SIG-20250702_1209oea1e.jpeg", "SIG-20250702_1209oea1e.jpeg")</f>
        <v>SIG-20250702_1209oea1e.jpeg</v>
      </c>
      <c r="AU594" s="1" t="s">
        <v>3128</v>
      </c>
      <c r="AV594" s="3" t="str">
        <f>HYPERLINK("https://icf.clappia.com/app/GMB253374/submission/MMA50444029/ICF247370-GMB253374-e69m101o81i00000000/SIG-20250702_1210i6p75.jpeg", "SIG-20250702_1210i6p75.jpeg")</f>
        <v>SIG-20250702_1210i6p75.jpeg</v>
      </c>
      <c r="AW594" s="1" t="s">
        <v>3129</v>
      </c>
      <c r="AX594" s="3" t="str">
        <f>HYPERLINK("https://icf.clappia.com/app/GMB253374/submission/MMA50444029/ICF247370-GMB253374-5ah7p5hg256800000000/SIG-20250702_12107idba.jpeg", "SIG-20250702_12107idba.jpeg")</f>
        <v>SIG-20250702_12107idba.jpeg</v>
      </c>
      <c r="AY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3130</v>
      </c>
      <c r="B595" s="2" t="s">
        <v>47</v>
      </c>
      <c r="C595" s="1" t="s">
        <v>3131</v>
      </c>
      <c r="D595" s="1" t="s">
        <v>3131</v>
      </c>
      <c r="E595" s="2" t="s">
        <v>3132</v>
      </c>
      <c r="F595" s="1" t="s">
        <v>51</v>
      </c>
      <c r="G595" s="1">
        <v>250.0</v>
      </c>
      <c r="H595" s="1" t="s">
        <v>52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53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54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56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57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f t="shared" si="1"/>
        <v>250</v>
      </c>
      <c r="AM595" s="1">
        <v>250.0</v>
      </c>
      <c r="AN595" s="1">
        <v>262.0</v>
      </c>
      <c r="AO595" s="1">
        <v>250.0</v>
      </c>
      <c r="AP595" s="2">
        <v>11.0</v>
      </c>
      <c r="AQ595" s="1">
        <v>0.0</v>
      </c>
      <c r="AR595" s="1">
        <v>0.0</v>
      </c>
      <c r="AS595" s="1" t="s">
        <v>3133</v>
      </c>
      <c r="AT595" s="3" t="str">
        <f>HYPERLINK("https://icf.clappia.com/app/GMB253374/submission/LRO94196358/ICF247370-GMB253374-201gd57mgpba80000000/SIG-20250701_1225185agb.jpeg", "SIG-20250701_1225185agb.jpeg")</f>
        <v>SIG-20250701_1225185agb.jpeg</v>
      </c>
      <c r="AU595" s="1" t="s">
        <v>3134</v>
      </c>
      <c r="AV595" s="3" t="str">
        <f>HYPERLINK("https://icf.clappia.com/app/GMB253374/submission/LRO94196358/ICF247370-GMB253374-45ccdjphida800000000/SIG-20250701_1225o1no0.jpeg", "SIG-20250701_1225o1no0.jpeg")</f>
        <v>SIG-20250701_1225o1no0.jpeg</v>
      </c>
      <c r="AW595" s="1" t="s">
        <v>3135</v>
      </c>
      <c r="AX595" s="3" t="str">
        <f>HYPERLINK("https://icf.clappia.com/app/GMB253374/submission/LRO94196358/ICF247370-GMB253374-48ko1b9oi2o000000000/SIG-20250701_1226go8j5.jpeg", "SIG-20250701_1226go8j5.jpeg")</f>
        <v>SIG-20250701_1226go8j5.jpeg</v>
      </c>
      <c r="AY595" s="3" t="str">
        <f>HYPERLINK("https://www.google.com/maps/place/8.89343%2C-12.08068", "8.89343,-12.08068")</f>
        <v>8.89343,-12.08068</v>
      </c>
    </row>
    <row r="596" ht="15.75" customHeight="1">
      <c r="A596" s="1" t="s">
        <v>3136</v>
      </c>
      <c r="B596" s="2" t="s">
        <v>47</v>
      </c>
      <c r="C596" s="1" t="s">
        <v>3137</v>
      </c>
      <c r="D596" s="1" t="s">
        <v>3137</v>
      </c>
      <c r="E596" s="1" t="s">
        <v>3138</v>
      </c>
      <c r="F596" s="1" t="s">
        <v>72</v>
      </c>
      <c r="G596" s="1">
        <v>65.0</v>
      </c>
      <c r="H596" s="1" t="s">
        <v>52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53</v>
      </c>
      <c r="O596" s="1">
        <v>11.0</v>
      </c>
      <c r="P596" s="1">
        <v>6.0</v>
      </c>
      <c r="Q596" s="1" t="s">
        <v>55</v>
      </c>
      <c r="R596" s="1">
        <v>5.0</v>
      </c>
      <c r="S596" s="1">
        <v>5.0</v>
      </c>
      <c r="T596" s="1" t="s">
        <v>54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56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57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f t="shared" si="1"/>
        <v>65</v>
      </c>
      <c r="AM596" s="1">
        <v>65.0</v>
      </c>
      <c r="AN596" s="1">
        <v>77.0</v>
      </c>
      <c r="AO596" s="1">
        <v>33.0</v>
      </c>
      <c r="AP596" s="2">
        <v>11.0</v>
      </c>
      <c r="AQ596" s="1">
        <v>32.0</v>
      </c>
      <c r="AR596" s="1">
        <v>32.0</v>
      </c>
      <c r="AS596" s="1" t="s">
        <v>1974</v>
      </c>
      <c r="AT596" s="3" t="str">
        <f>HYPERLINK("https://icf.clappia.com/app/GMB253374/submission/YUJ31066569/ICF247370-GMB253374-1ml251bgdg1e00000000/SIG-20250702_1205jfai3.jpeg", "SIG-20250702_1205jfai3.jpeg")</f>
        <v>SIG-20250702_1205jfai3.jpeg</v>
      </c>
      <c r="AU596" s="1" t="s">
        <v>1975</v>
      </c>
      <c r="AV596" s="3" t="str">
        <f>HYPERLINK("https://icf.clappia.com/app/GMB253374/submission/YUJ31066569/ICF247370-GMB253374-o84dhn9i72ac0000000/SIG-20250702_1206idkm8.jpeg", "SIG-20250702_1206idkm8.jpeg")</f>
        <v>SIG-20250702_1206idkm8.jpeg</v>
      </c>
      <c r="AW596" s="1" t="s">
        <v>1314</v>
      </c>
      <c r="AX596" s="3" t="str">
        <f>HYPERLINK("https://icf.clappia.com/app/GMB253374/submission/YUJ31066569/ICF247370-GMB253374-45pjlm13137800000000/SIG-20250702_1207hmne1.jpeg", "SIG-20250702_1207hmne1.jpeg")</f>
        <v>SIG-20250702_1207hmne1.jpeg</v>
      </c>
      <c r="AY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3139</v>
      </c>
      <c r="B597" s="2" t="s">
        <v>47</v>
      </c>
      <c r="C597" s="1" t="s">
        <v>3140</v>
      </c>
      <c r="D597" s="1" t="s">
        <v>3140</v>
      </c>
      <c r="E597" s="1" t="s">
        <v>3141</v>
      </c>
      <c r="F597" s="1" t="s">
        <v>51</v>
      </c>
      <c r="G597" s="1">
        <v>250.0</v>
      </c>
      <c r="H597" s="1" t="s">
        <v>52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53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54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56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57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f t="shared" si="1"/>
        <v>176</v>
      </c>
      <c r="AM597" s="1">
        <v>250.0</v>
      </c>
      <c r="AN597" s="1">
        <v>262.0</v>
      </c>
      <c r="AO597" s="1">
        <v>111.0</v>
      </c>
      <c r="AP597" s="2">
        <v>11.0</v>
      </c>
      <c r="AQ597" s="1">
        <v>139.0</v>
      </c>
      <c r="AR597" s="1">
        <v>139.0</v>
      </c>
      <c r="AS597" s="1" t="s">
        <v>1912</v>
      </c>
      <c r="AT597" s="3" t="str">
        <f>HYPERLINK("https://icf.clappia.com/app/GMB253374/submission/ORT20733565/ICF247370-GMB253374-3omkn36j342i00000000/SIG-20250702_1203h4chl.jpeg", "SIG-20250702_1203h4chl.jpeg")</f>
        <v>SIG-20250702_1203h4chl.jpeg</v>
      </c>
      <c r="AU597" s="1" t="s">
        <v>3142</v>
      </c>
      <c r="AV597" s="3" t="str">
        <f>HYPERLINK("https://icf.clappia.com/app/GMB253374/submission/ORT20733565/ICF247370-GMB253374-4elcngiega1000000000/SIG-20250702_12052nc04.jpeg", "SIG-20250702_12052nc04.jpeg")</f>
        <v>SIG-20250702_12052nc04.jpeg</v>
      </c>
      <c r="AW597" s="1" t="s">
        <v>3143</v>
      </c>
      <c r="AX597" s="3" t="str">
        <f>HYPERLINK("https://icf.clappia.com/app/GMB253374/submission/ORT20733565/ICF247370-GMB253374-kclo22hd4mak0000000/SIG-20250702_120510ch63.jpeg", "SIG-20250702_120510ch63.jpeg")</f>
        <v>SIG-20250702_120510ch63.jpeg</v>
      </c>
      <c r="AY597" s="3" t="str">
        <f>HYPERLINK("https://www.google.com/maps/place/7.8852287%2C-11.785319", "7.8852287,-11.785319")</f>
        <v>7.8852287,-11.785319</v>
      </c>
    </row>
    <row r="598" ht="15.75" customHeight="1">
      <c r="A598" s="1" t="s">
        <v>3144</v>
      </c>
      <c r="B598" s="2" t="s">
        <v>47</v>
      </c>
      <c r="C598" s="1" t="s">
        <v>3140</v>
      </c>
      <c r="D598" s="1" t="s">
        <v>3140</v>
      </c>
      <c r="E598" s="1" t="s">
        <v>3145</v>
      </c>
      <c r="F598" s="1" t="s">
        <v>51</v>
      </c>
      <c r="G598" s="1">
        <v>300.0</v>
      </c>
      <c r="H598" s="1" t="s">
        <v>52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53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54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56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57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f t="shared" si="1"/>
        <v>361</v>
      </c>
      <c r="AM598" s="1">
        <v>300.0</v>
      </c>
      <c r="AN598" s="1">
        <v>312.0</v>
      </c>
      <c r="AO598" s="1">
        <v>300.0</v>
      </c>
      <c r="AP598" s="2">
        <v>11.0</v>
      </c>
      <c r="AQ598" s="1">
        <v>0.0</v>
      </c>
      <c r="AR598" s="1">
        <v>0.0</v>
      </c>
      <c r="AS598" s="1" t="s">
        <v>1462</v>
      </c>
      <c r="AT598" s="3" t="str">
        <f>HYPERLINK("https://icf.clappia.com/app/GMB253374/submission/BWS55328839/ICF247370-GMB253374-693j32173bg400000000/SIG-20250702_115615bnp5.jpeg", "SIG-20250702_115615bnp5.jpeg")</f>
        <v>SIG-20250702_115615bnp5.jpeg</v>
      </c>
      <c r="AU598" s="1" t="s">
        <v>1464</v>
      </c>
      <c r="AV598" s="3" t="str">
        <f>HYPERLINK("https://icf.clappia.com/app/GMB253374/submission/BWS55328839/ICF247370-GMB253374-4f8fgik1f7nk00000000/SIG-20250702_1156gmd7a.jpeg", "SIG-20250702_1156gmd7a.jpeg")</f>
        <v>SIG-20250702_1156gmd7a.jpeg</v>
      </c>
      <c r="AW598" s="1" t="s">
        <v>1463</v>
      </c>
      <c r="AX598" s="3" t="str">
        <f>HYPERLINK("https://icf.clappia.com/app/GMB253374/submission/BWS55328839/ICF247370-GMB253374-1h41f69bnpjao0000000/SIG-20250702_1156l4a8i.jpeg", "SIG-20250702_1156l4a8i.jpeg")</f>
        <v>SIG-20250702_1156l4a8i.jpeg</v>
      </c>
      <c r="AY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3146</v>
      </c>
      <c r="B599" s="2" t="s">
        <v>47</v>
      </c>
      <c r="C599" s="1" t="s">
        <v>110</v>
      </c>
      <c r="D599" s="1" t="s">
        <v>110</v>
      </c>
      <c r="E599" s="1" t="s">
        <v>3147</v>
      </c>
      <c r="F599" s="1" t="s">
        <v>51</v>
      </c>
      <c r="G599" s="1">
        <v>414.0</v>
      </c>
      <c r="H599" s="1" t="s">
        <v>52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53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54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56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57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f t="shared" si="1"/>
        <v>340</v>
      </c>
      <c r="AM599" s="1">
        <v>414.0</v>
      </c>
      <c r="AN599" s="1">
        <v>426.0</v>
      </c>
      <c r="AO599" s="1">
        <v>340.0</v>
      </c>
      <c r="AP599" s="2">
        <v>11.0</v>
      </c>
      <c r="AQ599" s="1">
        <v>74.0</v>
      </c>
      <c r="AR599" s="1">
        <v>74.0</v>
      </c>
      <c r="AS599" s="1" t="s">
        <v>3148</v>
      </c>
      <c r="AT599" s="3" t="str">
        <f>HYPERLINK("https://icf.clappia.com/app/GMB253374/submission/VMM18530147/ICF247370-GMB253374-69l7c1pho2m400000000/SIG-20250701_1218kgoee.jpeg", "SIG-20250701_1218kgoee.jpeg")</f>
        <v>SIG-20250701_1218kgoee.jpeg</v>
      </c>
      <c r="AU599" s="1" t="s">
        <v>3149</v>
      </c>
      <c r="AV599" s="3" t="str">
        <f>HYPERLINK("https://icf.clappia.com/app/GMB253374/submission/VMM18530147/ICF247370-GMB253374-265a9j55l5c0o0000000/SIG-20250701_1218161p1g.jpeg", "SIG-20250701_1218161p1g.jpeg")</f>
        <v>SIG-20250701_1218161p1g.jpeg</v>
      </c>
      <c r="AW599" s="1" t="s">
        <v>3150</v>
      </c>
      <c r="AX599" s="3" t="str">
        <f>HYPERLINK("https://icf.clappia.com/app/GMB253374/submission/VMM18530147/ICF247370-GMB253374-26j58i68g7kei0000000/SIG-20250701_1241155ohg.jpeg", "SIG-20250701_1241155ohg.jpeg")</f>
        <v>SIG-20250701_1241155ohg.jpeg</v>
      </c>
      <c r="AY599" s="3" t="str">
        <f>HYPERLINK("https://www.google.com/maps/place/8.9505233%2C-11.98024", "8.9505233,-11.98024")</f>
        <v>8.9505233,-11.98024</v>
      </c>
    </row>
    <row r="600" ht="15.75" customHeight="1">
      <c r="A600" s="1" t="s">
        <v>3151</v>
      </c>
      <c r="B600" s="2" t="s">
        <v>47</v>
      </c>
      <c r="C600" s="1" t="s">
        <v>110</v>
      </c>
      <c r="D600" s="1" t="s">
        <v>110</v>
      </c>
      <c r="E600" s="1" t="s">
        <v>3152</v>
      </c>
      <c r="F600" s="1" t="s">
        <v>51</v>
      </c>
      <c r="G600" s="1">
        <v>150.0</v>
      </c>
      <c r="H600" s="1" t="s">
        <v>52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53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54</v>
      </c>
      <c r="U600" s="1" t="s">
        <v>55</v>
      </c>
      <c r="V600" s="1" t="s">
        <v>55</v>
      </c>
      <c r="W600" s="1" t="s">
        <v>55</v>
      </c>
      <c r="X600" s="1" t="s">
        <v>55</v>
      </c>
      <c r="Y600" s="1" t="s">
        <v>55</v>
      </c>
      <c r="Z600" s="1" t="s">
        <v>56</v>
      </c>
      <c r="AA600" s="1" t="s">
        <v>55</v>
      </c>
      <c r="AB600" s="1" t="s">
        <v>55</v>
      </c>
      <c r="AC600" s="1" t="s">
        <v>55</v>
      </c>
      <c r="AD600" s="1" t="s">
        <v>55</v>
      </c>
      <c r="AE600" s="1" t="s">
        <v>55</v>
      </c>
      <c r="AF600" s="1" t="s">
        <v>57</v>
      </c>
      <c r="AG600" s="1" t="s">
        <v>55</v>
      </c>
      <c r="AH600" s="1" t="s">
        <v>55</v>
      </c>
      <c r="AI600" s="1" t="s">
        <v>55</v>
      </c>
      <c r="AJ600" s="1" t="s">
        <v>55</v>
      </c>
      <c r="AK600" s="1" t="s">
        <v>55</v>
      </c>
      <c r="AL600" s="1">
        <f t="shared" si="1"/>
        <v>178</v>
      </c>
      <c r="AM600" s="1">
        <v>150.0</v>
      </c>
      <c r="AN600" s="1">
        <v>162.0</v>
      </c>
      <c r="AO600" s="1">
        <v>129.0</v>
      </c>
      <c r="AP600" s="2">
        <v>11.0</v>
      </c>
      <c r="AQ600" s="1">
        <v>21.0</v>
      </c>
      <c r="AR600" s="1">
        <v>21.0</v>
      </c>
      <c r="AS600" s="1" t="s">
        <v>3153</v>
      </c>
      <c r="AT600" s="3" t="str">
        <f>HYPERLINK("https://icf.clappia.com/app/GMB253374/submission/QAT69805752/ICF247370-GMB253374-3hg5hf760j2a00000000/SIG-20250702_1107247hn.jpeg", "SIG-20250702_1107247hn.jpeg")</f>
        <v>SIG-20250702_1107247hn.jpeg</v>
      </c>
      <c r="AU600" s="1" t="s">
        <v>3154</v>
      </c>
      <c r="AV600" s="3" t="str">
        <f>HYPERLINK("https://icf.clappia.com/app/GMB253374/submission/QAT69805752/ICF247370-GMB253374-8c20aje8md1a0000000/SIG-20250702_1107pb094.jpeg", "SIG-20250702_1107pb094.jpeg")</f>
        <v>SIG-20250702_1107pb094.jpeg</v>
      </c>
      <c r="AW600" s="1" t="s">
        <v>3155</v>
      </c>
      <c r="AX600" s="3" t="str">
        <f>HYPERLINK("https://icf.clappia.com/app/GMB253374/submission/QAT69805752/ICF247370-GMB253374-2ig32bmkb61800000000/SIG-20250702_1109ihc6h.jpeg", "SIG-20250702_1109ihc6h.jpeg")</f>
        <v>SIG-20250702_1109ihc6h.jpeg</v>
      </c>
      <c r="AY600" s="3" t="str">
        <f>HYPERLINK("https://www.google.com/maps/place/7.55181%2C-11.8690783", "7.55181,-11.8690783")</f>
        <v>7.55181,-11.8690783</v>
      </c>
    </row>
    <row r="601" ht="15.75" customHeight="1">
      <c r="A601" s="1" t="s">
        <v>3156</v>
      </c>
      <c r="B601" s="2" t="s">
        <v>47</v>
      </c>
      <c r="C601" s="1" t="s">
        <v>3157</v>
      </c>
      <c r="D601" s="1" t="s">
        <v>3158</v>
      </c>
      <c r="E601" s="1" t="s">
        <v>3159</v>
      </c>
      <c r="F601" s="1" t="s">
        <v>51</v>
      </c>
      <c r="G601" s="1">
        <v>100.0</v>
      </c>
      <c r="H601" s="1" t="s">
        <v>52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53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54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56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57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f t="shared" si="1"/>
        <v>93</v>
      </c>
      <c r="AM601" s="1">
        <v>100.0</v>
      </c>
      <c r="AN601" s="1">
        <v>112.0</v>
      </c>
      <c r="AO601" s="1">
        <v>72.0</v>
      </c>
      <c r="AP601" s="2">
        <v>11.0</v>
      </c>
      <c r="AQ601" s="1">
        <v>28.0</v>
      </c>
      <c r="AR601" s="1">
        <v>28.0</v>
      </c>
      <c r="AS601" s="1" t="s">
        <v>3160</v>
      </c>
      <c r="AT601" s="3" t="str">
        <f>HYPERLINK("https://icf.clappia.com/app/GMB253374/submission/JLC75350684/ICF247370-GMB253374-5c6kbm3ol8og00000000/SIG-20250702_12021bje1.jpeg", "SIG-20250702_12021bje1.jpeg")</f>
        <v>SIG-20250702_12021bje1.jpeg</v>
      </c>
      <c r="AU601" s="1" t="s">
        <v>3161</v>
      </c>
      <c r="AV601" s="3" t="str">
        <f>HYPERLINK("https://icf.clappia.com/app/GMB253374/submission/JLC75350684/ICF247370-GMB253374-f6jh3jaogoko0000000/SIG-20250702_1203m73gl.jpeg", "SIG-20250702_1203m73gl.jpeg")</f>
        <v>SIG-20250702_1203m73gl.jpeg</v>
      </c>
      <c r="AW601" s="1" t="s">
        <v>3162</v>
      </c>
      <c r="AX601" s="3" t="str">
        <f>HYPERLINK("https://icf.clappia.com/app/GMB253374/submission/JLC75350684/ICF247370-GMB253374-2pjgfn8og0bg00000000/SIG-20250702_12043fkh3.jpeg", "SIG-20250702_12043fkh3.jpeg")</f>
        <v>SIG-20250702_12043fkh3.jpeg</v>
      </c>
      <c r="AY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3163</v>
      </c>
      <c r="B602" s="2" t="s">
        <v>47</v>
      </c>
      <c r="C602" s="1" t="s">
        <v>3157</v>
      </c>
      <c r="D602" s="1" t="s">
        <v>3157</v>
      </c>
      <c r="E602" s="1" t="s">
        <v>3164</v>
      </c>
      <c r="F602" s="1" t="s">
        <v>51</v>
      </c>
      <c r="G602" s="1">
        <v>248.0</v>
      </c>
      <c r="H602" s="1" t="s">
        <v>52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53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54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56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57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f t="shared" si="1"/>
        <v>248</v>
      </c>
      <c r="AM602" s="1">
        <v>248.0</v>
      </c>
      <c r="AN602" s="1">
        <v>260.0</v>
      </c>
      <c r="AO602" s="1">
        <v>241.0</v>
      </c>
      <c r="AP602" s="2">
        <v>11.0</v>
      </c>
      <c r="AQ602" s="1">
        <v>7.0</v>
      </c>
      <c r="AR602" s="1">
        <v>7.0</v>
      </c>
      <c r="AS602" s="1" t="s">
        <v>3165</v>
      </c>
      <c r="AT602" s="3" t="str">
        <f>HYPERLINK("https://icf.clappia.com/app/GMB253374/submission/XSW26625235/ICF247370-GMB253374-233cbh1obgeae0000000/SIG-20250702_12041906p5.jpeg", "SIG-20250702_12041906p5.jpeg")</f>
        <v>SIG-20250702_12041906p5.jpeg</v>
      </c>
      <c r="AU602" s="1" t="s">
        <v>3166</v>
      </c>
      <c r="AV602" s="3" t="str">
        <f>HYPERLINK("https://icf.clappia.com/app/GMB253374/submission/XSW26625235/ICF247370-GMB253374-jn41mk6jc0480000000/SIG-20250702_120411m99n.jpeg", "SIG-20250702_120411m99n.jpeg")</f>
        <v>SIG-20250702_120411m99n.jpeg</v>
      </c>
      <c r="AW602" s="1" t="s">
        <v>3167</v>
      </c>
      <c r="AX602" s="3" t="str">
        <f>HYPERLINK("https://icf.clappia.com/app/GMB253374/submission/XSW26625235/ICF247370-GMB253374-631ia4o4b6go00000000/SIG-20250702_120318pbjn.jpeg", "SIG-20250702_120318pbjn.jpeg")</f>
        <v>SIG-20250702_120318pbjn.jpeg</v>
      </c>
      <c r="AY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3168</v>
      </c>
      <c r="B603" s="2" t="s">
        <v>47</v>
      </c>
      <c r="C603" s="1" t="s">
        <v>3169</v>
      </c>
      <c r="D603" s="1" t="s">
        <v>3169</v>
      </c>
      <c r="E603" s="1" t="s">
        <v>3170</v>
      </c>
      <c r="F603" s="1" t="s">
        <v>72</v>
      </c>
      <c r="G603" s="1">
        <v>96.0</v>
      </c>
      <c r="H603" s="1" t="s">
        <v>52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53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54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56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57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f t="shared" si="1"/>
        <v>114</v>
      </c>
      <c r="AM603" s="1">
        <v>96.0</v>
      </c>
      <c r="AN603" s="1">
        <v>108.0</v>
      </c>
      <c r="AO603" s="1">
        <v>94.0</v>
      </c>
      <c r="AP603" s="2">
        <v>11.0</v>
      </c>
      <c r="AQ603" s="1">
        <v>2.0</v>
      </c>
      <c r="AR603" s="1">
        <v>2.0</v>
      </c>
      <c r="AS603" s="1" t="s">
        <v>3171</v>
      </c>
      <c r="AT603" s="3" t="str">
        <f>HYPERLINK("https://icf.clappia.com/app/GMB253374/submission/PUX20601556/ICF247370-GMB253374-15mm995eoj05m0000000/SIG-20250702_11465080a.jpeg", "SIG-20250702_11465080a.jpeg")</f>
        <v>SIG-20250702_11465080a.jpeg</v>
      </c>
      <c r="AU603" s="1" t="s">
        <v>3172</v>
      </c>
      <c r="AV603" s="3" t="str">
        <f>HYPERLINK("https://icf.clappia.com/app/GMB253374/submission/PUX20601556/ICF247370-GMB253374-3g71m7if148i00000000/SIG-20250702_1149h95p0.jpeg", "SIG-20250702_1149h95p0.jpeg")</f>
        <v>SIG-20250702_1149h95p0.jpeg</v>
      </c>
      <c r="AW603" s="1" t="s">
        <v>3173</v>
      </c>
      <c r="AX603" s="3" t="str">
        <f>HYPERLINK("https://icf.clappia.com/app/GMB253374/submission/PUX20601556/ICF247370-GMB253374-31ggimf15c0a00000000/SIG-20250702_1148892d9.jpeg", "SIG-20250702_1148892d9.jpeg")</f>
        <v>SIG-20250702_1148892d9.jpeg</v>
      </c>
      <c r="AY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3174</v>
      </c>
      <c r="B604" s="2" t="s">
        <v>47</v>
      </c>
      <c r="C604" s="1" t="s">
        <v>3169</v>
      </c>
      <c r="D604" s="1" t="s">
        <v>3169</v>
      </c>
      <c r="E604" s="1" t="s">
        <v>3175</v>
      </c>
      <c r="F604" s="1" t="s">
        <v>51</v>
      </c>
      <c r="G604" s="1">
        <v>150.0</v>
      </c>
      <c r="H604" s="1" t="s">
        <v>52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53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54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56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57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f t="shared" si="1"/>
        <v>129</v>
      </c>
      <c r="AM604" s="1">
        <v>150.0</v>
      </c>
      <c r="AN604" s="1">
        <v>162.0</v>
      </c>
      <c r="AO604" s="1">
        <v>68.0</v>
      </c>
      <c r="AP604" s="2">
        <v>11.0</v>
      </c>
      <c r="AQ604" s="1">
        <v>82.0</v>
      </c>
      <c r="AR604" s="1">
        <v>82.0</v>
      </c>
      <c r="AS604" s="1" t="s">
        <v>3176</v>
      </c>
      <c r="AT604" s="3" t="str">
        <f>HYPERLINK("https://icf.clappia.com/app/GMB253374/submission/RHB67137991/ICF247370-GMB253374-279acl3f6ojpg0000000/SIG-20250702_1119nbm9m.jpeg", "SIG-20250702_1119nbm9m.jpeg")</f>
        <v>SIG-20250702_1119nbm9m.jpeg</v>
      </c>
      <c r="AU604" s="1" t="s">
        <v>3177</v>
      </c>
      <c r="AV604" s="3" t="str">
        <f>HYPERLINK("https://icf.clappia.com/app/GMB253374/submission/RHB67137991/ICF247370-GMB253374-pilk31npklck0000000/SIG-20250702_115712kdd8.jpeg", "SIG-20250702_115712kdd8.jpeg")</f>
        <v>SIG-20250702_115712kdd8.jpeg</v>
      </c>
      <c r="AW604" s="1" t="s">
        <v>1885</v>
      </c>
      <c r="AX604" s="3" t="str">
        <f>HYPERLINK("https://icf.clappia.com/app/GMB253374/submission/RHB67137991/ICF247370-GMB253374-ainakcj31ioo0000000/SIG-20250702_1119123572.jpeg", "SIG-20250702_1119123572.jpeg")</f>
        <v>SIG-20250702_1119123572.jpeg</v>
      </c>
      <c r="AY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3178</v>
      </c>
      <c r="B605" s="2" t="s">
        <v>47</v>
      </c>
      <c r="C605" s="1" t="s">
        <v>3179</v>
      </c>
      <c r="D605" s="1" t="s">
        <v>3180</v>
      </c>
      <c r="E605" s="1" t="s">
        <v>3181</v>
      </c>
      <c r="F605" s="1" t="s">
        <v>51</v>
      </c>
      <c r="G605" s="1">
        <v>250.0</v>
      </c>
      <c r="H605" s="1" t="s">
        <v>52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53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54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56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57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f t="shared" si="1"/>
        <v>177</v>
      </c>
      <c r="AM605" s="1">
        <v>250.0</v>
      </c>
      <c r="AN605" s="1">
        <v>262.0</v>
      </c>
      <c r="AO605" s="1">
        <v>138.0</v>
      </c>
      <c r="AP605" s="2">
        <v>11.0</v>
      </c>
      <c r="AQ605" s="1">
        <v>112.0</v>
      </c>
      <c r="AR605" s="1">
        <v>112.0</v>
      </c>
      <c r="AS605" s="1" t="s">
        <v>3176</v>
      </c>
      <c r="AT605" s="3" t="str">
        <f>HYPERLINK("https://icf.clappia.com/app/GMB253374/submission/YTF87173425/ICF247370-GMB253374-4mjedi9jff4000000000/SIG-20250701_1139m18j3.jpeg", "SIG-20250701_1139m18j3.jpeg")</f>
        <v>SIG-20250701_1139m18j3.jpeg</v>
      </c>
      <c r="AU605" s="1" t="s">
        <v>3177</v>
      </c>
      <c r="AV605" s="3" t="str">
        <f>HYPERLINK("https://icf.clappia.com/app/GMB253374/submission/YTF87173425/ICF247370-GMB253374-4gaiak6pel3k00000000/SIG-20250701_1140o2i57.jpeg", "SIG-20250701_1140o2i57.jpeg")</f>
        <v>SIG-20250701_1140o2i57.jpeg</v>
      </c>
      <c r="AW605" s="1" t="s">
        <v>1885</v>
      </c>
      <c r="AX605" s="3" t="str">
        <f>HYPERLINK("https://icf.clappia.com/app/GMB253374/submission/YTF87173425/ICF247370-GMB253374-3ook0c5h787a00000000/SIG-20250701_114120eaf.jpeg", "SIG-20250701_114120eaf.jpeg")</f>
        <v>SIG-20250701_114120eaf.jpeg</v>
      </c>
      <c r="AY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3182</v>
      </c>
      <c r="B606" s="2" t="s">
        <v>47</v>
      </c>
      <c r="C606" s="1" t="s">
        <v>3183</v>
      </c>
      <c r="D606" s="1" t="s">
        <v>3180</v>
      </c>
      <c r="E606" s="1" t="s">
        <v>3184</v>
      </c>
      <c r="F606" s="1" t="s">
        <v>51</v>
      </c>
      <c r="G606" s="1">
        <v>40.0</v>
      </c>
      <c r="H606" s="1" t="s">
        <v>52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53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54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56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57</v>
      </c>
      <c r="AG606" s="1">
        <v>5.0</v>
      </c>
      <c r="AH606" s="1">
        <v>1.0</v>
      </c>
      <c r="AI606" s="1" t="s">
        <v>55</v>
      </c>
      <c r="AJ606" s="1">
        <v>4.0</v>
      </c>
      <c r="AK606" s="1">
        <v>4.0</v>
      </c>
      <c r="AL606" s="1">
        <f t="shared" si="1"/>
        <v>54</v>
      </c>
      <c r="AM606" s="1">
        <v>40.0</v>
      </c>
      <c r="AN606" s="1">
        <v>52.0</v>
      </c>
      <c r="AO606" s="1">
        <v>40.0</v>
      </c>
      <c r="AP606" s="2">
        <v>11.0</v>
      </c>
      <c r="AQ606" s="1">
        <v>0.0</v>
      </c>
      <c r="AR606" s="1">
        <v>0.0</v>
      </c>
      <c r="AS606" s="1" t="s">
        <v>3185</v>
      </c>
      <c r="AT606" s="3" t="str">
        <f>HYPERLINK("https://icf.clappia.com/app/GMB253374/submission/WLK77491926/ICF247370-GMB253374-e5hko69m8pa80000000/SIG-20250702_1151181lg5.jpeg", "SIG-20250702_1151181lg5.jpeg")</f>
        <v>SIG-20250702_1151181lg5.jpeg</v>
      </c>
      <c r="AU606" s="1" t="s">
        <v>3186</v>
      </c>
      <c r="AV606" s="3" t="str">
        <f>HYPERLINK("https://icf.clappia.com/app/GMB253374/submission/WLK77491926/ICF247370-GMB253374-4og4bp3ml3ag00000000/SIG-20250702_11521aa5gf.jpeg", "SIG-20250702_11521aa5gf.jpeg")</f>
        <v>SIG-20250702_11521aa5gf.jpeg</v>
      </c>
      <c r="AW606" s="1" t="s">
        <v>3187</v>
      </c>
      <c r="AX606" s="3" t="str">
        <f>HYPERLINK("https://icf.clappia.com/app/GMB253374/submission/WLK77491926/ICF247370-GMB253374-h31me96oe2le0000000/SIG-20250702_1153727c8.jpeg", "SIG-20250702_1153727c8.jpeg")</f>
        <v>SIG-20250702_1153727c8.jpeg</v>
      </c>
      <c r="AY606" s="3" t="str">
        <f>HYPERLINK("https://www.google.com/maps/place/8.216595%2C-11.5152067", "8.216595,-11.5152067")</f>
        <v>8.216595,-11.5152067</v>
      </c>
    </row>
    <row r="607" ht="15.75" customHeight="1">
      <c r="A607" s="1" t="s">
        <v>3188</v>
      </c>
      <c r="B607" s="2" t="s">
        <v>47</v>
      </c>
      <c r="C607" s="1" t="s">
        <v>557</v>
      </c>
      <c r="D607" s="1" t="s">
        <v>557</v>
      </c>
      <c r="E607" s="1" t="s">
        <v>3189</v>
      </c>
      <c r="F607" s="1" t="s">
        <v>51</v>
      </c>
      <c r="G607" s="1">
        <v>145.0</v>
      </c>
      <c r="H607" s="1" t="s">
        <v>52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53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54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56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57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f t="shared" si="1"/>
        <v>112</v>
      </c>
      <c r="AM607" s="1">
        <v>145.0</v>
      </c>
      <c r="AN607" s="1">
        <v>157.0</v>
      </c>
      <c r="AO607" s="1">
        <v>112.0</v>
      </c>
      <c r="AP607" s="2">
        <v>11.0</v>
      </c>
      <c r="AQ607" s="1">
        <v>33.0</v>
      </c>
      <c r="AR607" s="1">
        <v>33.0</v>
      </c>
      <c r="AS607" s="1" t="s">
        <v>3190</v>
      </c>
      <c r="AT607" s="3" t="str">
        <f>HYPERLINK("https://icf.clappia.com/app/GMB253374/submission/KWQ59334577/ICF247370-GMB253374-573ji37eg5eg00000000/SIG-20250702_1021dokl3.jpeg", "SIG-20250702_1021dokl3.jpeg")</f>
        <v>SIG-20250702_1021dokl3.jpeg</v>
      </c>
      <c r="AU607" s="1" t="s">
        <v>3191</v>
      </c>
      <c r="AV607" s="3" t="str">
        <f>HYPERLINK("https://icf.clappia.com/app/GMB253374/submission/KWQ59334577/ICF247370-GMB253374-53i4a883en280000000/SIG-20250701_1248176e23.jpeg", "SIG-20250701_1248176e23.jpeg")</f>
        <v>SIG-20250701_1248176e23.jpeg</v>
      </c>
      <c r="AW607" s="1" t="s">
        <v>3192</v>
      </c>
      <c r="AX607" s="3" t="str">
        <f>HYPERLINK("https://icf.clappia.com/app/GMB253374/submission/KWQ59334577/ICF247370-GMB253374-1a28cfn5lmd920000000/SIG-20250701_1250eb6b1.jpeg", "SIG-20250701_1250eb6b1.jpeg")</f>
        <v>SIG-20250701_1250eb6b1.jpeg</v>
      </c>
      <c r="AY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3193</v>
      </c>
      <c r="B608" s="2" t="s">
        <v>47</v>
      </c>
      <c r="C608" s="1" t="s">
        <v>3194</v>
      </c>
      <c r="D608" s="1" t="s">
        <v>3194</v>
      </c>
      <c r="E608" s="1" t="s">
        <v>3195</v>
      </c>
      <c r="F608" s="1" t="s">
        <v>51</v>
      </c>
      <c r="G608" s="1">
        <v>226.0</v>
      </c>
      <c r="H608" s="1" t="s">
        <v>52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53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54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56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57</v>
      </c>
      <c r="AG608" s="1">
        <v>37.0</v>
      </c>
      <c r="AH608" s="1">
        <v>18.0</v>
      </c>
      <c r="AI608" s="1" t="s">
        <v>55</v>
      </c>
      <c r="AJ608" s="1">
        <v>19.0</v>
      </c>
      <c r="AK608" s="1" t="s">
        <v>55</v>
      </c>
      <c r="AL608" s="1">
        <f t="shared" si="1"/>
        <v>263</v>
      </c>
      <c r="AM608" s="1">
        <v>226.0</v>
      </c>
      <c r="AN608" s="1">
        <v>238.0</v>
      </c>
      <c r="AO608" s="1">
        <v>226.0</v>
      </c>
      <c r="AP608" s="2">
        <v>11.0</v>
      </c>
      <c r="AQ608" s="1">
        <v>0.0</v>
      </c>
      <c r="AR608" s="1">
        <v>0.0</v>
      </c>
      <c r="AS608" s="1" t="s">
        <v>1375</v>
      </c>
      <c r="AT608" s="3" t="str">
        <f>HYPERLINK("https://icf.clappia.com/app/GMB253374/submission/WFP44395381/ICF247370-GMB253374-2ehjklm3knmo00000000/SIG-20250702_11576pc2b.jpeg", "SIG-20250702_11576pc2b.jpeg")</f>
        <v>SIG-20250702_11576pc2b.jpeg</v>
      </c>
      <c r="AU608" s="1" t="s">
        <v>1376</v>
      </c>
      <c r="AV608" s="3" t="str">
        <f>HYPERLINK("https://icf.clappia.com/app/GMB253374/submission/WFP44395381/ICF247370-GMB253374-20a1d6ncik41m0000000/SIG-20250702_1157j8jln.jpeg", "SIG-20250702_1157j8jln.jpeg")</f>
        <v>SIG-20250702_1157j8jln.jpeg</v>
      </c>
      <c r="AW608" s="1" t="s">
        <v>1377</v>
      </c>
      <c r="AX608" s="3" t="str">
        <f>HYPERLINK("https://icf.clappia.com/app/GMB253374/submission/WFP44395381/ICF247370-GMB253374-ffbjfacfipdi0000000/SIG-20250702_1158c0hf7.jpeg", "SIG-20250702_1158c0hf7.jpeg")</f>
        <v>SIG-20250702_1158c0hf7.jpeg</v>
      </c>
      <c r="AY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3196</v>
      </c>
      <c r="B609" s="2" t="s">
        <v>47</v>
      </c>
      <c r="C609" s="1" t="s">
        <v>3197</v>
      </c>
      <c r="D609" s="1" t="s">
        <v>3197</v>
      </c>
      <c r="E609" s="1" t="s">
        <v>3198</v>
      </c>
      <c r="F609" s="1" t="s">
        <v>51</v>
      </c>
      <c r="G609" s="1">
        <v>85.0</v>
      </c>
      <c r="H609" s="1" t="s">
        <v>52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53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54</v>
      </c>
      <c r="U609" s="1">
        <v>58.0</v>
      </c>
      <c r="V609" s="1">
        <v>21.0</v>
      </c>
      <c r="W609" s="1" t="s">
        <v>55</v>
      </c>
      <c r="X609" s="1">
        <v>37.0</v>
      </c>
      <c r="Y609" s="1" t="s">
        <v>55</v>
      </c>
      <c r="Z609" s="1" t="s">
        <v>56</v>
      </c>
      <c r="AA609" s="1">
        <v>65.0</v>
      </c>
      <c r="AB609" s="1">
        <v>30.0</v>
      </c>
      <c r="AC609" s="1" t="s">
        <v>55</v>
      </c>
      <c r="AD609" s="1">
        <v>35.0</v>
      </c>
      <c r="AE609" s="1" t="s">
        <v>55</v>
      </c>
      <c r="AF609" s="1" t="s">
        <v>57</v>
      </c>
      <c r="AG609" s="1">
        <v>82.0</v>
      </c>
      <c r="AH609" s="1">
        <v>40.0</v>
      </c>
      <c r="AI609" s="1" t="s">
        <v>55</v>
      </c>
      <c r="AJ609" s="1">
        <v>42.0</v>
      </c>
      <c r="AK609" s="1" t="s">
        <v>55</v>
      </c>
      <c r="AL609" s="1">
        <f t="shared" si="1"/>
        <v>324</v>
      </c>
      <c r="AM609" s="1">
        <v>85.0</v>
      </c>
      <c r="AN609" s="1">
        <v>97.0</v>
      </c>
      <c r="AO609" s="1">
        <v>71.0</v>
      </c>
      <c r="AP609" s="2">
        <v>11.0</v>
      </c>
      <c r="AQ609" s="1">
        <v>14.0</v>
      </c>
      <c r="AR609" s="1">
        <v>14.0</v>
      </c>
      <c r="AS609" s="1" t="s">
        <v>673</v>
      </c>
      <c r="AT609" s="3" t="str">
        <f>HYPERLINK("https://icf.clappia.com/app/GMB253374/submission/DAT26577227/ICF247370-GMB253374-699l0n5kfii400000000/SIG-20250702_114216bmo6.jpeg", "SIG-20250702_114216bmo6.jpeg")</f>
        <v>SIG-20250702_114216bmo6.jpeg</v>
      </c>
      <c r="AU609" s="1" t="s">
        <v>674</v>
      </c>
      <c r="AV609" s="3" t="str">
        <f>HYPERLINK("https://icf.clappia.com/app/GMB253374/submission/DAT26577227/ICF247370-GMB253374-1e2ih6je4hdok0000000/SIG-20250702_1143534ne.jpeg", "SIG-20250702_1143534ne.jpeg")</f>
        <v>SIG-20250702_1143534ne.jpeg</v>
      </c>
      <c r="AW609" s="1" t="s">
        <v>3199</v>
      </c>
      <c r="AX609" s="3" t="str">
        <f>HYPERLINK("https://icf.clappia.com/app/GMB253374/submission/DAT26577227/ICF247370-GMB253374-5e4ipdbbbhgg00000000/SIG-20250702_114327abo.jpeg", "SIG-20250702_114327abo.jpeg")</f>
        <v>SIG-20250702_114327abo.jpeg</v>
      </c>
      <c r="AY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3200</v>
      </c>
      <c r="B610" s="2" t="s">
        <v>47</v>
      </c>
      <c r="C610" s="1" t="s">
        <v>3201</v>
      </c>
      <c r="D610" s="1" t="s">
        <v>3201</v>
      </c>
      <c r="E610" s="1" t="s">
        <v>3202</v>
      </c>
      <c r="F610" s="1" t="s">
        <v>51</v>
      </c>
      <c r="G610" s="1">
        <v>400.0</v>
      </c>
      <c r="H610" s="1" t="s">
        <v>52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53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54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56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57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f t="shared" si="1"/>
        <v>400</v>
      </c>
      <c r="AM610" s="1">
        <v>400.0</v>
      </c>
      <c r="AN610" s="1">
        <v>412.0</v>
      </c>
      <c r="AO610" s="1">
        <v>396.0</v>
      </c>
      <c r="AP610" s="2">
        <v>11.0</v>
      </c>
      <c r="AQ610" s="1">
        <v>4.0</v>
      </c>
      <c r="AR610" s="1">
        <v>4.0</v>
      </c>
      <c r="AS610" s="1" t="s">
        <v>3203</v>
      </c>
      <c r="AT610" s="3" t="str">
        <f>HYPERLINK("https://icf.clappia.com/app/GMB253374/submission/AYG70457695/ICF247370-GMB253374-50jo3ppgm8mc00000000/SIG-20250702_1147f9fgm.jpeg", "SIG-20250702_1147f9fgm.jpeg")</f>
        <v>SIG-20250702_1147f9fgm.jpeg</v>
      </c>
      <c r="AU610" s="1" t="s">
        <v>3204</v>
      </c>
      <c r="AV610" s="3" t="str">
        <f>HYPERLINK("https://icf.clappia.com/app/GMB253374/submission/AYG70457695/ICF247370-GMB253374-5f8697o4kmog00000000/SIG-20250702_1147174ib8.jpeg", "SIG-20250702_1147174ib8.jpeg")</f>
        <v>SIG-20250702_1147174ib8.jpeg</v>
      </c>
      <c r="AW610" s="1" t="s">
        <v>3205</v>
      </c>
      <c r="AX610" s="3" t="str">
        <f>HYPERLINK("https://icf.clappia.com/app/GMB253374/submission/AYG70457695/ICF247370-GMB253374-6118bnf22hao00000000/SIG-20250702_114952aec.jpeg", "SIG-20250702_114952aec.jpeg")</f>
        <v>SIG-20250702_114952aec.jpeg</v>
      </c>
      <c r="AY610" s="3" t="str">
        <f>HYPERLINK("https://www.google.com/maps/place/8.92187%2C-12.1927467", "8.92187,-12.1927467")</f>
        <v>8.92187,-12.1927467</v>
      </c>
    </row>
    <row r="611" ht="15.75" customHeight="1">
      <c r="A611" s="1" t="s">
        <v>3206</v>
      </c>
      <c r="B611" s="2" t="s">
        <v>47</v>
      </c>
      <c r="C611" s="1" t="s">
        <v>3207</v>
      </c>
      <c r="D611" s="1" t="s">
        <v>3207</v>
      </c>
      <c r="E611" s="2" t="s">
        <v>3208</v>
      </c>
      <c r="F611" s="1" t="s">
        <v>72</v>
      </c>
      <c r="G611" s="1">
        <v>100.0</v>
      </c>
      <c r="H611" s="1" t="s">
        <v>52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53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54</v>
      </c>
      <c r="U611" s="1">
        <v>30.0</v>
      </c>
      <c r="V611" s="1">
        <v>10.0</v>
      </c>
      <c r="W611" s="1" t="s">
        <v>55</v>
      </c>
      <c r="X611" s="1">
        <v>20.0</v>
      </c>
      <c r="Y611" s="1">
        <v>4.0</v>
      </c>
      <c r="Z611" s="1" t="s">
        <v>56</v>
      </c>
      <c r="AA611" s="1">
        <v>30.0</v>
      </c>
      <c r="AB611" s="1">
        <v>15.0</v>
      </c>
      <c r="AC611" s="1" t="s">
        <v>55</v>
      </c>
      <c r="AD611" s="1">
        <v>15.0</v>
      </c>
      <c r="AE611" s="1">
        <v>3.0</v>
      </c>
      <c r="AF611" s="1" t="s">
        <v>57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f t="shared" si="1"/>
        <v>134</v>
      </c>
      <c r="AM611" s="1">
        <v>100.0</v>
      </c>
      <c r="AN611" s="1">
        <v>112.0</v>
      </c>
      <c r="AO611" s="1">
        <v>34.0</v>
      </c>
      <c r="AP611" s="2">
        <v>11.0</v>
      </c>
      <c r="AQ611" s="1">
        <v>66.0</v>
      </c>
      <c r="AR611" s="1">
        <v>66.0</v>
      </c>
      <c r="AS611" s="1" t="s">
        <v>3209</v>
      </c>
      <c r="AT611" s="3" t="str">
        <f>HYPERLINK("https://icf.clappia.com/app/GMB253374/submission/YYM95448940/ICF247370-GMB253374-k9fmm0lgojig0000000/SIG-20250702_1154104oab.jpeg", "SIG-20250702_1154104oab.jpeg")</f>
        <v>SIG-20250702_1154104oab.jpeg</v>
      </c>
      <c r="AU611" s="1" t="s">
        <v>3210</v>
      </c>
      <c r="AV611" s="3" t="str">
        <f>HYPERLINK("https://icf.clappia.com/app/GMB253374/submission/YYM95448940/ICF247370-GMB253374-3l8p4np28apo00000000/SIG-20250702_1155igfk7.jpeg", "SIG-20250702_1155igfk7.jpeg")</f>
        <v>SIG-20250702_1155igfk7.jpeg</v>
      </c>
      <c r="AW611" s="1" t="s">
        <v>3211</v>
      </c>
      <c r="AX611" s="3" t="str">
        <f>HYPERLINK("https://icf.clappia.com/app/GMB253374/submission/YYM95448940/ICF247370-GMB253374-178kdjch5m3fe0000000/SIG-20250702_11563ki8m.jpeg", "SIG-20250702_11563ki8m.jpeg")</f>
        <v>SIG-20250702_11563ki8m.jpeg</v>
      </c>
      <c r="AY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3212</v>
      </c>
      <c r="B612" s="2" t="s">
        <v>47</v>
      </c>
      <c r="C612" s="1" t="s">
        <v>3207</v>
      </c>
      <c r="D612" s="1" t="s">
        <v>3207</v>
      </c>
      <c r="E612" s="2" t="s">
        <v>3213</v>
      </c>
      <c r="F612" s="1" t="s">
        <v>51</v>
      </c>
      <c r="G612" s="1">
        <v>150.0</v>
      </c>
      <c r="H612" s="1" t="s">
        <v>52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53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54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56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57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f t="shared" si="1"/>
        <v>150</v>
      </c>
      <c r="AM612" s="1">
        <v>150.0</v>
      </c>
      <c r="AN612" s="1">
        <v>162.0</v>
      </c>
      <c r="AO612" s="1">
        <v>144.0</v>
      </c>
      <c r="AP612" s="2">
        <v>11.0</v>
      </c>
      <c r="AQ612" s="1">
        <v>6.0</v>
      </c>
      <c r="AR612" s="1">
        <v>6.0</v>
      </c>
      <c r="AS612" s="1" t="s">
        <v>3214</v>
      </c>
      <c r="AT612" s="3" t="str">
        <f>HYPERLINK("https://icf.clappia.com/app/GMB253374/submission/KDJ44396776/ICF247370-GMB253374-2j7hmgnj68ak00000000/SIG-20250702_11496d60p.jpeg", "SIG-20250702_11496d60p.jpeg")</f>
        <v>SIG-20250702_11496d60p.jpeg</v>
      </c>
      <c r="AU612" s="1" t="s">
        <v>3215</v>
      </c>
      <c r="AV612" s="3" t="str">
        <f>HYPERLINK("https://icf.clappia.com/app/GMB253374/submission/KDJ44396776/ICF247370-GMB253374-4i12ai8f4acg00000000/SIG-20250702_1149h869p.jpeg", "SIG-20250702_1149h869p.jpeg")</f>
        <v>SIG-20250702_1149h869p.jpeg</v>
      </c>
      <c r="AW612" s="1" t="s">
        <v>3216</v>
      </c>
      <c r="AX612" s="3" t="str">
        <f>HYPERLINK("https://icf.clappia.com/app/GMB253374/submission/KDJ44396776/ICF247370-GMB253374-3ia7je3fkp2400000000/SIG-20250702_1154g94nc.jpeg", "SIG-20250702_1154g94nc.jpeg")</f>
        <v>SIG-20250702_1154g94nc.jpeg</v>
      </c>
      <c r="AY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3217</v>
      </c>
      <c r="B613" s="2" t="s">
        <v>47</v>
      </c>
      <c r="C613" s="1" t="s">
        <v>3207</v>
      </c>
      <c r="D613" s="1" t="s">
        <v>3207</v>
      </c>
      <c r="E613" s="1" t="s">
        <v>3218</v>
      </c>
      <c r="F613" s="1" t="s">
        <v>51</v>
      </c>
      <c r="G613" s="1">
        <v>246.0</v>
      </c>
      <c r="H613" s="1" t="s">
        <v>52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53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54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56</v>
      </c>
      <c r="AA613" s="1">
        <v>38.0</v>
      </c>
      <c r="AB613" s="1">
        <v>18.0</v>
      </c>
      <c r="AC613" s="1" t="s">
        <v>55</v>
      </c>
      <c r="AD613" s="1">
        <v>20.0</v>
      </c>
      <c r="AE613" s="1" t="s">
        <v>55</v>
      </c>
      <c r="AF613" s="1" t="s">
        <v>57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f t="shared" si="1"/>
        <v>207</v>
      </c>
      <c r="AM613" s="1">
        <v>246.0</v>
      </c>
      <c r="AN613" s="1">
        <v>258.0</v>
      </c>
      <c r="AO613" s="1">
        <v>31.0</v>
      </c>
      <c r="AP613" s="2">
        <v>11.0</v>
      </c>
      <c r="AQ613" s="1">
        <v>215.0</v>
      </c>
      <c r="AR613" s="1">
        <v>215.0</v>
      </c>
      <c r="AS613" s="1" t="s">
        <v>1918</v>
      </c>
      <c r="AT613" s="3" t="str">
        <f>HYPERLINK("https://icf.clappia.com/app/GMB253374/submission/FER74499976/ICF247370-GMB253374-3hi8m2a48h6200000000/SIG-20250702_1149122g4n.jpeg", "SIG-20250702_1149122g4n.jpeg")</f>
        <v>SIG-20250702_1149122g4n.jpeg</v>
      </c>
      <c r="AU613" s="1" t="s">
        <v>1919</v>
      </c>
      <c r="AV613" s="3" t="str">
        <f>HYPERLINK("https://icf.clappia.com/app/GMB253374/submission/FER74499976/ICF247370-GMB253374-gejk008l9mde0000000/SIG-20250702_1149alo70.jpeg", "SIG-20250702_1149alo70.jpeg")</f>
        <v>SIG-20250702_1149alo70.jpeg</v>
      </c>
      <c r="AW613" s="1" t="s">
        <v>1920</v>
      </c>
      <c r="AX613" s="3" t="str">
        <f>HYPERLINK("https://icf.clappia.com/app/GMB253374/submission/FER74499976/ICF247370-GMB253374-6aod7j8j1fli00000000/SIG-20250702_1150h9hlf.jpeg", "SIG-20250702_1150h9hlf.jpeg")</f>
        <v>SIG-20250702_1150h9hlf.jpeg</v>
      </c>
      <c r="AY613" s="3" t="str">
        <f>HYPERLINK("https://www.google.com/maps/place/7.9823983%2C-11.73025", "7.9823983,-11.73025")</f>
        <v>7.9823983,-11.73025</v>
      </c>
    </row>
    <row r="614" ht="15.75" customHeight="1">
      <c r="A614" s="1" t="s">
        <v>3219</v>
      </c>
      <c r="B614" s="2" t="s">
        <v>47</v>
      </c>
      <c r="C614" s="1" t="s">
        <v>3183</v>
      </c>
      <c r="D614" s="1" t="s">
        <v>3183</v>
      </c>
      <c r="E614" s="1" t="s">
        <v>3220</v>
      </c>
      <c r="F614" s="1" t="s">
        <v>51</v>
      </c>
      <c r="G614" s="1">
        <v>150.0</v>
      </c>
      <c r="H614" s="1" t="s">
        <v>52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53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54</v>
      </c>
      <c r="U614" s="1">
        <v>119.0</v>
      </c>
      <c r="V614" s="1">
        <v>54.0</v>
      </c>
      <c r="W614" s="1" t="s">
        <v>55</v>
      </c>
      <c r="X614" s="1">
        <v>65.0</v>
      </c>
      <c r="Y614" s="1" t="s">
        <v>55</v>
      </c>
      <c r="Z614" s="1" t="s">
        <v>56</v>
      </c>
      <c r="AA614" s="1">
        <v>116.0</v>
      </c>
      <c r="AB614" s="1">
        <v>48.0</v>
      </c>
      <c r="AC614" s="1" t="s">
        <v>55</v>
      </c>
      <c r="AD614" s="1">
        <v>68.0</v>
      </c>
      <c r="AE614" s="1" t="s">
        <v>55</v>
      </c>
      <c r="AF614" s="1" t="s">
        <v>57</v>
      </c>
      <c r="AG614" s="1">
        <v>114.0</v>
      </c>
      <c r="AH614" s="1">
        <v>52.0</v>
      </c>
      <c r="AI614" s="1" t="s">
        <v>55</v>
      </c>
      <c r="AJ614" s="1">
        <v>62.0</v>
      </c>
      <c r="AK614" s="1" t="s">
        <v>55</v>
      </c>
      <c r="AL614" s="1">
        <f t="shared" si="1"/>
        <v>600</v>
      </c>
      <c r="AM614" s="1">
        <v>150.0</v>
      </c>
      <c r="AN614" s="1">
        <v>162.0</v>
      </c>
      <c r="AO614" s="1">
        <v>150.0</v>
      </c>
      <c r="AP614" s="2">
        <v>11.0</v>
      </c>
      <c r="AQ614" s="1">
        <v>0.0</v>
      </c>
      <c r="AR614" s="1">
        <v>0.0</v>
      </c>
      <c r="AS614" s="1" t="s">
        <v>1221</v>
      </c>
      <c r="AT614" s="3" t="str">
        <f>HYPERLINK("https://icf.clappia.com/app/GMB253374/submission/NFD91405377/ICF247370-GMB253374-43on0f2kbh2c00000000/SIG-20250702_115318i29l.jpeg", "SIG-20250702_115318i29l.jpeg")</f>
        <v>SIG-20250702_115318i29l.jpeg</v>
      </c>
      <c r="AU614" s="1" t="s">
        <v>1222</v>
      </c>
      <c r="AV614" s="3" t="str">
        <f>HYPERLINK("https://icf.clappia.com/app/GMB253374/submission/NFD91405377/ICF247370-GMB253374-1i5c4nn7i3n2o000000/SIG-20250702_11531ec0g.jpeg", "SIG-20250702_11531ec0g.jpeg")</f>
        <v>SIG-20250702_11531ec0g.jpeg</v>
      </c>
      <c r="AW614" s="1" t="s">
        <v>1223</v>
      </c>
      <c r="AX614" s="3" t="str">
        <f>HYPERLINK("https://icf.clappia.com/app/GMB253374/submission/NFD91405377/ICF247370-GMB253374-1ep5j5pcdn85m0000000/SIG-20250702_1154194elf.jpeg", "SIG-20250702_1154194elf.jpeg")</f>
        <v>SIG-20250702_1154194elf.jpeg</v>
      </c>
      <c r="AY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3221</v>
      </c>
      <c r="B615" s="2" t="s">
        <v>47</v>
      </c>
      <c r="C615" s="1" t="s">
        <v>3183</v>
      </c>
      <c r="D615" s="1" t="s">
        <v>3183</v>
      </c>
      <c r="E615" s="1" t="s">
        <v>3222</v>
      </c>
      <c r="F615" s="1" t="s">
        <v>51</v>
      </c>
      <c r="G615" s="1">
        <v>385.0</v>
      </c>
      <c r="H615" s="1" t="s">
        <v>52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53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54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56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57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f t="shared" si="1"/>
        <v>391</v>
      </c>
      <c r="AM615" s="1">
        <v>385.0</v>
      </c>
      <c r="AN615" s="1">
        <v>397.0</v>
      </c>
      <c r="AO615" s="1">
        <v>385.0</v>
      </c>
      <c r="AP615" s="2">
        <v>11.0</v>
      </c>
      <c r="AQ615" s="1">
        <v>0.0</v>
      </c>
      <c r="AR615" s="1">
        <v>0.0</v>
      </c>
      <c r="AS615" s="1" t="s">
        <v>3223</v>
      </c>
      <c r="AT615" s="3" t="str">
        <f>HYPERLINK("https://icf.clappia.com/app/GMB253374/submission/PJH76365717/ICF247370-GMB253374-5pi8afbj9n0800000000/SIG-20250702_1152jgh76.jpeg", "SIG-20250702_1152jgh76.jpeg")</f>
        <v>SIG-20250702_1152jgh76.jpeg</v>
      </c>
      <c r="AU615" s="1" t="s">
        <v>3224</v>
      </c>
      <c r="AV615" s="3" t="str">
        <f>HYPERLINK("https://icf.clappia.com/app/GMB253374/submission/PJH76365717/ICF247370-GMB253374-4ej49gnh0b3m00000000/SIG-20250701_1437p5bn.jpeg", "SIG-20250701_1437p5bn.jpeg")</f>
        <v>SIG-20250701_1437p5bn.jpeg</v>
      </c>
      <c r="AW615" s="1" t="s">
        <v>3225</v>
      </c>
      <c r="AX615" s="3" t="str">
        <f>HYPERLINK("https://icf.clappia.com/app/GMB253374/submission/PJH76365717/ICF247370-GMB253374-6gbe6b53b99a0000000/SIG-20250701_1438g7eje.jpeg", "SIG-20250701_1438g7eje.jpeg")</f>
        <v>SIG-20250701_1438g7eje.jpeg</v>
      </c>
      <c r="AY615" s="3" t="str">
        <f>HYPERLINK("https://www.google.com/maps/place/7.6524533%2C-11.963955", "7.6524533,-11.963955")</f>
        <v>7.6524533,-11.963955</v>
      </c>
    </row>
    <row r="616" ht="15.75" customHeight="1">
      <c r="A616" s="1" t="s">
        <v>3226</v>
      </c>
      <c r="B616" s="2" t="s">
        <v>47</v>
      </c>
      <c r="C616" s="1" t="s">
        <v>3227</v>
      </c>
      <c r="D616" s="1" t="s">
        <v>3228</v>
      </c>
      <c r="E616" s="1" t="s">
        <v>3229</v>
      </c>
      <c r="F616" s="1" t="s">
        <v>51</v>
      </c>
      <c r="G616" s="1">
        <v>64.0</v>
      </c>
      <c r="H616" s="1" t="s">
        <v>52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53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54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56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57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f t="shared" si="1"/>
        <v>59</v>
      </c>
      <c r="AM616" s="1">
        <v>64.0</v>
      </c>
      <c r="AN616" s="1">
        <v>76.0</v>
      </c>
      <c r="AO616" s="1">
        <v>59.0</v>
      </c>
      <c r="AP616" s="2">
        <v>11.0</v>
      </c>
      <c r="AQ616" s="1">
        <v>5.0</v>
      </c>
      <c r="AR616" s="1">
        <v>5.0</v>
      </c>
      <c r="AS616" s="1" t="s">
        <v>3230</v>
      </c>
      <c r="AT616" s="3" t="str">
        <f>HYPERLINK("https://icf.clappia.com/app/GMB253374/submission/VEF37705177/ICF247370-GMB253374-24dmmnj6ojih60000000/SIG-20250702_1059ejkj5.jpeg", "SIG-20250702_1059ejkj5.jpeg")</f>
        <v>SIG-20250702_1059ejkj5.jpeg</v>
      </c>
      <c r="AU616" s="1" t="s">
        <v>3231</v>
      </c>
      <c r="AV616" s="3" t="str">
        <f>HYPERLINK("https://icf.clappia.com/app/GMB253374/submission/VEF37705177/ICF247370-GMB253374-o0g8p5g9n3c40000000/SIG-20250702_105919f48k.jpeg", "SIG-20250702_105919f48k.jpeg")</f>
        <v>SIG-20250702_105919f48k.jpeg</v>
      </c>
      <c r="AW616" s="1" t="s">
        <v>3232</v>
      </c>
      <c r="AX616" s="3" t="str">
        <f>HYPERLINK("https://icf.clappia.com/app/GMB253374/submission/VEF37705177/ICF247370-GMB253374-15d3pg15hlo2k00000/SIG-20250702_1059bmpjj.jpeg", "SIG-20250702_1059bmpjj.jpeg")</f>
        <v>SIG-20250702_1059bmpjj.jpeg</v>
      </c>
      <c r="AY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3233</v>
      </c>
      <c r="B617" s="2" t="s">
        <v>47</v>
      </c>
      <c r="C617" s="1" t="s">
        <v>3234</v>
      </c>
      <c r="D617" s="1" t="s">
        <v>3234</v>
      </c>
      <c r="E617" s="1" t="s">
        <v>3235</v>
      </c>
      <c r="F617" s="1" t="s">
        <v>72</v>
      </c>
      <c r="G617" s="1">
        <v>209.0</v>
      </c>
      <c r="H617" s="1" t="s">
        <v>52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53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54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56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57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f t="shared" si="1"/>
        <v>209</v>
      </c>
      <c r="AM617" s="1">
        <v>209.0</v>
      </c>
      <c r="AN617" s="1">
        <v>221.0</v>
      </c>
      <c r="AO617" s="1">
        <v>209.0</v>
      </c>
      <c r="AP617" s="2">
        <v>11.0</v>
      </c>
      <c r="AQ617" s="1">
        <v>0.0</v>
      </c>
      <c r="AR617" s="1">
        <v>0.0</v>
      </c>
      <c r="AS617" s="1" t="s">
        <v>1772</v>
      </c>
      <c r="AT617" s="3" t="str">
        <f>HYPERLINK("https://icf.clappia.com/app/GMB253374/submission/BBT98403672/ICF247370-GMB253374-5abakdbpg0kc00000000/SIG-20250702_1145ephmg.jpeg", "SIG-20250702_1145ephmg.jpeg")</f>
        <v>SIG-20250702_1145ephmg.jpeg</v>
      </c>
      <c r="AU617" s="1" t="s">
        <v>1773</v>
      </c>
      <c r="AV617" s="3" t="str">
        <f>HYPERLINK("https://icf.clappia.com/app/GMB253374/submission/BBT98403672/ICF247370-GMB253374-2j0706bhmapk00000000/SIG-20250702_11462kpcn.jpeg", "SIG-20250702_11462kpcn.jpeg")</f>
        <v>SIG-20250702_11462kpcn.jpeg</v>
      </c>
      <c r="AW617" s="1" t="s">
        <v>1774</v>
      </c>
      <c r="AX617" s="3" t="str">
        <f>HYPERLINK("https://icf.clappia.com/app/GMB253374/submission/BBT98403672/ICF247370-GMB253374-ona98ckcie88000000/SIG-20250702_1146l9mec.jpeg", "SIG-20250702_1146l9mec.jpeg")</f>
        <v>SIG-20250702_1146l9mec.jpeg</v>
      </c>
      <c r="AY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3236</v>
      </c>
      <c r="B618" s="2" t="s">
        <v>47</v>
      </c>
      <c r="C618" s="1" t="s">
        <v>3237</v>
      </c>
      <c r="D618" s="1" t="s">
        <v>3237</v>
      </c>
      <c r="E618" s="1" t="s">
        <v>3238</v>
      </c>
      <c r="F618" s="1" t="s">
        <v>51</v>
      </c>
      <c r="G618" s="1">
        <v>100.0</v>
      </c>
      <c r="H618" s="1" t="s">
        <v>52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 s="1" t="s">
        <v>53</v>
      </c>
      <c r="O618" s="1" t="s">
        <v>55</v>
      </c>
      <c r="P618" s="1" t="s">
        <v>55</v>
      </c>
      <c r="Q618" s="1" t="s">
        <v>55</v>
      </c>
      <c r="R618" s="1" t="s">
        <v>55</v>
      </c>
      <c r="S618" s="1" t="s">
        <v>55</v>
      </c>
      <c r="T618" s="1" t="s">
        <v>54</v>
      </c>
      <c r="U618" s="1" t="s">
        <v>55</v>
      </c>
      <c r="V618" s="1" t="s">
        <v>55</v>
      </c>
      <c r="W618" s="1" t="s">
        <v>55</v>
      </c>
      <c r="X618" s="1" t="s">
        <v>55</v>
      </c>
      <c r="Y618" s="1" t="s">
        <v>55</v>
      </c>
      <c r="Z618" s="1" t="s">
        <v>56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57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f t="shared" si="1"/>
        <v>87</v>
      </c>
      <c r="AM618" s="1">
        <v>100.0</v>
      </c>
      <c r="AN618" s="1">
        <v>112.0</v>
      </c>
      <c r="AO618" s="1">
        <v>87.0</v>
      </c>
      <c r="AP618" s="2">
        <v>11.0</v>
      </c>
      <c r="AQ618" s="1">
        <v>13.0</v>
      </c>
      <c r="AR618" s="1">
        <v>13.0</v>
      </c>
      <c r="AS618" s="1" t="s">
        <v>1259</v>
      </c>
      <c r="AT618" s="3" t="str">
        <f>HYPERLINK("https://icf.clappia.com/app/GMB253374/submission/JAW77862839/ICF247370-GMB253374-43eimd6fp51o00000000/SIG-20250702_1142d6m40.jpeg", "SIG-20250702_1142d6m40.jpeg")</f>
        <v>SIG-20250702_1142d6m40.jpeg</v>
      </c>
      <c r="AU618" s="1" t="s">
        <v>3239</v>
      </c>
      <c r="AV618" s="3" t="str">
        <f>HYPERLINK("https://icf.clappia.com/app/GMB253374/submission/JAW77862839/ICF247370-GMB253374-10pc8d3i436mk0000000/SIG-20250702_1143d9fea.jpeg", "SIG-20250702_1143d9fea.jpeg")</f>
        <v>SIG-20250702_1143d9fea.jpeg</v>
      </c>
      <c r="AW618" s="1" t="s">
        <v>3240</v>
      </c>
      <c r="AX618" s="3" t="str">
        <f>HYPERLINK("https://icf.clappia.com/app/GMB253374/submission/JAW77862839/ICF247370-GMB253374-37bk7a5epgji00000000/SIG-20250702_11431ahmjm.jpeg", "SIG-20250702_11431ahmjm.jpeg")</f>
        <v>SIG-20250702_11431ahmjm.jpeg</v>
      </c>
      <c r="AY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3241</v>
      </c>
      <c r="B619" s="2" t="s">
        <v>47</v>
      </c>
      <c r="C619" s="1" t="s">
        <v>3237</v>
      </c>
      <c r="D619" s="1" t="s">
        <v>3237</v>
      </c>
      <c r="E619" s="1" t="s">
        <v>3242</v>
      </c>
      <c r="F619" s="1" t="s">
        <v>51</v>
      </c>
      <c r="G619" s="1">
        <v>178.0</v>
      </c>
      <c r="H619" s="1" t="s">
        <v>52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53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54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56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57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f t="shared" si="1"/>
        <v>178</v>
      </c>
      <c r="AM619" s="1">
        <v>178.0</v>
      </c>
      <c r="AN619" s="1">
        <v>190.0</v>
      </c>
      <c r="AO619" s="1">
        <v>170.0</v>
      </c>
      <c r="AP619" s="2">
        <v>11.0</v>
      </c>
      <c r="AQ619" s="1">
        <v>8.0</v>
      </c>
      <c r="AR619" s="1">
        <v>8.0</v>
      </c>
      <c r="AS619" s="1" t="s">
        <v>900</v>
      </c>
      <c r="AT619" s="3" t="str">
        <f>HYPERLINK("https://icf.clappia.com/app/GMB253374/submission/GRM32853158/ICF247370-GMB253374-1m5f502dg45p20000000/SIG-20250702_1128k3266.jpeg", "SIG-20250702_1128k3266.jpeg")</f>
        <v>SIG-20250702_1128k3266.jpeg</v>
      </c>
      <c r="AU619" s="1" t="s">
        <v>901</v>
      </c>
      <c r="AV619" s="3" t="str">
        <f>HYPERLINK("https://icf.clappia.com/app/GMB253374/submission/GRM32853158/ICF247370-GMB253374-3ah30ab3opjm00000000/SIG-20250702_112814a889.jpeg", "SIG-20250702_112814a889.jpeg")</f>
        <v>SIG-20250702_112814a889.jpeg</v>
      </c>
      <c r="AW619" s="1" t="s">
        <v>902</v>
      </c>
      <c r="AX619" s="3" t="str">
        <f>HYPERLINK("https://icf.clappia.com/app/GMB253374/submission/GRM32853158/ICF247370-GMB253374-53kpekh4e6gg00000000/SIG-20250702_112824lll.jpeg", "SIG-20250702_112824lll.jpeg")</f>
        <v>SIG-20250702_112824lll.jpeg</v>
      </c>
      <c r="AY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3243</v>
      </c>
      <c r="B620" s="2" t="s">
        <v>47</v>
      </c>
      <c r="C620" s="1" t="s">
        <v>3244</v>
      </c>
      <c r="D620" s="1" t="s">
        <v>3244</v>
      </c>
      <c r="E620" s="1" t="s">
        <v>3245</v>
      </c>
      <c r="F620" s="1" t="s">
        <v>51</v>
      </c>
      <c r="G620" s="1">
        <v>200.0</v>
      </c>
      <c r="H620" s="1" t="s">
        <v>52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53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54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56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57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f t="shared" si="1"/>
        <v>163</v>
      </c>
      <c r="AM620" s="1">
        <v>200.0</v>
      </c>
      <c r="AN620" s="1">
        <v>212.0</v>
      </c>
      <c r="AO620" s="1">
        <v>95.0</v>
      </c>
      <c r="AP620" s="2">
        <v>11.0</v>
      </c>
      <c r="AQ620" s="1">
        <v>105.0</v>
      </c>
      <c r="AR620" s="1">
        <v>105.0</v>
      </c>
      <c r="AS620" s="1" t="s">
        <v>3246</v>
      </c>
      <c r="AT620" s="3" t="str">
        <f>HYPERLINK("https://icf.clappia.com/app/GMB253374/submission/VGB95004478/ICF247370-GMB253374-hpjcjphppiak0000000/SIG-20250702_1141pnol8.jpeg", "SIG-20250702_1141pnol8.jpeg")</f>
        <v>SIG-20250702_1141pnol8.jpeg</v>
      </c>
      <c r="AU620" s="1" t="s">
        <v>3247</v>
      </c>
      <c r="AV620" s="3" t="str">
        <f>HYPERLINK("https://icf.clappia.com/app/GMB253374/submission/VGB95004478/ICF247370-GMB253374-51nk8fc13c7a00000000/SIG-20250702_114146ehi.jpeg", "SIG-20250702_114146ehi.jpeg")</f>
        <v>SIG-20250702_114146ehi.jpeg</v>
      </c>
      <c r="AW620" s="1" t="s">
        <v>3248</v>
      </c>
      <c r="AX620" s="3" t="str">
        <f>HYPERLINK("https://icf.clappia.com/app/GMB253374/submission/VGB95004478/ICF247370-GMB253374-2fk2hi41nefc00000000/SIG-20250702_113393mbm.jpeg", "SIG-20250702_113393mbm.jpeg")</f>
        <v>SIG-20250702_113393mbm.jpeg</v>
      </c>
      <c r="AY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3249</v>
      </c>
      <c r="B621" s="2" t="s">
        <v>47</v>
      </c>
      <c r="C621" s="1" t="s">
        <v>3250</v>
      </c>
      <c r="D621" s="1" t="s">
        <v>3250</v>
      </c>
      <c r="E621" s="1" t="s">
        <v>3251</v>
      </c>
      <c r="F621" s="1" t="s">
        <v>51</v>
      </c>
      <c r="G621" s="1">
        <v>85.0</v>
      </c>
      <c r="H621" s="1" t="s">
        <v>52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53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54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56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57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f t="shared" si="1"/>
        <v>83</v>
      </c>
      <c r="AM621" s="1">
        <v>85.0</v>
      </c>
      <c r="AN621" s="1">
        <v>97.0</v>
      </c>
      <c r="AO621" s="1">
        <v>83.0</v>
      </c>
      <c r="AP621" s="2">
        <v>11.0</v>
      </c>
      <c r="AQ621" s="1">
        <v>2.0</v>
      </c>
      <c r="AR621" s="1">
        <v>2.0</v>
      </c>
      <c r="AS621" s="1" t="s">
        <v>2360</v>
      </c>
      <c r="AT621" s="3" t="str">
        <f>HYPERLINK("https://icf.clappia.com/app/GMB253374/submission/FQJ11013070/ICF247370-GMB253374-3dmkjd95936a00000000/SIG-20250702_1138dkk0b.jpeg", "SIG-20250702_1138dkk0b.jpeg")</f>
        <v>SIG-20250702_1138dkk0b.jpeg</v>
      </c>
      <c r="AU621" s="1" t="s">
        <v>1475</v>
      </c>
      <c r="AV621" s="3" t="str">
        <f>HYPERLINK("https://icf.clappia.com/app/GMB253374/submission/FQJ11013070/ICF247370-GMB253374-3ag136pj7pa200000000/SIG-20250702_1139mlhb8.jpeg", "SIG-20250702_1139mlhb8.jpeg")</f>
        <v>SIG-20250702_1139mlhb8.jpeg</v>
      </c>
      <c r="AW621" s="1" t="s">
        <v>2361</v>
      </c>
      <c r="AX621" s="3" t="str">
        <f>HYPERLINK("https://icf.clappia.com/app/GMB253374/submission/FQJ11013070/ICF247370-GMB253374-2bnhkk4jjcgm00000000/SIG-20250702_113912bf7h.jpeg", "SIG-20250702_113912bf7h.jpeg")</f>
        <v>SIG-20250702_113912bf7h.jpeg</v>
      </c>
      <c r="AY621" s="3" t="str">
        <f>HYPERLINK("https://www.google.com/maps/place/8.12668%2C-11.57811", "8.12668,-11.57811")</f>
        <v>8.12668,-11.57811</v>
      </c>
    </row>
    <row r="622" ht="15.75" customHeight="1">
      <c r="A622" s="1" t="s">
        <v>3252</v>
      </c>
      <c r="B622" s="2" t="s">
        <v>47</v>
      </c>
      <c r="C622" s="1" t="s">
        <v>3253</v>
      </c>
      <c r="D622" s="1" t="s">
        <v>3253</v>
      </c>
      <c r="E622" s="1" t="s">
        <v>3254</v>
      </c>
      <c r="F622" s="1" t="s">
        <v>51</v>
      </c>
      <c r="G622" s="1">
        <v>370.0</v>
      </c>
      <c r="H622" s="1" t="s">
        <v>52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53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54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56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57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f t="shared" si="1"/>
        <v>377</v>
      </c>
      <c r="AM622" s="1">
        <v>370.0</v>
      </c>
      <c r="AN622" s="1">
        <v>382.0</v>
      </c>
      <c r="AO622" s="1">
        <v>370.0</v>
      </c>
      <c r="AP622" s="2">
        <v>11.0</v>
      </c>
      <c r="AQ622" s="1">
        <v>0.0</v>
      </c>
      <c r="AR622" s="1">
        <v>0.0</v>
      </c>
      <c r="AS622" s="1" t="s">
        <v>1027</v>
      </c>
      <c r="AT622" s="3" t="str">
        <f>HYPERLINK("https://icf.clappia.com/app/GMB253374/submission/PGM04046901/ICF247370-GMB253374-5i18ccf5796800000000/SIG-20250702_11153k55j.jpeg", "SIG-20250702_11153k55j.jpeg")</f>
        <v>SIG-20250702_11153k55j.jpeg</v>
      </c>
      <c r="AU622" s="1" t="s">
        <v>3255</v>
      </c>
      <c r="AV622" s="3" t="str">
        <f>HYPERLINK("https://icf.clappia.com/app/GMB253374/submission/PGM04046901/ICF247370-GMB253374-2da4dg69g13800000000/SIG-20250702_1116ndd4m.jpeg", "SIG-20250702_1116ndd4m.jpeg")</f>
        <v>SIG-20250702_1116ndd4m.jpeg</v>
      </c>
      <c r="AW622" s="1" t="s">
        <v>3256</v>
      </c>
      <c r="AX622" s="3" t="str">
        <f>HYPERLINK("https://icf.clappia.com/app/GMB253374/submission/PGM04046901/ICF247370-GMB253374-ogk4emajfae40000000/SIG-20250702_1116lgf6c.jpeg", "SIG-20250702_1116lgf6c.jpeg")</f>
        <v>SIG-20250702_1116lgf6c.jpeg</v>
      </c>
      <c r="AY622" s="3" t="str">
        <f>HYPERLINK("https://www.google.com/maps/place/8.862695%2C-12.0529883", "8.862695,-12.0529883")</f>
        <v>8.862695,-12.0529883</v>
      </c>
    </row>
    <row r="623" ht="15.75" customHeight="1">
      <c r="A623" s="1" t="s">
        <v>3257</v>
      </c>
      <c r="B623" s="2" t="s">
        <v>47</v>
      </c>
      <c r="C623" s="1" t="s">
        <v>3253</v>
      </c>
      <c r="D623" s="1" t="s">
        <v>3253</v>
      </c>
      <c r="E623" s="1" t="s">
        <v>3258</v>
      </c>
      <c r="F623" s="1" t="s">
        <v>51</v>
      </c>
      <c r="G623" s="1">
        <v>224.0</v>
      </c>
      <c r="H623" s="1" t="s">
        <v>52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53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54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56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57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f t="shared" si="1"/>
        <v>250</v>
      </c>
      <c r="AM623" s="1">
        <v>224.0</v>
      </c>
      <c r="AN623" s="1">
        <v>236.0</v>
      </c>
      <c r="AO623" s="1">
        <v>191.0</v>
      </c>
      <c r="AP623" s="2">
        <v>11.0</v>
      </c>
      <c r="AQ623" s="1">
        <v>33.0</v>
      </c>
      <c r="AR623" s="1">
        <v>33.0</v>
      </c>
      <c r="AS623" s="1" t="s">
        <v>2064</v>
      </c>
      <c r="AT623" s="3" t="str">
        <f>HYPERLINK("https://icf.clappia.com/app/GMB253374/submission/XHJ59973045/ICF247370-GMB253374-15oceno63n0ec0000000/SIG-20250702_113216b03e.jpeg", "SIG-20250702_113216b03e.jpeg")</f>
        <v>SIG-20250702_113216b03e.jpeg</v>
      </c>
      <c r="AU623" s="1" t="s">
        <v>2065</v>
      </c>
      <c r="AV623" s="3" t="str">
        <f>HYPERLINK("https://icf.clappia.com/app/GMB253374/submission/XHJ59973045/ICF247370-GMB253374-3kfpjhbpg5b200000000/SIG-20250702_1138146eg6.jpeg", "SIG-20250702_1138146eg6.jpeg")</f>
        <v>SIG-20250702_1138146eg6.jpeg</v>
      </c>
      <c r="AW623" s="1" t="s">
        <v>2066</v>
      </c>
      <c r="AX623" s="3" t="str">
        <f>HYPERLINK("https://icf.clappia.com/app/GMB253374/submission/XHJ59973045/ICF247370-GMB253374-o9mndehc8k9m0000000/SIG-20250702_113712ep4.jpeg", "SIG-20250702_113712ep4.jpeg")</f>
        <v>SIG-20250702_113712ep4.jpeg</v>
      </c>
      <c r="AY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3259</v>
      </c>
      <c r="B624" s="2" t="s">
        <v>47</v>
      </c>
      <c r="C624" s="1" t="s">
        <v>3260</v>
      </c>
      <c r="D624" s="1" t="s">
        <v>3260</v>
      </c>
      <c r="E624" s="1" t="s">
        <v>3261</v>
      </c>
      <c r="F624" s="1" t="s">
        <v>51</v>
      </c>
      <c r="G624" s="1">
        <v>240.0</v>
      </c>
      <c r="H624" s="1" t="s">
        <v>52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53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54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56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57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f t="shared" si="1"/>
        <v>171</v>
      </c>
      <c r="AM624" s="1">
        <v>240.0</v>
      </c>
      <c r="AN624" s="1">
        <v>252.0</v>
      </c>
      <c r="AO624" s="1">
        <v>171.0</v>
      </c>
      <c r="AP624" s="2">
        <v>11.0</v>
      </c>
      <c r="AQ624" s="1">
        <v>69.0</v>
      </c>
      <c r="AR624" s="1">
        <v>69.0</v>
      </c>
      <c r="AS624" s="1" t="s">
        <v>3262</v>
      </c>
      <c r="AT624" s="3" t="str">
        <f>HYPERLINK("https://icf.clappia.com/app/GMB253374/submission/YFV22616381/ICF247370-GMB253374-32k84cnmgaig00000000/SIG-20250702_10451929n2.jpeg", "SIG-20250702_10451929n2.jpeg")</f>
        <v>SIG-20250702_10451929n2.jpeg</v>
      </c>
      <c r="AU624" s="1" t="s">
        <v>151</v>
      </c>
      <c r="AV624" s="3" t="str">
        <f>HYPERLINK("https://icf.clappia.com/app/GMB253374/submission/YFV22616381/ICF247370-GMB253374-e1k5kk02clbm0000000/SIG-20250702_1046el9p7.jpeg", "SIG-20250702_1046el9p7.jpeg")</f>
        <v>SIG-20250702_1046el9p7.jpeg</v>
      </c>
      <c r="AW624" s="1" t="s">
        <v>153</v>
      </c>
      <c r="AX624" s="3" t="str">
        <f>HYPERLINK("https://icf.clappia.com/app/GMB253374/submission/YFV22616381/ICF247370-GMB253374-4239cbdcjcpe00000000/SIG-20250702_1047dghbp.jpeg", "SIG-20250702_1047dghbp.jpeg")</f>
        <v>SIG-20250702_1047dghbp.jpeg</v>
      </c>
      <c r="AY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3263</v>
      </c>
      <c r="B625" s="2" t="s">
        <v>47</v>
      </c>
      <c r="C625" s="1" t="s">
        <v>3264</v>
      </c>
      <c r="D625" s="1" t="s">
        <v>3264</v>
      </c>
      <c r="E625" s="1" t="s">
        <v>3265</v>
      </c>
      <c r="F625" s="1" t="s">
        <v>51</v>
      </c>
      <c r="G625" s="1">
        <v>350.0</v>
      </c>
      <c r="H625" s="1" t="s">
        <v>52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53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54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56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57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f t="shared" si="1"/>
        <v>258</v>
      </c>
      <c r="AM625" s="1">
        <v>350.0</v>
      </c>
      <c r="AN625" s="1">
        <v>362.0</v>
      </c>
      <c r="AO625" s="1">
        <v>209.0</v>
      </c>
      <c r="AP625" s="2">
        <v>11.0</v>
      </c>
      <c r="AQ625" s="1">
        <v>141.0</v>
      </c>
      <c r="AR625" s="1">
        <v>141.0</v>
      </c>
      <c r="AS625" s="1" t="s">
        <v>3266</v>
      </c>
      <c r="AT625" s="3" t="str">
        <f>HYPERLINK("https://icf.clappia.com/app/GMB253374/submission/UTB61323279/ICF247370-GMB253374-406oa040oheo00000000/SIG-20250702_1134gff1h.jpeg", "SIG-20250702_1134gff1h.jpeg")</f>
        <v>SIG-20250702_1134gff1h.jpeg</v>
      </c>
      <c r="AU625" s="1" t="s">
        <v>3267</v>
      </c>
      <c r="AV625" s="3" t="str">
        <f>HYPERLINK("https://icf.clappia.com/app/GMB253374/submission/UTB61323279/ICF247370-GMB253374-42596b6n793o00000000/SIG-20250702_113511nh3o.jpeg", "SIG-20250702_113511nh3o.jpeg")</f>
        <v>SIG-20250702_113511nh3o.jpeg</v>
      </c>
      <c r="AW625" s="1" t="s">
        <v>3268</v>
      </c>
      <c r="AX625" s="3" t="str">
        <f>HYPERLINK("https://icf.clappia.com/app/GMB253374/submission/UTB61323279/ICF247370-GMB253374-5c2hmmkh3ekg00000000/SIG-20250702_113558g2.jpeg", "SIG-20250702_113558g2.jpeg")</f>
        <v>SIG-20250702_113558g2.jpeg</v>
      </c>
      <c r="AY625" s="3" t="str">
        <f>HYPERLINK("https://www.google.com/maps/place/8.87301%2C-12.042085", "8.87301,-12.042085")</f>
        <v>8.87301,-12.042085</v>
      </c>
    </row>
    <row r="626" ht="15.75" customHeight="1">
      <c r="A626" s="1" t="s">
        <v>3269</v>
      </c>
      <c r="B626" s="2" t="s">
        <v>47</v>
      </c>
      <c r="C626" s="1" t="s">
        <v>3264</v>
      </c>
      <c r="D626" s="1" t="s">
        <v>3264</v>
      </c>
      <c r="E626" s="1" t="s">
        <v>3270</v>
      </c>
      <c r="F626" s="1" t="s">
        <v>51</v>
      </c>
      <c r="G626" s="1">
        <v>100.0</v>
      </c>
      <c r="H626" s="1" t="s">
        <v>52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53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54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56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57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f t="shared" si="1"/>
        <v>56</v>
      </c>
      <c r="AM626" s="1">
        <v>100.0</v>
      </c>
      <c r="AN626" s="1">
        <v>112.0</v>
      </c>
      <c r="AO626" s="1">
        <v>56.0</v>
      </c>
      <c r="AP626" s="2">
        <v>11.0</v>
      </c>
      <c r="AQ626" s="1">
        <v>44.0</v>
      </c>
      <c r="AR626" s="1">
        <v>44.0</v>
      </c>
      <c r="AS626" s="1" t="s">
        <v>3271</v>
      </c>
      <c r="AT626" s="3" t="str">
        <f>HYPERLINK("https://icf.clappia.com/app/GMB253374/submission/NVL61101890/ICF247370-GMB253374-eid33ek466b20000000/SIG-20250702_113645bo7.jpeg", "SIG-20250702_113645bo7.jpeg")</f>
        <v>SIG-20250702_113645bo7.jpeg</v>
      </c>
      <c r="AU626" s="1" t="s">
        <v>3272</v>
      </c>
      <c r="AV626" s="3" t="str">
        <f>HYPERLINK("https://icf.clappia.com/app/GMB253374/submission/NVL61101890/ICF247370-GMB253374-4k897d7209gg00000000/SIG-20250702_1136n0gg7.jpeg", "SIG-20250702_1136n0gg7.jpeg")</f>
        <v>SIG-20250702_1136n0gg7.jpeg</v>
      </c>
      <c r="AW626" s="1" t="s">
        <v>3273</v>
      </c>
      <c r="AX626" s="3" t="str">
        <f>HYPERLINK("https://icf.clappia.com/app/GMB253374/submission/NVL61101890/ICF247370-GMB253374-1m3m1lb10p26e0000000/SIG-20250702_113715ga06.jpeg", "SIG-20250702_113715ga06.jpeg")</f>
        <v>SIG-20250702_113715ga06.jpeg</v>
      </c>
      <c r="AY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3274</v>
      </c>
      <c r="B627" s="2" t="s">
        <v>47</v>
      </c>
      <c r="C627" s="1" t="s">
        <v>3264</v>
      </c>
      <c r="D627" s="1" t="s">
        <v>3264</v>
      </c>
      <c r="E627" s="1" t="s">
        <v>3275</v>
      </c>
      <c r="F627" s="1" t="s">
        <v>51</v>
      </c>
      <c r="G627" s="1">
        <v>307.0</v>
      </c>
      <c r="H627" s="1" t="s">
        <v>52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53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54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56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55</v>
      </c>
      <c r="AF627" s="1" t="s">
        <v>57</v>
      </c>
      <c r="AG627" s="1" t="s">
        <v>55</v>
      </c>
      <c r="AH627" s="1" t="s">
        <v>55</v>
      </c>
      <c r="AI627" s="1" t="s">
        <v>55</v>
      </c>
      <c r="AJ627" s="1" t="s">
        <v>55</v>
      </c>
      <c r="AK627" s="1" t="s">
        <v>55</v>
      </c>
      <c r="AL627" s="1">
        <f t="shared" si="1"/>
        <v>307</v>
      </c>
      <c r="AM627" s="1">
        <v>307.0</v>
      </c>
      <c r="AN627" s="1">
        <v>319.0</v>
      </c>
      <c r="AO627" s="1">
        <v>307.0</v>
      </c>
      <c r="AP627" s="2">
        <v>11.0</v>
      </c>
      <c r="AQ627" s="1">
        <v>0.0</v>
      </c>
      <c r="AR627" s="1">
        <v>0.0</v>
      </c>
      <c r="AS627" s="1" t="s">
        <v>3276</v>
      </c>
      <c r="AT627" s="3" t="str">
        <f>HYPERLINK("https://icf.clappia.com/app/GMB253374/submission/PLL69119130/ICF247370-GMB253374-l0cdel1nj1i00000000/SIG-20250702_1135h2fff.jpeg", "SIG-20250702_1135h2fff.jpeg")</f>
        <v>SIG-20250702_1135h2fff.jpeg</v>
      </c>
      <c r="AU627" s="1" t="s">
        <v>3277</v>
      </c>
      <c r="AV627" s="3" t="str">
        <f>HYPERLINK("https://icf.clappia.com/app/GMB253374/submission/PLL69119130/ICF247370-GMB253374-cd12k4m43nc40000000/SIG-20250702_113612c6ib.jpeg", "SIG-20250702_113612c6ib.jpeg")</f>
        <v>SIG-20250702_113612c6ib.jpeg</v>
      </c>
      <c r="AW627" s="1" t="s">
        <v>55</v>
      </c>
      <c r="AX627" s="3" t="str">
        <f>HYPERLINK("https://icf.clappia.com/app/GMB253374/submission/PLL69119130/ICF247370-GMB253374-2201o1o3eo98i0000000/SIG-20250702_11373bcoi.jpeg", "SIG-20250702_11373bcoi.jpeg")</f>
        <v>SIG-20250702_11373bcoi.jpeg</v>
      </c>
      <c r="AY627" s="3" t="str">
        <f>HYPERLINK("https://www.google.com/maps/place/8.016375%2C-11.7835717", "8.016375,-11.7835717")</f>
        <v>8.016375,-11.7835717</v>
      </c>
    </row>
    <row r="628" ht="15.75" customHeight="1">
      <c r="A628" s="1" t="s">
        <v>3278</v>
      </c>
      <c r="B628" s="2" t="s">
        <v>47</v>
      </c>
      <c r="C628" s="1" t="s">
        <v>3279</v>
      </c>
      <c r="D628" s="1" t="s">
        <v>3279</v>
      </c>
      <c r="E628" s="1" t="s">
        <v>3280</v>
      </c>
      <c r="F628" s="1" t="s">
        <v>51</v>
      </c>
      <c r="G628" s="1">
        <v>190.0</v>
      </c>
      <c r="H628" s="1" t="s">
        <v>52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53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54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56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57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f t="shared" si="1"/>
        <v>243</v>
      </c>
      <c r="AM628" s="1">
        <v>190.0</v>
      </c>
      <c r="AN628" s="1">
        <v>202.0</v>
      </c>
      <c r="AO628" s="1">
        <v>190.0</v>
      </c>
      <c r="AP628" s="2">
        <v>11.0</v>
      </c>
      <c r="AQ628" s="1">
        <v>0.0</v>
      </c>
      <c r="AR628" s="1">
        <v>0.0</v>
      </c>
      <c r="AS628" s="1" t="s">
        <v>993</v>
      </c>
      <c r="AT628" s="3" t="str">
        <f>HYPERLINK("https://icf.clappia.com/app/GMB253374/submission/SDV49897677/ICF247370-GMB253374-5g3a6o3k5c3e00000000/SIG-20250702_111813a5jj.jpeg", "SIG-20250702_111813a5jj.jpeg")</f>
        <v>SIG-20250702_111813a5jj.jpeg</v>
      </c>
      <c r="AU628" s="1" t="s">
        <v>994</v>
      </c>
      <c r="AV628" s="3" t="str">
        <f>HYPERLINK("https://icf.clappia.com/app/GMB253374/submission/SDV49897677/ICF247370-GMB253374-3alh3mf3a5640000000/SIG-20250702_1126106ada.jpeg", "SIG-20250702_1126106ada.jpeg")</f>
        <v>SIG-20250702_1126106ada.jpeg</v>
      </c>
      <c r="AW628" s="1" t="s">
        <v>1282</v>
      </c>
      <c r="AX628" s="3" t="str">
        <f>HYPERLINK("https://icf.clappia.com/app/GMB253374/submission/SDV49897677/ICF247370-GMB253374-68emm12j9dac00000000/SIG-20250702_1127g9p98.jpeg", "SIG-20250702_1127g9p98.jpeg")</f>
        <v>SIG-20250702_1127g9p98.jpeg</v>
      </c>
      <c r="AY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3281</v>
      </c>
      <c r="B629" s="2" t="s">
        <v>47</v>
      </c>
      <c r="C629" s="1" t="s">
        <v>3279</v>
      </c>
      <c r="D629" s="1" t="s">
        <v>3279</v>
      </c>
      <c r="E629" s="1" t="s">
        <v>3282</v>
      </c>
      <c r="F629" s="1" t="s">
        <v>51</v>
      </c>
      <c r="G629" s="1">
        <v>319.0</v>
      </c>
      <c r="H629" s="1" t="s">
        <v>52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53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54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56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57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f t="shared" si="1"/>
        <v>331</v>
      </c>
      <c r="AM629" s="1">
        <v>319.0</v>
      </c>
      <c r="AN629" s="1">
        <v>331.0</v>
      </c>
      <c r="AO629" s="1">
        <v>261.0</v>
      </c>
      <c r="AP629" s="2">
        <v>11.0</v>
      </c>
      <c r="AQ629" s="1">
        <v>58.0</v>
      </c>
      <c r="AR629" s="1">
        <v>58.0</v>
      </c>
      <c r="AS629" s="1" t="s">
        <v>1708</v>
      </c>
      <c r="AT629" s="3" t="str">
        <f>HYPERLINK("https://icf.clappia.com/app/GMB253374/submission/SWW19810761/ICF247370-GMB253374-597pj6jb7emk00000000/SIG-20250702_113271e95.jpeg", "SIG-20250702_113271e95.jpeg")</f>
        <v>SIG-20250702_113271e95.jpeg</v>
      </c>
      <c r="AU629" s="1" t="s">
        <v>1709</v>
      </c>
      <c r="AV629" s="3" t="str">
        <f>HYPERLINK("https://icf.clappia.com/app/GMB253374/submission/SWW19810761/ICF247370-GMB253374-2mc55g6ib1mk00000000/SIG-20250702_113214ibm3.jpeg", "SIG-20250702_113214ibm3.jpeg")</f>
        <v>SIG-20250702_113214ibm3.jpeg</v>
      </c>
      <c r="AW629" s="1" t="s">
        <v>1710</v>
      </c>
      <c r="AX629" s="3" t="str">
        <f>HYPERLINK("https://icf.clappia.com/app/GMB253374/submission/SWW19810761/ICF247370-GMB253374-4io64ec3e3hi00000000/SIG-20250702_1132b0gn9.jpeg", "SIG-20250702_1132b0gn9.jpeg")</f>
        <v>SIG-20250702_1132b0gn9.jpeg</v>
      </c>
      <c r="AY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3283</v>
      </c>
      <c r="B630" s="2" t="s">
        <v>47</v>
      </c>
      <c r="C630" s="1" t="s">
        <v>3284</v>
      </c>
      <c r="D630" s="1" t="s">
        <v>3284</v>
      </c>
      <c r="E630" s="1" t="s">
        <v>3285</v>
      </c>
      <c r="F630" s="1" t="s">
        <v>51</v>
      </c>
      <c r="G630" s="1">
        <v>157.0</v>
      </c>
      <c r="H630" s="1" t="s">
        <v>52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53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54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56</v>
      </c>
      <c r="AA630" s="1" t="s">
        <v>55</v>
      </c>
      <c r="AB630" s="1" t="s">
        <v>55</v>
      </c>
      <c r="AC630" s="1" t="s">
        <v>55</v>
      </c>
      <c r="AD630" s="1" t="s">
        <v>55</v>
      </c>
      <c r="AE630" s="1" t="s">
        <v>55</v>
      </c>
      <c r="AF630" s="1" t="s">
        <v>57</v>
      </c>
      <c r="AG630" s="1" t="s">
        <v>55</v>
      </c>
      <c r="AH630" s="1" t="s">
        <v>55</v>
      </c>
      <c r="AI630" s="1" t="s">
        <v>55</v>
      </c>
      <c r="AJ630" s="1" t="s">
        <v>55</v>
      </c>
      <c r="AK630" s="1" t="s">
        <v>55</v>
      </c>
      <c r="AL630" s="1">
        <f t="shared" si="1"/>
        <v>58</v>
      </c>
      <c r="AM630" s="1">
        <v>157.0</v>
      </c>
      <c r="AN630" s="1">
        <v>169.0</v>
      </c>
      <c r="AO630" s="1">
        <v>58.0</v>
      </c>
      <c r="AP630" s="2">
        <v>11.0</v>
      </c>
      <c r="AQ630" s="1">
        <v>99.0</v>
      </c>
      <c r="AR630" s="1">
        <v>99.0</v>
      </c>
      <c r="AS630" s="1" t="s">
        <v>3286</v>
      </c>
      <c r="AT630" s="3" t="str">
        <f>HYPERLINK("https://icf.clappia.com/app/GMB253374/submission/MJV26976187/ICF247370-GMB253374-52f0fod513og00000000/SIG-20250702_1128l0ddi.jpeg", "SIG-20250702_1128l0ddi.jpeg")</f>
        <v>SIG-20250702_1128l0ddi.jpeg</v>
      </c>
      <c r="AU630" s="1" t="s">
        <v>3287</v>
      </c>
      <c r="AV630" s="3" t="str">
        <f>HYPERLINK("https://icf.clappia.com/app/GMB253374/submission/MJV26976187/ICF247370-GMB253374-44kh6kmmbf4i00000000/SIG-20250702_1129163noi.jpeg", "SIG-20250702_1129163noi.jpeg")</f>
        <v>SIG-20250702_1129163noi.jpeg</v>
      </c>
      <c r="AW630" s="1" t="s">
        <v>3288</v>
      </c>
      <c r="AX630" s="3" t="str">
        <f>HYPERLINK("https://icf.clappia.com/app/GMB253374/submission/MJV26976187/ICF247370-GMB253374-jolbknll9m7a0000000/SIG-20250702_1129f6cjh.jpeg", "SIG-20250702_1129f6cjh.jpeg")</f>
        <v>SIG-20250702_1129f6cjh.jpeg</v>
      </c>
      <c r="AY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3289</v>
      </c>
      <c r="B631" s="2" t="s">
        <v>47</v>
      </c>
      <c r="C631" s="1" t="s">
        <v>3290</v>
      </c>
      <c r="D631" s="1" t="s">
        <v>3290</v>
      </c>
      <c r="E631" s="1" t="s">
        <v>3291</v>
      </c>
      <c r="F631" s="1" t="s">
        <v>51</v>
      </c>
      <c r="G631" s="1">
        <v>179.0</v>
      </c>
      <c r="H631" s="1" t="s">
        <v>52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53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54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56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57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f t="shared" si="1"/>
        <v>179</v>
      </c>
      <c r="AM631" s="1">
        <v>179.0</v>
      </c>
      <c r="AN631" s="1">
        <v>191.0</v>
      </c>
      <c r="AO631" s="1">
        <v>179.0</v>
      </c>
      <c r="AP631" s="2">
        <v>11.0</v>
      </c>
      <c r="AQ631" s="1">
        <v>0.0</v>
      </c>
      <c r="AR631" s="1">
        <v>0.0</v>
      </c>
      <c r="AS631" s="1" t="s">
        <v>3292</v>
      </c>
      <c r="AT631" s="3" t="str">
        <f>HYPERLINK("https://icf.clappia.com/app/GMB253374/submission/JIV92343159/ICF247370-GMB253374-281jnpgjj31ki0000000/SIG-20250702_1124h8aao.jpeg", "SIG-20250702_1124h8aao.jpeg")</f>
        <v>SIG-20250702_1124h8aao.jpeg</v>
      </c>
      <c r="AU631" s="1" t="s">
        <v>3293</v>
      </c>
      <c r="AV631" s="3" t="str">
        <f>HYPERLINK("https://icf.clappia.com/app/GMB253374/submission/JIV92343159/ICF247370-GMB253374-1gn30iijj3fkk0000000/SIG-20250702_1125ndfcn.jpeg", "SIG-20250702_1125ndfcn.jpeg")</f>
        <v>SIG-20250702_1125ndfcn.jpeg</v>
      </c>
      <c r="AW631" s="1" t="s">
        <v>3294</v>
      </c>
      <c r="AX631" s="3" t="str">
        <f>HYPERLINK("https://icf.clappia.com/app/GMB253374/submission/JIV92343159/ICF247370-GMB253374-10p2lb8c8meak0000000/SIG-20250702_112816lfog.jpeg", "SIG-20250702_112816lfog.jpeg")</f>
        <v>SIG-20250702_112816lfog.jpeg</v>
      </c>
      <c r="AY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3295</v>
      </c>
      <c r="B632" s="2" t="s">
        <v>47</v>
      </c>
      <c r="C632" s="1" t="s">
        <v>1113</v>
      </c>
      <c r="D632" s="1" t="s">
        <v>1113</v>
      </c>
      <c r="E632" s="1" t="s">
        <v>3296</v>
      </c>
      <c r="F632" s="1" t="s">
        <v>51</v>
      </c>
      <c r="G632" s="1">
        <v>135.0</v>
      </c>
      <c r="H632" s="1" t="s">
        <v>52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53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54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56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57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f t="shared" si="1"/>
        <v>135</v>
      </c>
      <c r="AM632" s="1">
        <v>135.0</v>
      </c>
      <c r="AN632" s="1">
        <v>147.0</v>
      </c>
      <c r="AO632" s="1">
        <v>133.0</v>
      </c>
      <c r="AP632" s="2">
        <v>11.0</v>
      </c>
      <c r="AQ632" s="1">
        <v>2.0</v>
      </c>
      <c r="AR632" s="1">
        <v>2.0</v>
      </c>
      <c r="AS632" s="1" t="s">
        <v>3297</v>
      </c>
      <c r="AT632" s="3" t="str">
        <f>HYPERLINK("https://icf.clappia.com/app/GMB253374/submission/IDQ04160186/ICF247370-GMB253374-1bjeg18m94iba000000/SIG-20250702_09211a2kai.jpeg", "SIG-20250702_09211a2kai.jpeg")</f>
        <v>SIG-20250702_09211a2kai.jpeg</v>
      </c>
      <c r="AU632" s="1" t="s">
        <v>3298</v>
      </c>
      <c r="AV632" s="3" t="str">
        <f>HYPERLINK("https://icf.clappia.com/app/GMB253374/submission/IDQ04160186/ICF247370-GMB253374-20ad2g6hhabgk0000000/SIG-20250702_09212dk4o.jpeg", "SIG-20250702_09212dk4o.jpeg")</f>
        <v>SIG-20250702_09212dk4o.jpeg</v>
      </c>
      <c r="AW632" s="1" t="s">
        <v>3299</v>
      </c>
      <c r="AX632" s="3" t="str">
        <f>HYPERLINK("https://icf.clappia.com/app/GMB253374/submission/IDQ04160186/ICF247370-GMB253374-50d8bkc8e5og00000000/SIG-20250702_0921bn14e.jpeg", "SIG-20250702_0921bn14e.jpeg")</f>
        <v>SIG-20250702_0921bn14e.jpeg</v>
      </c>
      <c r="AY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3300</v>
      </c>
      <c r="B633" s="2" t="s">
        <v>47</v>
      </c>
      <c r="C633" s="1" t="s">
        <v>1113</v>
      </c>
      <c r="D633" s="1" t="s">
        <v>1113</v>
      </c>
      <c r="E633" s="1" t="s">
        <v>3301</v>
      </c>
      <c r="F633" s="1" t="s">
        <v>51</v>
      </c>
      <c r="G633" s="1">
        <v>300.0</v>
      </c>
      <c r="H633" s="1" t="s">
        <v>52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53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54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56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57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f t="shared" si="1"/>
        <v>313</v>
      </c>
      <c r="AM633" s="1">
        <v>300.0</v>
      </c>
      <c r="AN633" s="1">
        <v>312.0</v>
      </c>
      <c r="AO633" s="1">
        <v>292.0</v>
      </c>
      <c r="AP633" s="2">
        <v>11.0</v>
      </c>
      <c r="AQ633" s="1">
        <v>8.0</v>
      </c>
      <c r="AR633" s="1">
        <v>8.0</v>
      </c>
      <c r="AS633" s="1" t="s">
        <v>1796</v>
      </c>
      <c r="AT633" s="3" t="str">
        <f>HYPERLINK("https://icf.clappia.com/app/GMB253374/submission/AAX02214702/ICF247370-GMB253374-5pj213pija860000000/SIG-20250702_11265m966.jpeg", "SIG-20250702_11265m966.jpeg")</f>
        <v>SIG-20250702_11265m966.jpeg</v>
      </c>
      <c r="AU633" s="1" t="s">
        <v>3302</v>
      </c>
      <c r="AV633" s="3" t="str">
        <f>HYPERLINK("https://icf.clappia.com/app/GMB253374/submission/AAX02214702/ICF247370-GMB253374-544hb9bcb18400000000/SIG-20250702_112730abn.jpeg", "SIG-20250702_112730abn.jpeg")</f>
        <v>SIG-20250702_112730abn.jpeg</v>
      </c>
      <c r="AW633" s="1" t="s">
        <v>3303</v>
      </c>
      <c r="AX633" s="3" t="str">
        <f>HYPERLINK("https://icf.clappia.com/app/GMB253374/submission/AAX02214702/ICF247370-GMB253374-737883ili1im0000000/SIG-20250702_112810odi4.jpeg", "SIG-20250702_112810odi4.jpeg")</f>
        <v>SIG-20250702_112810odi4.jpeg</v>
      </c>
      <c r="AY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3304</v>
      </c>
      <c r="B634" s="2" t="s">
        <v>47</v>
      </c>
      <c r="C634" s="1" t="s">
        <v>3305</v>
      </c>
      <c r="D634" s="1" t="s">
        <v>3306</v>
      </c>
      <c r="E634" s="1" t="s">
        <v>3307</v>
      </c>
      <c r="F634" s="1" t="s">
        <v>51</v>
      </c>
      <c r="G634" s="1">
        <v>208.0</v>
      </c>
      <c r="H634" s="1" t="s">
        <v>52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53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54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56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57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f t="shared" si="1"/>
        <v>238</v>
      </c>
      <c r="AM634" s="1">
        <v>208.0</v>
      </c>
      <c r="AN634" s="1">
        <v>220.0</v>
      </c>
      <c r="AO634" s="1">
        <v>208.0</v>
      </c>
      <c r="AP634" s="2">
        <v>11.0</v>
      </c>
      <c r="AQ634" s="1">
        <v>0.0</v>
      </c>
      <c r="AR634" s="1">
        <v>0.0</v>
      </c>
      <c r="AS634" s="1" t="s">
        <v>3308</v>
      </c>
      <c r="AT634" s="3" t="str">
        <f>HYPERLINK("https://icf.clappia.com/app/GMB253374/submission/HVY09431573/ICF247370-GMB253374-5mlg0bk3d96000000000/SIG-20250702_112215h1le.jpeg", "SIG-20250702_112215h1le.jpeg")</f>
        <v>SIG-20250702_112215h1le.jpeg</v>
      </c>
      <c r="AU634" s="1" t="s">
        <v>3309</v>
      </c>
      <c r="AV634" s="3" t="str">
        <f>HYPERLINK("https://icf.clappia.com/app/GMB253374/submission/HVY09431573/ICF247370-GMB253374-44p1iig7e9600000000/SIG-20250702_1123167fm3.jpeg", "SIG-20250702_1123167fm3.jpeg")</f>
        <v>SIG-20250702_1123167fm3.jpeg</v>
      </c>
      <c r="AW634" s="1" t="s">
        <v>3310</v>
      </c>
      <c r="AX634" s="3" t="str">
        <f>HYPERLINK("https://icf.clappia.com/app/GMB253374/submission/HVY09431573/ICF247370-GMB253374-5004ng8h9b4800000000/SIG-20250702_11241701el.jpeg", "SIG-20250702_11241701el.jpeg")</f>
        <v>SIG-20250702_11241701el.jpeg</v>
      </c>
      <c r="AY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3311</v>
      </c>
      <c r="B635" s="2" t="s">
        <v>47</v>
      </c>
      <c r="C635" s="1" t="s">
        <v>3312</v>
      </c>
      <c r="D635" s="1" t="s">
        <v>3312</v>
      </c>
      <c r="E635" s="1" t="s">
        <v>3313</v>
      </c>
      <c r="F635" s="1" t="s">
        <v>51</v>
      </c>
      <c r="G635" s="1">
        <v>150.0</v>
      </c>
      <c r="H635" s="1" t="s">
        <v>52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53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54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56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57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f t="shared" si="1"/>
        <v>163</v>
      </c>
      <c r="AM635" s="1">
        <v>150.0</v>
      </c>
      <c r="AN635" s="1">
        <v>162.0</v>
      </c>
      <c r="AO635" s="1">
        <v>141.0</v>
      </c>
      <c r="AP635" s="2">
        <v>11.0</v>
      </c>
      <c r="AQ635" s="1">
        <v>9.0</v>
      </c>
      <c r="AR635" s="1">
        <v>9.0</v>
      </c>
      <c r="AS635" s="1" t="s">
        <v>1080</v>
      </c>
      <c r="AT635" s="3" t="str">
        <f>HYPERLINK("https://icf.clappia.com/app/GMB253374/submission/AHT16274299/ICF247370-GMB253374-1d04k8500ab8k0000000/SIG-20250702_1124n498e.jpeg", "SIG-20250702_1124n498e.jpeg")</f>
        <v>SIG-20250702_1124n498e.jpeg</v>
      </c>
      <c r="AU635" s="1" t="s">
        <v>1298</v>
      </c>
      <c r="AV635" s="3" t="str">
        <f>HYPERLINK("https://icf.clappia.com/app/GMB253374/submission/AHT16274299/ICF247370-GMB253374-4dmp4k0h8h9k00000000/SIG-20250702_1125do2ha.jpeg", "SIG-20250702_1125do2ha.jpeg")</f>
        <v>SIG-20250702_1125do2ha.jpeg</v>
      </c>
      <c r="AW635" s="1" t="s">
        <v>1082</v>
      </c>
      <c r="AX635" s="3" t="str">
        <f>HYPERLINK("https://icf.clappia.com/app/GMB253374/submission/AHT16274299/ICF247370-GMB253374-1887pkhlha4o00000000/SIG-20250702_112519cgp8.jpeg", "SIG-20250702_112519cgp8.jpeg")</f>
        <v>SIG-20250702_112519cgp8.jpeg</v>
      </c>
      <c r="AY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3314</v>
      </c>
      <c r="B636" s="2" t="s">
        <v>47</v>
      </c>
      <c r="C636" s="1" t="s">
        <v>3305</v>
      </c>
      <c r="D636" s="1" t="s">
        <v>3305</v>
      </c>
      <c r="E636" s="1" t="s">
        <v>3315</v>
      </c>
      <c r="F636" s="1" t="s">
        <v>51</v>
      </c>
      <c r="G636" s="1">
        <v>150.0</v>
      </c>
      <c r="H636" s="1" t="s">
        <v>52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53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54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56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57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f t="shared" si="1"/>
        <v>126</v>
      </c>
      <c r="AM636" s="1">
        <v>150.0</v>
      </c>
      <c r="AN636" s="1">
        <v>162.0</v>
      </c>
      <c r="AO636" s="1">
        <v>126.0</v>
      </c>
      <c r="AP636" s="2">
        <v>11.0</v>
      </c>
      <c r="AQ636" s="1">
        <v>24.0</v>
      </c>
      <c r="AR636" s="1">
        <v>24.0</v>
      </c>
      <c r="AS636" s="1" t="s">
        <v>1324</v>
      </c>
      <c r="AT636" s="3" t="str">
        <f>HYPERLINK("https://icf.clappia.com/app/GMB253374/submission/PMF18346301/ICF247370-GMB253374-38jhoh4fldk800000000/SIG-20250702_111618jd8f.jpeg", "SIG-20250702_111618jd8f.jpeg")</f>
        <v>SIG-20250702_111618jd8f.jpeg</v>
      </c>
      <c r="AU636" s="1" t="s">
        <v>1325</v>
      </c>
      <c r="AV636" s="3" t="str">
        <f>HYPERLINK("https://icf.clappia.com/app/GMB253374/submission/PMF18346301/ICF247370-GMB253374-5bdbd69me1mi00000000/SIG-20250702_11177gg9a.jpeg", "SIG-20250702_11177gg9a.jpeg")</f>
        <v>SIG-20250702_11177gg9a.jpeg</v>
      </c>
      <c r="AW636" s="1" t="s">
        <v>1326</v>
      </c>
      <c r="AX636" s="3" t="str">
        <f>HYPERLINK("https://icf.clappia.com/app/GMB253374/submission/PMF18346301/ICF247370-GMB253374-2hfngmgp5oh200000000/SIG-20250702_1118176ii1.jpeg", "SIG-20250702_1118176ii1.jpeg")</f>
        <v>SIG-20250702_1118176ii1.jpeg</v>
      </c>
      <c r="AY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3316</v>
      </c>
      <c r="B637" s="2" t="s">
        <v>47</v>
      </c>
      <c r="C637" s="1" t="s">
        <v>3305</v>
      </c>
      <c r="D637" s="1" t="s">
        <v>3305</v>
      </c>
      <c r="E637" s="1" t="s">
        <v>3317</v>
      </c>
      <c r="F637" s="1" t="s">
        <v>51</v>
      </c>
      <c r="G637" s="1">
        <v>261.0</v>
      </c>
      <c r="H637" s="1" t="s">
        <v>52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53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54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56</v>
      </c>
      <c r="AA637" s="1" t="s">
        <v>55</v>
      </c>
      <c r="AB637" s="1" t="s">
        <v>55</v>
      </c>
      <c r="AC637" s="1" t="s">
        <v>55</v>
      </c>
      <c r="AD637" s="1" t="s">
        <v>55</v>
      </c>
      <c r="AE637" s="1" t="s">
        <v>55</v>
      </c>
      <c r="AF637" s="1" t="s">
        <v>57</v>
      </c>
      <c r="AG637" s="1" t="s">
        <v>55</v>
      </c>
      <c r="AH637" s="1" t="s">
        <v>55</v>
      </c>
      <c r="AI637" s="1" t="s">
        <v>55</v>
      </c>
      <c r="AJ637" s="1" t="s">
        <v>55</v>
      </c>
      <c r="AK637" s="1" t="s">
        <v>55</v>
      </c>
      <c r="AL637" s="1">
        <f t="shared" si="1"/>
        <v>187</v>
      </c>
      <c r="AM637" s="1">
        <v>261.0</v>
      </c>
      <c r="AN637" s="1">
        <v>273.0</v>
      </c>
      <c r="AO637" s="1">
        <v>180.0</v>
      </c>
      <c r="AP637" s="2">
        <v>11.0</v>
      </c>
      <c r="AQ637" s="1">
        <v>81.0</v>
      </c>
      <c r="AR637" s="1">
        <v>81.0</v>
      </c>
      <c r="AS637" s="1" t="s">
        <v>3318</v>
      </c>
      <c r="AT637" s="3" t="str">
        <f>HYPERLINK("https://icf.clappia.com/app/GMB253374/submission/AME64860609/ICF247370-GMB253374-2l0ekfj11l0c0000000/SIG-20250702_1120135d5b.jpeg", "SIG-20250702_1120135d5b.jpeg")</f>
        <v>SIG-20250702_1120135d5b.jpeg</v>
      </c>
      <c r="AU637" s="1" t="s">
        <v>3319</v>
      </c>
      <c r="AV637" s="3" t="str">
        <f>HYPERLINK("https://icf.clappia.com/app/GMB253374/submission/AME64860609/ICF247370-GMB253374-3lgnhagielaa00000000/SIG-20250702_1121178ijp.jpeg", "SIG-20250702_1121178ijp.jpeg")</f>
        <v>SIG-20250702_1121178ijp.jpeg</v>
      </c>
      <c r="AW637" s="1" t="s">
        <v>3320</v>
      </c>
      <c r="AX637" s="3" t="str">
        <f>HYPERLINK("https://icf.clappia.com/app/GMB253374/submission/AME64860609/ICF247370-GMB253374-4mcdk8mpfab800000000/SIG-20250702_1122k02j7.jpeg", "SIG-20250702_1122k02j7.jpeg")</f>
        <v>SIG-20250702_1122k02j7.jpeg</v>
      </c>
      <c r="AY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3321</v>
      </c>
      <c r="B638" s="2" t="s">
        <v>47</v>
      </c>
      <c r="C638" s="1" t="s">
        <v>3305</v>
      </c>
      <c r="D638" s="1" t="s">
        <v>3305</v>
      </c>
      <c r="E638" s="1" t="s">
        <v>3322</v>
      </c>
      <c r="F638" s="1" t="s">
        <v>72</v>
      </c>
      <c r="G638" s="1">
        <v>45.0</v>
      </c>
      <c r="H638" s="1" t="s">
        <v>52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53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54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56</v>
      </c>
      <c r="AA638" s="1" t="s">
        <v>55</v>
      </c>
      <c r="AB638" s="1" t="s">
        <v>55</v>
      </c>
      <c r="AC638" s="1" t="s">
        <v>55</v>
      </c>
      <c r="AD638" s="1" t="s">
        <v>55</v>
      </c>
      <c r="AE638" s="1" t="s">
        <v>55</v>
      </c>
      <c r="AF638" s="1" t="s">
        <v>57</v>
      </c>
      <c r="AG638" s="1" t="s">
        <v>55</v>
      </c>
      <c r="AH638" s="1" t="s">
        <v>55</v>
      </c>
      <c r="AI638" s="1" t="s">
        <v>55</v>
      </c>
      <c r="AJ638" s="1" t="s">
        <v>55</v>
      </c>
      <c r="AK638" s="1" t="s">
        <v>55</v>
      </c>
      <c r="AL638" s="1">
        <f t="shared" si="1"/>
        <v>31</v>
      </c>
      <c r="AM638" s="1">
        <v>45.0</v>
      </c>
      <c r="AN638" s="1">
        <v>57.0</v>
      </c>
      <c r="AO638" s="1">
        <v>25.0</v>
      </c>
      <c r="AP638" s="2">
        <v>11.0</v>
      </c>
      <c r="AQ638" s="1">
        <v>20.0</v>
      </c>
      <c r="AR638" s="1">
        <v>20.0</v>
      </c>
      <c r="AS638" s="1" t="s">
        <v>2251</v>
      </c>
      <c r="AT638" s="3" t="str">
        <f>HYPERLINK("https://icf.clappia.com/app/GMB253374/submission/YDN05066794/ICF247370-GMB253374-35pjgecm224i00000000/SIG-20250702_11208k2d4.jpeg", "SIG-20250702_11208k2d4.jpeg")</f>
        <v>SIG-20250702_11208k2d4.jpeg</v>
      </c>
      <c r="AU638" s="1" t="s">
        <v>2252</v>
      </c>
      <c r="AV638" s="3" t="str">
        <f>HYPERLINK("https://icf.clappia.com/app/GMB253374/submission/YDN05066794/ICF247370-GMB253374-550mjblfbm0a00000000/SIG-20250702_112319ceh4.jpeg", "SIG-20250702_112319ceh4.jpeg")</f>
        <v>SIG-20250702_112319ceh4.jpeg</v>
      </c>
      <c r="AW638" s="1" t="s">
        <v>2253</v>
      </c>
      <c r="AX638" s="3" t="str">
        <f>HYPERLINK("https://icf.clappia.com/app/GMB253374/submission/YDN05066794/ICF247370-GMB253374-23fo888lm9lok0000000/SIG-20250702_1124dc0b0.jpeg", "SIG-20250702_1124dc0b0.jpeg")</f>
        <v>SIG-20250702_1124dc0b0.jpeg</v>
      </c>
      <c r="AY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3323</v>
      </c>
      <c r="B639" s="2" t="s">
        <v>47</v>
      </c>
      <c r="C639" s="1" t="s">
        <v>3324</v>
      </c>
      <c r="D639" s="1" t="s">
        <v>3324</v>
      </c>
      <c r="E639" s="1" t="s">
        <v>3325</v>
      </c>
      <c r="F639" s="1" t="s">
        <v>72</v>
      </c>
      <c r="G639" s="1">
        <v>157.0</v>
      </c>
      <c r="H639" s="1" t="s">
        <v>52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53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54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56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57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f t="shared" si="1"/>
        <v>187</v>
      </c>
      <c r="AM639" s="1">
        <v>157.0</v>
      </c>
      <c r="AN639" s="1">
        <v>169.0</v>
      </c>
      <c r="AO639" s="1">
        <v>157.0</v>
      </c>
      <c r="AP639" s="2">
        <v>11.0</v>
      </c>
      <c r="AQ639" s="1">
        <v>0.0</v>
      </c>
      <c r="AR639" s="1">
        <v>0.0</v>
      </c>
      <c r="AS639" s="1" t="s">
        <v>2263</v>
      </c>
      <c r="AT639" s="3" t="str">
        <f>HYPERLINK("https://icf.clappia.com/app/GMB253374/submission/QEY38221200/ICF247370-GMB253374-3d6flenc2f580000000/SIG-20250702_1122m7gf2.jpeg", "SIG-20250702_1122m7gf2.jpeg")</f>
        <v>SIG-20250702_1122m7gf2.jpeg</v>
      </c>
      <c r="AU639" s="1" t="s">
        <v>3326</v>
      </c>
      <c r="AV639" s="3" t="str">
        <f>HYPERLINK("https://icf.clappia.com/app/GMB253374/submission/QEY38221200/ICF247370-GMB253374-2pg1i5kd5d5m00000000/SIG-20250702_1123ebpn7.jpeg", "SIG-20250702_1123ebpn7.jpeg")</f>
        <v>SIG-20250702_1123ebpn7.jpeg</v>
      </c>
      <c r="AW639" s="1" t="s">
        <v>2264</v>
      </c>
      <c r="AX639" s="3" t="str">
        <f>HYPERLINK("https://icf.clappia.com/app/GMB253374/submission/QEY38221200/ICF247370-GMB253374-2fhm00n7d50g00000000/SIG-20250702_1123d62e.jpeg", "SIG-20250702_1123d62e.jpeg")</f>
        <v>SIG-20250702_1123d62e.jpeg</v>
      </c>
      <c r="AY639" s="3" t="str">
        <f>HYPERLINK("https://www.google.com/maps/place/8.8862833%2C-12.036135", "8.8862833,-12.036135")</f>
        <v>8.8862833,-12.036135</v>
      </c>
    </row>
    <row r="640" ht="15.75" customHeight="1">
      <c r="A640" s="1" t="s">
        <v>3327</v>
      </c>
      <c r="B640" s="2" t="s">
        <v>47</v>
      </c>
      <c r="C640" s="1" t="s">
        <v>3328</v>
      </c>
      <c r="D640" s="1" t="s">
        <v>3328</v>
      </c>
      <c r="E640" s="1" t="s">
        <v>3329</v>
      </c>
      <c r="F640" s="1" t="s">
        <v>51</v>
      </c>
      <c r="G640" s="1">
        <v>110.0</v>
      </c>
      <c r="H640" s="1" t="s">
        <v>52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53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54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56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57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f t="shared" si="1"/>
        <v>129</v>
      </c>
      <c r="AM640" s="1">
        <v>110.0</v>
      </c>
      <c r="AN640" s="1">
        <v>122.0</v>
      </c>
      <c r="AO640" s="1">
        <v>101.0</v>
      </c>
      <c r="AP640" s="2">
        <v>11.0</v>
      </c>
      <c r="AQ640" s="1">
        <v>9.0</v>
      </c>
      <c r="AR640" s="1">
        <v>9.0</v>
      </c>
      <c r="AS640" s="1" t="s">
        <v>1252</v>
      </c>
      <c r="AT640" s="3" t="str">
        <f>HYPERLINK("https://icf.clappia.com/app/GMB253374/submission/AVO82692431/ICF247370-GMB253374-49ohd1e1l16800000000/SIG-20250702_110813mhef.jpeg", "SIG-20250702_110813mhef.jpeg")</f>
        <v>SIG-20250702_110813mhef.jpeg</v>
      </c>
      <c r="AU640" s="1" t="s">
        <v>1253</v>
      </c>
      <c r="AV640" s="3" t="str">
        <f>HYPERLINK("https://icf.clappia.com/app/GMB253374/submission/AVO82692431/ICF247370-GMB253374-4471imjd5f9600000000/SIG-20250702_1111fiphb.jpeg", "SIG-20250702_1111fiphb.jpeg")</f>
        <v>SIG-20250702_1111fiphb.jpeg</v>
      </c>
      <c r="AW640" s="1" t="s">
        <v>1254</v>
      </c>
      <c r="AX640" s="3" t="str">
        <f>HYPERLINK("https://icf.clappia.com/app/GMB253374/submission/AVO82692431/ICF247370-GMB253374-63l9oknefhe600000000/SIG-20250702_111210adf0.jpeg", "SIG-20250702_111210adf0.jpeg")</f>
        <v>SIG-20250702_111210adf0.jpeg</v>
      </c>
      <c r="AY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3330</v>
      </c>
      <c r="B641" s="2" t="s">
        <v>47</v>
      </c>
      <c r="C641" s="1" t="s">
        <v>3331</v>
      </c>
      <c r="D641" s="1" t="s">
        <v>3331</v>
      </c>
      <c r="E641" s="1" t="s">
        <v>3332</v>
      </c>
      <c r="F641" s="1" t="s">
        <v>51</v>
      </c>
      <c r="G641" s="1">
        <v>150.0</v>
      </c>
      <c r="H641" s="1" t="s">
        <v>52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53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54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56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57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f t="shared" si="1"/>
        <v>146</v>
      </c>
      <c r="AM641" s="1">
        <v>150.0</v>
      </c>
      <c r="AN641" s="1">
        <v>162.0</v>
      </c>
      <c r="AO641" s="1">
        <v>125.0</v>
      </c>
      <c r="AP641" s="2">
        <v>11.0</v>
      </c>
      <c r="AQ641" s="1">
        <v>25.0</v>
      </c>
      <c r="AR641" s="1">
        <v>25.0</v>
      </c>
      <c r="AS641" s="1" t="s">
        <v>3333</v>
      </c>
      <c r="AT641" s="3" t="str">
        <f>HYPERLINK("https://icf.clappia.com/app/GMB253374/submission/NKP61334291/ICF247370-GMB253374-1igbemg8md19g000000/SIG-20250702_1102g1475.jpeg", "SIG-20250702_1102g1475.jpeg")</f>
        <v>SIG-20250702_1102g1475.jpeg</v>
      </c>
      <c r="AU641" s="1" t="s">
        <v>3334</v>
      </c>
      <c r="AV641" s="3" t="str">
        <f>HYPERLINK("https://icf.clappia.com/app/GMB253374/submission/NKP61334291/ICF247370-GMB253374-4johl9ilh06a00000000/SIG-20250702_110513cjf0.jpeg", "SIG-20250702_110513cjf0.jpeg")</f>
        <v>SIG-20250702_110513cjf0.jpeg</v>
      </c>
      <c r="AW641" s="1" t="s">
        <v>3335</v>
      </c>
      <c r="AX641" s="3" t="str">
        <f>HYPERLINK("https://icf.clappia.com/app/GMB253374/submission/NKP61334291/ICF247370-GMB253374-1jmll5e5kh8240000000/SIG-20250702_11058jn6.jpeg", "SIG-20250702_11058jn6.jpeg")</f>
        <v>SIG-20250702_11058jn6.jpeg</v>
      </c>
      <c r="AY641" s="3" t="str">
        <f>HYPERLINK("https://www.google.com/maps/place/8.11919%2C-11.5069017", "8.11919,-11.5069017")</f>
        <v>8.11919,-11.5069017</v>
      </c>
    </row>
    <row r="642" ht="15.75" customHeight="1">
      <c r="A642" s="1" t="s">
        <v>3336</v>
      </c>
      <c r="B642" s="2" t="s">
        <v>47</v>
      </c>
      <c r="C642" s="1" t="s">
        <v>3337</v>
      </c>
      <c r="D642" s="1" t="s">
        <v>3337</v>
      </c>
      <c r="E642" s="1" t="s">
        <v>3338</v>
      </c>
      <c r="F642" s="1" t="s">
        <v>72</v>
      </c>
      <c r="G642" s="1">
        <v>45.0</v>
      </c>
      <c r="H642" s="1" t="s">
        <v>52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53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54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56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57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f t="shared" si="1"/>
        <v>45</v>
      </c>
      <c r="AM642" s="1">
        <v>45.0</v>
      </c>
      <c r="AN642" s="1">
        <v>57.0</v>
      </c>
      <c r="AO642" s="1">
        <v>45.0</v>
      </c>
      <c r="AP642" s="2">
        <v>11.0</v>
      </c>
      <c r="AQ642" s="1">
        <v>0.0</v>
      </c>
      <c r="AR642" s="1">
        <v>0.0</v>
      </c>
      <c r="AS642" s="1" t="s">
        <v>3339</v>
      </c>
      <c r="AT642" s="3" t="str">
        <f>HYPERLINK("https://icf.clappia.com/app/GMB253374/submission/FMX52784963/ICF247370-GMB253374-2e5fl1i3kb2e00000000/SIG-20250702_110581im7.jpeg", "SIG-20250702_110581im7.jpeg")</f>
        <v>SIG-20250702_110581im7.jpeg</v>
      </c>
      <c r="AU642" s="1" t="s">
        <v>1162</v>
      </c>
      <c r="AV642" s="3" t="str">
        <f>HYPERLINK("https://icf.clappia.com/app/GMB253374/submission/FMX52784963/ICF247370-GMB253374-489g093lc4do00000000/SIG-20250702_1105jadll.jpeg", "SIG-20250702_1105jadll.jpeg")</f>
        <v>SIG-20250702_1105jadll.jpeg</v>
      </c>
      <c r="AW642" s="1" t="s">
        <v>3340</v>
      </c>
      <c r="AX642" s="3" t="str">
        <f>HYPERLINK("https://icf.clappia.com/app/GMB253374/submission/FMX52784963/ICF247370-GMB253374-69k2ng0mb9gc00000000/SIG-20250702_1106aom8i.jpeg", "SIG-20250702_1106aom8i.jpeg")</f>
        <v>SIG-20250702_1106aom8i.jpeg</v>
      </c>
      <c r="AY642" s="3" t="str">
        <f>HYPERLINK("https://www.google.com/maps/place/8.8800167%2C-12.070975", "8.8800167,-12.070975")</f>
        <v>8.8800167,-12.070975</v>
      </c>
    </row>
    <row r="643" ht="15.75" customHeight="1">
      <c r="A643" s="1" t="s">
        <v>3341</v>
      </c>
      <c r="B643" s="2" t="s">
        <v>47</v>
      </c>
      <c r="C643" s="1" t="s">
        <v>3337</v>
      </c>
      <c r="D643" s="1" t="s">
        <v>3337</v>
      </c>
      <c r="E643" s="1" t="s">
        <v>3342</v>
      </c>
      <c r="F643" s="1" t="s">
        <v>72</v>
      </c>
      <c r="G643" s="1">
        <v>100.0</v>
      </c>
      <c r="H643" s="1" t="s">
        <v>52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53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54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56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57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f t="shared" si="1"/>
        <v>100</v>
      </c>
      <c r="AM643" s="1">
        <v>100.0</v>
      </c>
      <c r="AN643" s="1">
        <v>112.0</v>
      </c>
      <c r="AO643" s="1">
        <v>100.0</v>
      </c>
      <c r="AP643" s="2">
        <v>11.0</v>
      </c>
      <c r="AQ643" s="1">
        <v>0.0</v>
      </c>
      <c r="AR643" s="1">
        <v>0.0</v>
      </c>
      <c r="AS643" s="1" t="s">
        <v>227</v>
      </c>
      <c r="AT643" s="3" t="str">
        <f>HYPERLINK("https://icf.clappia.com/app/GMB253374/submission/JTX54072675/ICF247370-GMB253374-58km80dgcd6e00000000/SIG-20250702_11136fbbf.jpeg", "SIG-20250702_11136fbbf.jpeg")</f>
        <v>SIG-20250702_11136fbbf.jpeg</v>
      </c>
      <c r="AU643" s="1" t="s">
        <v>3343</v>
      </c>
      <c r="AV643" s="3" t="str">
        <f>HYPERLINK("https://icf.clappia.com/app/GMB253374/submission/JTX54072675/ICF247370-GMB253374-2plo7i3ec16600000000/SIG-20250702_1114j9dmd.jpeg", "SIG-20250702_1114j9dmd.jpeg")</f>
        <v>SIG-20250702_1114j9dmd.jpeg</v>
      </c>
      <c r="AW643" s="1" t="s">
        <v>3344</v>
      </c>
      <c r="AX643" s="3" t="str">
        <f>HYPERLINK("https://icf.clappia.com/app/GMB253374/submission/JTX54072675/ICF247370-GMB253374-4h48i9mbk8ce00000000/SIG-20250702_11168o1oh.jpeg", "SIG-20250702_11168o1oh.jpeg")</f>
        <v>SIG-20250702_11168o1oh.jpeg</v>
      </c>
      <c r="AY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3345</v>
      </c>
      <c r="B644" s="2" t="s">
        <v>47</v>
      </c>
      <c r="C644" s="1" t="s">
        <v>3346</v>
      </c>
      <c r="D644" s="1" t="s">
        <v>3346</v>
      </c>
      <c r="E644" s="1" t="s">
        <v>3347</v>
      </c>
      <c r="F644" s="1" t="s">
        <v>51</v>
      </c>
      <c r="G644" s="1">
        <v>175.0</v>
      </c>
      <c r="H644" s="1" t="s">
        <v>52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53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54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56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57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f t="shared" si="1"/>
        <v>175</v>
      </c>
      <c r="AM644" s="1">
        <v>175.0</v>
      </c>
      <c r="AN644" s="1">
        <v>187.0</v>
      </c>
      <c r="AO644" s="1">
        <v>166.0</v>
      </c>
      <c r="AP644" s="2">
        <v>11.0</v>
      </c>
      <c r="AQ644" s="1">
        <v>9.0</v>
      </c>
      <c r="AR644" s="1">
        <v>9.0</v>
      </c>
      <c r="AS644" s="1" t="s">
        <v>3348</v>
      </c>
      <c r="AT644" s="3" t="str">
        <f>HYPERLINK("https://icf.clappia.com/app/GMB253374/submission/USN32066802/ICF247370-GMB253374-4e7hk5khl0nk00000000/SIG-20250701_1724p8d0d.jpeg", "SIG-20250701_1724p8d0d.jpeg")</f>
        <v>SIG-20250701_1724p8d0d.jpeg</v>
      </c>
      <c r="AU644" s="1" t="s">
        <v>3349</v>
      </c>
      <c r="AV644" s="3" t="str">
        <f>HYPERLINK("https://icf.clappia.com/app/GMB253374/submission/USN32066802/ICF247370-GMB253374-4gcl423e03bk00000000/SIG-20250701_17243lgjc.jpeg", "SIG-20250701_17243lgjc.jpeg")</f>
        <v>SIG-20250701_17243lgjc.jpeg</v>
      </c>
      <c r="AW644" s="1" t="s">
        <v>3350</v>
      </c>
      <c r="AX644" s="3" t="str">
        <f>HYPERLINK("https://icf.clappia.com/app/GMB253374/submission/USN32066802/ICF247370-GMB253374-440e8lbggmpi00000000/SIG-20250701_172510efhc.jpeg", "SIG-20250701_172510efhc.jpeg")</f>
        <v>SIG-20250701_172510efhc.jpeg</v>
      </c>
      <c r="AY644" s="3" t="str">
        <f>HYPERLINK("https://www.google.com/maps/place/7.6434283%2C-11.79356", "7.6434283,-11.79356")</f>
        <v>7.6434283,-11.79356</v>
      </c>
    </row>
    <row r="645" ht="15.75" customHeight="1">
      <c r="A645" s="1" t="s">
        <v>3351</v>
      </c>
      <c r="B645" s="2" t="s">
        <v>47</v>
      </c>
      <c r="C645" s="1" t="s">
        <v>1384</v>
      </c>
      <c r="D645" s="1" t="s">
        <v>1384</v>
      </c>
      <c r="E645" s="1" t="s">
        <v>3352</v>
      </c>
      <c r="F645" s="1" t="s">
        <v>51</v>
      </c>
      <c r="G645" s="1">
        <v>77.0</v>
      </c>
      <c r="H645" s="1" t="s">
        <v>52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53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54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56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57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f t="shared" si="1"/>
        <v>50</v>
      </c>
      <c r="AM645" s="1">
        <v>77.0</v>
      </c>
      <c r="AN645" s="1">
        <v>89.0</v>
      </c>
      <c r="AO645" s="1">
        <v>50.0</v>
      </c>
      <c r="AP645" s="2">
        <v>11.0</v>
      </c>
      <c r="AQ645" s="1">
        <v>27.0</v>
      </c>
      <c r="AR645" s="1">
        <v>27.0</v>
      </c>
      <c r="AS645" s="1" t="s">
        <v>1696</v>
      </c>
      <c r="AT645" s="3" t="str">
        <f>HYPERLINK("https://icf.clappia.com/app/GMB253374/submission/SND03990192/ICF247370-GMB253374-60b36pd43f5i00000000/SIG-20250701_124919n7d1.jpeg", "SIG-20250701_124919n7d1.jpeg")</f>
        <v>SIG-20250701_124919n7d1.jpeg</v>
      </c>
      <c r="AU645" s="1" t="s">
        <v>1697</v>
      </c>
      <c r="AV645" s="3" t="str">
        <f>HYPERLINK("https://icf.clappia.com/app/GMB253374/submission/SND03990192/ICF247370-GMB253374-3e32o92b06ig00000000/SIG-20250701_1248nae61.jpeg", "SIG-20250701_1248nae61.jpeg")</f>
        <v>SIG-20250701_1248nae61.jpeg</v>
      </c>
      <c r="AW645" s="1" t="s">
        <v>1698</v>
      </c>
      <c r="AX645" s="3" t="str">
        <f>HYPERLINK("https://icf.clappia.com/app/GMB253374/submission/SND03990192/ICF247370-GMB253374-3g77gijk64jk00000000/SIG-20250701_12476inhm.jpeg", "SIG-20250701_12476inhm.jpeg")</f>
        <v>SIG-20250701_12476inhm.jpeg</v>
      </c>
      <c r="AY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3353</v>
      </c>
      <c r="B646" s="2" t="s">
        <v>47</v>
      </c>
      <c r="C646" s="1" t="s">
        <v>3354</v>
      </c>
      <c r="D646" s="1" t="s">
        <v>3354</v>
      </c>
      <c r="E646" s="1" t="s">
        <v>3355</v>
      </c>
      <c r="F646" s="1" t="s">
        <v>51</v>
      </c>
      <c r="G646" s="1">
        <v>188.0</v>
      </c>
      <c r="H646" s="1" t="s">
        <v>52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53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54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56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57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f t="shared" si="1"/>
        <v>188</v>
      </c>
      <c r="AM646" s="1">
        <v>188.0</v>
      </c>
      <c r="AN646" s="1">
        <v>200.0</v>
      </c>
      <c r="AO646" s="1">
        <v>188.0</v>
      </c>
      <c r="AP646" s="2">
        <v>11.0</v>
      </c>
      <c r="AQ646" s="1">
        <v>0.0</v>
      </c>
      <c r="AR646" s="1">
        <v>0.0</v>
      </c>
      <c r="AS646" s="1" t="s">
        <v>2316</v>
      </c>
      <c r="AT646" s="3" t="str">
        <f>HYPERLINK("https://icf.clappia.com/app/GMB253374/submission/OUV49164564/ICF247370-GMB253374-2njoiebnb51a00000000/SIG-20250702_1113664ca.jpeg", "SIG-20250702_1113664ca.jpeg")</f>
        <v>SIG-20250702_1113664ca.jpeg</v>
      </c>
      <c r="AU646" s="1" t="s">
        <v>2317</v>
      </c>
      <c r="AV646" s="3" t="str">
        <f>HYPERLINK("https://icf.clappia.com/app/GMB253374/submission/OUV49164564/ICF247370-GMB253374-eohj8lpg891i0000000/SIG-20250702_111212n8jj.jpeg", "SIG-20250702_111212n8jj.jpeg")</f>
        <v>SIG-20250702_111212n8jj.jpeg</v>
      </c>
      <c r="AW646" s="1" t="s">
        <v>2318</v>
      </c>
      <c r="AX646" s="3" t="str">
        <f>HYPERLINK("https://icf.clappia.com/app/GMB253374/submission/OUV49164564/ICF247370-GMB253374-45m21l8paml200000000/SIG-20250702_111318d1g7.jpeg", "SIG-20250702_111318d1g7.jpeg")</f>
        <v>SIG-20250702_111318d1g7.jpeg</v>
      </c>
      <c r="AY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3356</v>
      </c>
      <c r="B647" s="2" t="s">
        <v>47</v>
      </c>
      <c r="C647" s="1" t="s">
        <v>3357</v>
      </c>
      <c r="D647" s="1" t="s">
        <v>3357</v>
      </c>
      <c r="E647" s="1" t="s">
        <v>3358</v>
      </c>
      <c r="F647" s="1" t="s">
        <v>72</v>
      </c>
      <c r="G647" s="1">
        <v>153.0</v>
      </c>
      <c r="H647" s="1" t="s">
        <v>52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53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54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56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57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f t="shared" si="1"/>
        <v>153</v>
      </c>
      <c r="AM647" s="1">
        <v>153.0</v>
      </c>
      <c r="AN647" s="1">
        <v>165.0</v>
      </c>
      <c r="AO647" s="1">
        <v>153.0</v>
      </c>
      <c r="AP647" s="2">
        <v>11.0</v>
      </c>
      <c r="AQ647" s="1">
        <v>0.0</v>
      </c>
      <c r="AR647" s="1">
        <v>0.0</v>
      </c>
      <c r="AS647" s="1" t="s">
        <v>3359</v>
      </c>
      <c r="AT647" s="3" t="str">
        <f>HYPERLINK("https://icf.clappia.com/app/GMB253374/submission/TMJ07036918/ICF247370-GMB253374-9ee140316l1a0000000/SIG-20250702_111115bjg4.jpeg", "SIG-20250702_111115bjg4.jpeg")</f>
        <v>SIG-20250702_111115bjg4.jpeg</v>
      </c>
      <c r="AU647" s="1" t="s">
        <v>1889</v>
      </c>
      <c r="AV647" s="3" t="str">
        <f>HYPERLINK("https://icf.clappia.com/app/GMB253374/submission/TMJ07036918/ICF247370-GMB253374-1c80ocgcl386c0000000/SIG-20250702_1111404p2.jpeg", "SIG-20250702_1111404p2.jpeg")</f>
        <v>SIG-20250702_1111404p2.jpeg</v>
      </c>
      <c r="AW647" s="1" t="s">
        <v>3360</v>
      </c>
      <c r="AX647" s="3" t="str">
        <f>HYPERLINK("https://icf.clappia.com/app/GMB253374/submission/TMJ07036918/ICF247370-GMB253374-346k5cml98580000000/SIG-20250702_11124p6g8.jpeg", "SIG-20250702_11124p6g8.jpeg")</f>
        <v>SIG-20250702_11124p6g8.jpeg</v>
      </c>
      <c r="AY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3361</v>
      </c>
      <c r="B648" s="2" t="s">
        <v>47</v>
      </c>
      <c r="C648" s="1" t="s">
        <v>3362</v>
      </c>
      <c r="D648" s="1" t="s">
        <v>3362</v>
      </c>
      <c r="E648" s="1" t="s">
        <v>3363</v>
      </c>
      <c r="F648" s="1" t="s">
        <v>72</v>
      </c>
      <c r="G648" s="1">
        <v>221.0</v>
      </c>
      <c r="H648" s="1" t="s">
        <v>52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53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54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56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57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f t="shared" si="1"/>
        <v>182</v>
      </c>
      <c r="AM648" s="1">
        <v>221.0</v>
      </c>
      <c r="AN648" s="1">
        <v>233.0</v>
      </c>
      <c r="AO648" s="1">
        <v>166.0</v>
      </c>
      <c r="AP648" s="2">
        <v>11.0</v>
      </c>
      <c r="AQ648" s="1">
        <v>55.0</v>
      </c>
      <c r="AR648" s="1">
        <v>55.0</v>
      </c>
      <c r="AS648" s="1" t="s">
        <v>1654</v>
      </c>
      <c r="AT648" s="3" t="str">
        <f>HYPERLINK("https://icf.clappia.com/app/GMB253374/submission/XHU86244813/ICF247370-GMB253374-49219kkgn68000000000/SIG-20250702_1108gkif0.jpeg", "SIG-20250702_1108gkif0.jpeg")</f>
        <v>SIG-20250702_1108gkif0.jpeg</v>
      </c>
      <c r="AU648" s="1" t="s">
        <v>3364</v>
      </c>
      <c r="AV648" s="3" t="str">
        <f>HYPERLINK("https://icf.clappia.com/app/GMB253374/submission/XHU86244813/ICF247370-GMB253374-2hdj58jga5i000000000/SIG-20250702_110813goje.jpeg", "SIG-20250702_110813goje.jpeg")</f>
        <v>SIG-20250702_110813goje.jpeg</v>
      </c>
      <c r="AW648" s="1" t="s">
        <v>2190</v>
      </c>
      <c r="AX648" s="3" t="str">
        <f>HYPERLINK("https://icf.clappia.com/app/GMB253374/submission/XHU86244813/ICF247370-GMB253374-12c84fl5id6ji0000000/SIG-20250702_1108b9d40.jpeg", "SIG-20250702_1108b9d40.jpeg")</f>
        <v>SIG-20250702_1108b9d40.jpeg</v>
      </c>
      <c r="AY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3365</v>
      </c>
      <c r="B649" s="2" t="s">
        <v>47</v>
      </c>
      <c r="C649" s="1" t="s">
        <v>3362</v>
      </c>
      <c r="D649" s="1" t="s">
        <v>3362</v>
      </c>
      <c r="E649" s="1" t="s">
        <v>3366</v>
      </c>
      <c r="F649" s="1" t="s">
        <v>51</v>
      </c>
      <c r="G649" s="1">
        <v>103.0</v>
      </c>
      <c r="H649" s="1" t="s">
        <v>52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53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54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56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57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f t="shared" si="1"/>
        <v>103</v>
      </c>
      <c r="AM649" s="1">
        <v>103.0</v>
      </c>
      <c r="AN649" s="1">
        <v>115.0</v>
      </c>
      <c r="AO649" s="1">
        <v>100.0</v>
      </c>
      <c r="AP649" s="2">
        <v>11.0</v>
      </c>
      <c r="AQ649" s="1">
        <v>3.0</v>
      </c>
      <c r="AR649" s="1">
        <v>3.0</v>
      </c>
      <c r="AS649" s="1" t="s">
        <v>3367</v>
      </c>
      <c r="AT649" s="3" t="str">
        <f>HYPERLINK("https://icf.clappia.com/app/GMB253374/submission/YCA43150282/ICF247370-GMB253374-2p4gjab871i400000000/SIG-20250701_124518i3jg.jpeg", "SIG-20250701_124518i3jg.jpeg")</f>
        <v>SIG-20250701_124518i3jg.jpeg</v>
      </c>
      <c r="AU649" s="1" t="s">
        <v>1588</v>
      </c>
      <c r="AV649" s="3" t="str">
        <f>HYPERLINK("https://icf.clappia.com/app/GMB253374/submission/YCA43150282/ICF247370-GMB253374-4h625fj06pa400000000/SIG-20250701_124714919o.jpeg", "SIG-20250701_124714919o.jpeg")</f>
        <v>SIG-20250701_124714919o.jpeg</v>
      </c>
      <c r="AW649" s="1" t="s">
        <v>1583</v>
      </c>
      <c r="AX649" s="3" t="str">
        <f>HYPERLINK("https://icf.clappia.com/app/GMB253374/submission/YCA43150282/ICF247370-GMB253374-64k9elkc5jea00000000/SIG-20250701_12481ebo2.jpeg", "SIG-20250701_12481ebo2.jpeg")</f>
        <v>SIG-20250701_12481ebo2.jpeg</v>
      </c>
      <c r="AY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3368</v>
      </c>
      <c r="B650" s="2" t="s">
        <v>47</v>
      </c>
      <c r="C650" s="1" t="s">
        <v>3369</v>
      </c>
      <c r="D650" s="1" t="s">
        <v>3369</v>
      </c>
      <c r="E650" s="1" t="s">
        <v>3370</v>
      </c>
      <c r="F650" s="1" t="s">
        <v>51</v>
      </c>
      <c r="G650" s="1">
        <v>50.0</v>
      </c>
      <c r="H650" s="1" t="s">
        <v>52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53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54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56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57</v>
      </c>
      <c r="AG650" s="1">
        <v>40.0</v>
      </c>
      <c r="AH650" s="1">
        <v>18.0</v>
      </c>
      <c r="AI650" s="1">
        <v>3.0</v>
      </c>
      <c r="AJ650" s="1" t="s">
        <v>55</v>
      </c>
      <c r="AK650" s="1" t="s">
        <v>55</v>
      </c>
      <c r="AL650" s="1">
        <f t="shared" si="1"/>
        <v>260</v>
      </c>
      <c r="AM650" s="1">
        <v>50.0</v>
      </c>
      <c r="AN650" s="1">
        <v>62.0</v>
      </c>
      <c r="AO650" s="1">
        <v>42.0</v>
      </c>
      <c r="AP650" s="2">
        <v>11.0</v>
      </c>
      <c r="AQ650" s="1">
        <v>8.0</v>
      </c>
      <c r="AR650" s="1">
        <v>8.0</v>
      </c>
      <c r="AS650" s="1" t="s">
        <v>1702</v>
      </c>
      <c r="AT650" s="3" t="str">
        <f>HYPERLINK("https://icf.clappia.com/app/GMB253374/submission/MKM91534002/ICF247370-GMB253374-2aof69jn07gk00000000/SIG-20250702_1105152067.jpeg", "SIG-20250702_1105152067.jpeg")</f>
        <v>SIG-20250702_1105152067.jpeg</v>
      </c>
      <c r="AU650" s="1" t="s">
        <v>1703</v>
      </c>
      <c r="AV650" s="3" t="str">
        <f>HYPERLINK("https://icf.clappia.com/app/GMB253374/submission/MKM91534002/ICF247370-GMB253374-445bk0l6lg0g00000000/SIG-20250702_1106jn2en.jpeg", "SIG-20250702_1106jn2en.jpeg")</f>
        <v>SIG-20250702_1106jn2en.jpeg</v>
      </c>
      <c r="AW650" s="1" t="s">
        <v>3371</v>
      </c>
      <c r="AX650" s="3" t="str">
        <f>HYPERLINK("https://icf.clappia.com/app/GMB253374/submission/MKM91534002/ICF247370-GMB253374-126901op25hbm0000000/SIG-20250702_1107bdlcj.jpeg", "SIG-20250702_1107bdlcj.jpeg")</f>
        <v>SIG-20250702_1107bdlcj.jpeg</v>
      </c>
      <c r="AY650" s="3" t="str">
        <f>HYPERLINK("https://www.google.com/maps/place/7.9417033%2C-11.73357", "7.9417033,-11.73357")</f>
        <v>7.9417033,-11.73357</v>
      </c>
    </row>
    <row r="651" ht="15.75" customHeight="1">
      <c r="A651" s="1" t="s">
        <v>3372</v>
      </c>
      <c r="B651" s="2" t="s">
        <v>47</v>
      </c>
      <c r="C651" s="1" t="s">
        <v>3373</v>
      </c>
      <c r="D651" s="1" t="s">
        <v>3373</v>
      </c>
      <c r="E651" s="1" t="s">
        <v>3374</v>
      </c>
      <c r="F651" s="1" t="s">
        <v>72</v>
      </c>
      <c r="G651" s="1">
        <v>145.0</v>
      </c>
      <c r="H651" s="1" t="s">
        <v>52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53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54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56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57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f t="shared" si="1"/>
        <v>145</v>
      </c>
      <c r="AM651" s="1">
        <v>145.0</v>
      </c>
      <c r="AN651" s="1">
        <v>157.0</v>
      </c>
      <c r="AO651" s="1">
        <v>145.0</v>
      </c>
      <c r="AP651" s="2">
        <v>11.0</v>
      </c>
      <c r="AQ651" s="1">
        <v>0.0</v>
      </c>
      <c r="AR651" s="1">
        <v>0.0</v>
      </c>
      <c r="AS651" s="1" t="s">
        <v>3375</v>
      </c>
      <c r="AT651" s="3" t="str">
        <f>HYPERLINK("https://icf.clappia.com/app/GMB253374/submission/YVC24213935/ICF247370-GMB253374-23kkm5c8d28pg0000000/SIG-20250702_105513pap0.jpeg", "SIG-20250702_105513pap0.jpeg")</f>
        <v>SIG-20250702_105513pap0.jpeg</v>
      </c>
      <c r="AU651" s="1" t="s">
        <v>3376</v>
      </c>
      <c r="AV651" s="3" t="str">
        <f>HYPERLINK("https://icf.clappia.com/app/GMB253374/submission/YVC24213935/ICF247370-GMB253374-2j9emdjh5flm00000000/SIG-20250702_10568n2ih.jpeg", "SIG-20250702_10568n2ih.jpeg")</f>
        <v>SIG-20250702_10568n2ih.jpeg</v>
      </c>
      <c r="AW651" s="1" t="s">
        <v>3377</v>
      </c>
      <c r="AX651" s="3" t="str">
        <f>HYPERLINK("https://icf.clappia.com/app/GMB253374/submission/YVC24213935/ICF247370-GMB253374-fj09d344300g0000000/SIG-20250702_11041829b6.jpeg", "SIG-20250702_11041829b6.jpeg")</f>
        <v>SIG-20250702_11041829b6.jpeg</v>
      </c>
      <c r="AY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3378</v>
      </c>
      <c r="B652" s="2" t="s">
        <v>47</v>
      </c>
      <c r="C652" s="1" t="s">
        <v>3379</v>
      </c>
      <c r="D652" s="1" t="s">
        <v>3379</v>
      </c>
      <c r="E652" s="1" t="s">
        <v>3380</v>
      </c>
      <c r="F652" s="1" t="s">
        <v>51</v>
      </c>
      <c r="G652" s="1">
        <v>131.0</v>
      </c>
      <c r="H652" s="1" t="s">
        <v>52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53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54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56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57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f t="shared" si="1"/>
        <v>131</v>
      </c>
      <c r="AM652" s="1">
        <v>131.0</v>
      </c>
      <c r="AN652" s="1">
        <v>143.0</v>
      </c>
      <c r="AO652" s="1">
        <v>131.0</v>
      </c>
      <c r="AP652" s="2">
        <v>11.0</v>
      </c>
      <c r="AQ652" s="1">
        <v>0.0</v>
      </c>
      <c r="AR652" s="1">
        <v>0.0</v>
      </c>
      <c r="AS652" s="1" t="s">
        <v>1900</v>
      </c>
      <c r="AT652" s="3" t="str">
        <f>HYPERLINK("https://icf.clappia.com/app/GMB253374/submission/ZLQ07749993/ICF247370-GMB253374-5gk0b35mckg80000000/SIG-20250702_1101da950.jpeg", "SIG-20250702_1101da950.jpeg")</f>
        <v>SIG-20250702_1101da950.jpeg</v>
      </c>
      <c r="AU652" s="1" t="s">
        <v>1901</v>
      </c>
      <c r="AV652" s="3" t="str">
        <f>HYPERLINK("https://icf.clappia.com/app/GMB253374/submission/ZLQ07749993/ICF247370-GMB253374-20ek0la7c014k0000000/SIG-20250702_1103jon0l.jpeg", "SIG-20250702_1103jon0l.jpeg")</f>
        <v>SIG-20250702_1103jon0l.jpeg</v>
      </c>
      <c r="AW652" s="1" t="s">
        <v>1902</v>
      </c>
      <c r="AX652" s="3" t="str">
        <f>HYPERLINK("https://icf.clappia.com/app/GMB253374/submission/ZLQ07749993/ICF247370-GMB253374-1dm1a52pp074i0000000/SIG-20250702_110313i26f.jpeg", "SIG-20250702_110313i26f.jpeg")</f>
        <v>SIG-20250702_110313i26f.jpeg</v>
      </c>
      <c r="AY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3381</v>
      </c>
      <c r="B653" s="2" t="s">
        <v>47</v>
      </c>
      <c r="C653" s="1" t="s">
        <v>3382</v>
      </c>
      <c r="D653" s="1" t="s">
        <v>3382</v>
      </c>
      <c r="E653" s="1" t="s">
        <v>3383</v>
      </c>
      <c r="F653" s="1" t="s">
        <v>51</v>
      </c>
      <c r="G653" s="1">
        <v>283.0</v>
      </c>
      <c r="H653" s="1" t="s">
        <v>52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53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54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56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57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f t="shared" si="1"/>
        <v>250</v>
      </c>
      <c r="AM653" s="1">
        <v>283.0</v>
      </c>
      <c r="AN653" s="1">
        <v>295.0</v>
      </c>
      <c r="AO653" s="1">
        <v>250.0</v>
      </c>
      <c r="AP653" s="2">
        <v>11.0</v>
      </c>
      <c r="AQ653" s="1">
        <v>33.0</v>
      </c>
      <c r="AR653" s="1">
        <v>33.0</v>
      </c>
      <c r="AS653" s="1" t="s">
        <v>1318</v>
      </c>
      <c r="AT653" s="3" t="str">
        <f>HYPERLINK("https://icf.clappia.com/app/GMB253374/submission/LQU06420585/ICF247370-GMB253374-4kl8ehlob6i400000000/SIG-20250702_1100obeo4.jpeg", "SIG-20250702_1100obeo4.jpeg")</f>
        <v>SIG-20250702_1100obeo4.jpeg</v>
      </c>
      <c r="AU653" s="1" t="s">
        <v>1319</v>
      </c>
      <c r="AV653" s="3" t="str">
        <f>HYPERLINK("https://icf.clappia.com/app/GMB253374/submission/LQU06420585/ICF247370-GMB253374-2b6pi26g0peko0000000/SIG-20250702_1100jf274.jpeg", "SIG-20250702_1100jf274.jpeg")</f>
        <v>SIG-20250702_1100jf274.jpeg</v>
      </c>
      <c r="AW653" s="1" t="s">
        <v>1320</v>
      </c>
      <c r="AX653" s="3" t="str">
        <f>HYPERLINK("https://icf.clappia.com/app/GMB253374/submission/LQU06420585/ICF247370-GMB253374-4ichb4fe4bkg00000000/SIG-20250702_1101nan9k.jpeg", "SIG-20250702_1101nan9k.jpeg")</f>
        <v>SIG-20250702_1101nan9k.jpeg</v>
      </c>
      <c r="AY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3384</v>
      </c>
      <c r="B654" s="2" t="s">
        <v>47</v>
      </c>
      <c r="C654" s="1" t="s">
        <v>3382</v>
      </c>
      <c r="D654" s="1" t="s">
        <v>3382</v>
      </c>
      <c r="E654" s="1" t="s">
        <v>3385</v>
      </c>
      <c r="F654" s="1" t="s">
        <v>51</v>
      </c>
      <c r="G654" s="1">
        <v>300.0</v>
      </c>
      <c r="H654" s="1" t="s">
        <v>52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53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54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56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57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f t="shared" si="1"/>
        <v>292</v>
      </c>
      <c r="AM654" s="1">
        <v>300.0</v>
      </c>
      <c r="AN654" s="1">
        <v>312.0</v>
      </c>
      <c r="AO654" s="1">
        <v>285.0</v>
      </c>
      <c r="AP654" s="2">
        <v>11.0</v>
      </c>
      <c r="AQ654" s="1">
        <v>15.0</v>
      </c>
      <c r="AR654" s="1">
        <v>15.0</v>
      </c>
      <c r="AS654" s="1" t="s">
        <v>3386</v>
      </c>
      <c r="AT654" s="3" t="str">
        <f>HYPERLINK("https://icf.clappia.com/app/GMB253374/submission/RTG12234340/ICF247370-GMB253374-5n14l5e9e67a00000000/SIG-20250702_1059120g1n.jpeg", "SIG-20250702_1059120g1n.jpeg")</f>
        <v>SIG-20250702_1059120g1n.jpeg</v>
      </c>
      <c r="AU654" s="1" t="s">
        <v>3387</v>
      </c>
      <c r="AV654" s="3" t="str">
        <f>HYPERLINK("https://icf.clappia.com/app/GMB253374/submission/RTG12234340/ICF247370-GMB253374-6351fm22448600000000/SIG-20250702_1100fenki.jpeg", "SIG-20250702_1100fenki.jpeg")</f>
        <v>SIG-20250702_1100fenki.jpeg</v>
      </c>
      <c r="AW654" s="1" t="s">
        <v>3388</v>
      </c>
      <c r="AX654" s="3" t="str">
        <f>HYPERLINK("https://icf.clappia.com/app/GMB253374/submission/RTG12234340/ICF247370-GMB253374-4bcp0d79fkgk00000000/SIG-20250702_11001ahae4.jpeg", "SIG-20250702_11001ahae4.jpeg")</f>
        <v>SIG-20250702_11001ahae4.jpeg</v>
      </c>
      <c r="AY654" s="3" t="str">
        <f>HYPERLINK("https://www.google.com/maps/place/7.9629583%2C-11.749415", "7.9629583,-11.749415")</f>
        <v>7.9629583,-11.749415</v>
      </c>
    </row>
    <row r="655" ht="15.75" customHeight="1">
      <c r="A655" s="1" t="s">
        <v>3389</v>
      </c>
      <c r="B655" s="2" t="s">
        <v>47</v>
      </c>
      <c r="C655" s="1" t="s">
        <v>3390</v>
      </c>
      <c r="D655" s="1" t="s">
        <v>3390</v>
      </c>
      <c r="E655" s="1" t="s">
        <v>3391</v>
      </c>
      <c r="F655" s="1" t="s">
        <v>51</v>
      </c>
      <c r="G655" s="1">
        <v>179.0</v>
      </c>
      <c r="H655" s="1" t="s">
        <v>52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53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54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56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57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f t="shared" si="1"/>
        <v>179</v>
      </c>
      <c r="AM655" s="1">
        <v>179.0</v>
      </c>
      <c r="AN655" s="1">
        <v>191.0</v>
      </c>
      <c r="AO655" s="1">
        <v>179.0</v>
      </c>
      <c r="AP655" s="2">
        <v>11.0</v>
      </c>
      <c r="AQ655" s="1">
        <v>0.0</v>
      </c>
      <c r="AR655" s="1">
        <v>0.0</v>
      </c>
      <c r="AS655" s="1" t="s">
        <v>1757</v>
      </c>
      <c r="AT655" s="3" t="str">
        <f>HYPERLINK("https://icf.clappia.com/app/GMB253374/submission/DXS01312608/ICF247370-GMB253374-cncbhhjegn3k0000000/SIG-20250701_142582nop.jpeg", "SIG-20250701_142582nop.jpeg")</f>
        <v>SIG-20250701_142582nop.jpeg</v>
      </c>
      <c r="AU655" s="1" t="s">
        <v>1758</v>
      </c>
      <c r="AV655" s="3" t="str">
        <f>HYPERLINK("https://icf.clappia.com/app/GMB253374/submission/DXS01312608/ICF247370-GMB253374-53pnih0m371e00000000/SIG-20250701_14277mjn6.jpeg", "SIG-20250701_14277mjn6.jpeg")</f>
        <v>SIG-20250701_14277mjn6.jpeg</v>
      </c>
      <c r="AW655" s="1" t="s">
        <v>3392</v>
      </c>
      <c r="AX655" s="3" t="str">
        <f>HYPERLINK("https://icf.clappia.com/app/GMB253374/submission/DXS01312608/ICF247370-GMB253374-3fbmdcbgakm600000000/SIG-20250701_1427ahcn6.jpeg", "SIG-20250701_1427ahcn6.jpeg")</f>
        <v>SIG-20250701_1427ahcn6.jpeg</v>
      </c>
      <c r="AY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3393</v>
      </c>
      <c r="B656" s="2" t="s">
        <v>47</v>
      </c>
      <c r="C656" s="1" t="s">
        <v>3390</v>
      </c>
      <c r="D656" s="1" t="s">
        <v>3390</v>
      </c>
      <c r="E656" s="1" t="s">
        <v>3394</v>
      </c>
      <c r="F656" s="1" t="s">
        <v>72</v>
      </c>
      <c r="G656" s="1">
        <v>161.0</v>
      </c>
      <c r="H656" s="1" t="s">
        <v>52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53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54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56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57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f t="shared" si="1"/>
        <v>161</v>
      </c>
      <c r="AM656" s="1">
        <v>161.0</v>
      </c>
      <c r="AN656" s="1">
        <v>173.0</v>
      </c>
      <c r="AO656" s="1">
        <v>161.0</v>
      </c>
      <c r="AP656" s="2">
        <v>11.0</v>
      </c>
      <c r="AQ656" s="1">
        <v>0.0</v>
      </c>
      <c r="AR656" s="1">
        <v>0.0</v>
      </c>
      <c r="AS656" s="1" t="s">
        <v>3395</v>
      </c>
      <c r="AT656" s="3" t="str">
        <f>HYPERLINK("https://icf.clappia.com/app/GMB253374/submission/OQZ79037873/ICF247370-GMB253374-5d6ccjd58bd600000000/SIG-20250702_1058178fe5.jpeg", "SIG-20250702_1058178fe5.jpeg")</f>
        <v>SIG-20250702_1058178fe5.jpeg</v>
      </c>
      <c r="AU656" s="1" t="s">
        <v>3396</v>
      </c>
      <c r="AV656" s="3" t="str">
        <f>HYPERLINK("https://icf.clappia.com/app/GMB253374/submission/OQZ79037873/ICF247370-GMB253374-21dng6nm600ee0000000/SIG-20250702_105917642k.jpeg", "SIG-20250702_105917642k.jpeg")</f>
        <v>SIG-20250702_105917642k.jpeg</v>
      </c>
      <c r="AW656" s="1" t="s">
        <v>3397</v>
      </c>
      <c r="AX656" s="3" t="str">
        <f>HYPERLINK("https://icf.clappia.com/app/GMB253374/submission/OQZ79037873/ICF247370-GMB253374-3i4fkif667pa00000000/SIG-20250702_1100880ll.jpeg", "SIG-20250702_1100880ll.jpeg")</f>
        <v>SIG-20250702_1100880ll.jpeg</v>
      </c>
      <c r="AY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3398</v>
      </c>
      <c r="B657" s="2" t="s">
        <v>47</v>
      </c>
      <c r="C657" s="1" t="s">
        <v>3399</v>
      </c>
      <c r="D657" s="1" t="s">
        <v>3399</v>
      </c>
      <c r="E657" s="1" t="s">
        <v>3400</v>
      </c>
      <c r="F657" s="1" t="s">
        <v>51</v>
      </c>
      <c r="G657" s="1">
        <v>250.0</v>
      </c>
      <c r="H657" s="1" t="s">
        <v>52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53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54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56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57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f t="shared" si="1"/>
        <v>402</v>
      </c>
      <c r="AM657" s="1">
        <v>250.0</v>
      </c>
      <c r="AN657" s="1">
        <v>262.0</v>
      </c>
      <c r="AO657" s="1">
        <v>250.0</v>
      </c>
      <c r="AP657" s="2">
        <v>11.0</v>
      </c>
      <c r="AQ657" s="1">
        <v>0.0</v>
      </c>
      <c r="AR657" s="1">
        <v>0.0</v>
      </c>
      <c r="AS657" s="1" t="s">
        <v>1906</v>
      </c>
      <c r="AT657" s="3" t="str">
        <f>HYPERLINK("https://icf.clappia.com/app/GMB253374/submission/GHC72727637/ICF247370-GMB253374-374okpb4db1k00000000/SIG-20250702_10563kib4.jpeg", "SIG-20250702_10563kib4.jpeg")</f>
        <v>SIG-20250702_10563kib4.jpeg</v>
      </c>
      <c r="AU657" s="1" t="s">
        <v>1907</v>
      </c>
      <c r="AV657" s="3" t="str">
        <f>HYPERLINK("https://icf.clappia.com/app/GMB253374/submission/GHC72727637/ICF247370-GMB253374-4482egffc1oe00000000/SIG-20250702_10571595be.jpeg", "SIG-20250702_10571595be.jpeg")</f>
        <v>SIG-20250702_10571595be.jpeg</v>
      </c>
      <c r="AW657" s="1" t="s">
        <v>3401</v>
      </c>
      <c r="AX657" s="3" t="str">
        <f>HYPERLINK("https://icf.clappia.com/app/GMB253374/submission/GHC72727637/ICF247370-GMB253374-4d3hnidlfeec00000000/SIG-20250702_105831fob.jpeg", "SIG-20250702_105831fob.jpeg")</f>
        <v>SIG-20250702_105831fob.jpeg</v>
      </c>
      <c r="AY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3402</v>
      </c>
      <c r="B658" s="2" t="s">
        <v>47</v>
      </c>
      <c r="C658" s="1" t="s">
        <v>3227</v>
      </c>
      <c r="D658" s="1" t="s">
        <v>3227</v>
      </c>
      <c r="E658" s="1" t="s">
        <v>3403</v>
      </c>
      <c r="F658" s="1" t="s">
        <v>72</v>
      </c>
      <c r="G658" s="1">
        <v>150.0</v>
      </c>
      <c r="H658" s="1" t="s">
        <v>52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53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54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56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57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f t="shared" si="1"/>
        <v>170</v>
      </c>
      <c r="AM658" s="1">
        <v>150.0</v>
      </c>
      <c r="AN658" s="1">
        <v>162.0</v>
      </c>
      <c r="AO658" s="1">
        <v>150.0</v>
      </c>
      <c r="AP658" s="2">
        <v>11.0</v>
      </c>
      <c r="AQ658" s="1">
        <v>0.0</v>
      </c>
      <c r="AR658" s="1">
        <v>0.0</v>
      </c>
      <c r="AS658" s="1" t="s">
        <v>3404</v>
      </c>
      <c r="AT658" s="3" t="str">
        <f>HYPERLINK("https://icf.clappia.com/app/GMB253374/submission/LUV62190717/ICF247370-GMB253374-3fd5fi0ef7ig00000000/SIG-20250630_120612hdj1.jpeg", "SIG-20250630_120612hdj1.jpeg")</f>
        <v>SIG-20250630_120612hdj1.jpeg</v>
      </c>
      <c r="AU658" s="1" t="s">
        <v>3405</v>
      </c>
      <c r="AV658" s="3" t="str">
        <f>HYPERLINK("https://icf.clappia.com/app/GMB253374/submission/LUV62190717/ICF247370-GMB253374-2anlk10k085gc0000000/SIG-20250630_120711b7pa.jpeg", "SIG-20250630_120711b7pa.jpeg")</f>
        <v>SIG-20250630_120711b7pa.jpeg</v>
      </c>
      <c r="AW658" s="1" t="s">
        <v>3406</v>
      </c>
      <c r="AX658" s="3" t="str">
        <f>HYPERLINK("https://icf.clappia.com/app/GMB253374/submission/LUV62190717/ICF247370-GMB253374-5762mnf3f60200000000/SIG-20250630_120816dai9.jpeg", "SIG-20250630_120816dai9.jpeg")</f>
        <v>SIG-20250630_120816dai9.jpeg</v>
      </c>
      <c r="AY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3407</v>
      </c>
      <c r="B659" s="2" t="s">
        <v>47</v>
      </c>
      <c r="C659" s="1" t="s">
        <v>3408</v>
      </c>
      <c r="D659" s="1" t="s">
        <v>3227</v>
      </c>
      <c r="E659" s="1" t="s">
        <v>3409</v>
      </c>
      <c r="F659" s="1" t="s">
        <v>51</v>
      </c>
      <c r="G659" s="1">
        <v>127.0</v>
      </c>
      <c r="H659" s="1" t="s">
        <v>52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53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54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56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57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f t="shared" si="1"/>
        <v>171</v>
      </c>
      <c r="AM659" s="1">
        <v>127.0</v>
      </c>
      <c r="AN659" s="1">
        <v>139.0</v>
      </c>
      <c r="AO659" s="1">
        <v>80.0</v>
      </c>
      <c r="AP659" s="2">
        <v>11.0</v>
      </c>
      <c r="AQ659" s="1">
        <v>47.0</v>
      </c>
      <c r="AR659" s="1">
        <v>47.0</v>
      </c>
      <c r="AS659" s="1" t="s">
        <v>3160</v>
      </c>
      <c r="AT659" s="3" t="str">
        <f>HYPERLINK("https://icf.clappia.com/app/GMB253374/submission/YGH54308586/ICF247370-GMB253374-5mephgh6l5m600000000/SIG-20250702_0951lmml6.jpeg", "SIG-20250702_0951lmml6.jpeg")</f>
        <v>SIG-20250702_0951lmml6.jpeg</v>
      </c>
      <c r="AU659" s="1" t="s">
        <v>3410</v>
      </c>
      <c r="AV659" s="3" t="str">
        <f>HYPERLINK("https://icf.clappia.com/app/GMB253374/submission/YGH54308586/ICF247370-GMB253374-4k5ngf9p6keg00000000/SIG-20250702_0951hjjd4.jpeg", "SIG-20250702_0951hjjd4.jpeg")</f>
        <v>SIG-20250702_0951hjjd4.jpeg</v>
      </c>
      <c r="AW659" s="1" t="s">
        <v>3162</v>
      </c>
      <c r="AX659" s="3" t="str">
        <f>HYPERLINK("https://icf.clappia.com/app/GMB253374/submission/YGH54308586/ICF247370-GMB253374-3le6edifh5n800000000/SIG-20250702_0951b0kd8.jpeg", "SIG-20250702_0951b0kd8.jpeg")</f>
        <v>SIG-20250702_0951b0kd8.jpeg</v>
      </c>
      <c r="AY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3411</v>
      </c>
      <c r="B660" s="2" t="s">
        <v>47</v>
      </c>
      <c r="C660" s="1" t="s">
        <v>3227</v>
      </c>
      <c r="D660" s="1" t="s">
        <v>3227</v>
      </c>
      <c r="E660" s="1" t="s">
        <v>3412</v>
      </c>
      <c r="F660" s="1" t="s">
        <v>51</v>
      </c>
      <c r="G660" s="1">
        <v>145.0</v>
      </c>
      <c r="H660" s="1" t="s">
        <v>52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53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54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56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57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f t="shared" si="1"/>
        <v>157</v>
      </c>
      <c r="AM660" s="1">
        <v>145.0</v>
      </c>
      <c r="AN660" s="1">
        <v>157.0</v>
      </c>
      <c r="AO660" s="1">
        <v>129.0</v>
      </c>
      <c r="AP660" s="2">
        <v>11.0</v>
      </c>
      <c r="AQ660" s="1">
        <v>16.0</v>
      </c>
      <c r="AR660" s="1">
        <v>16.0</v>
      </c>
      <c r="AS660" s="1" t="s">
        <v>1173</v>
      </c>
      <c r="AT660" s="3" t="str">
        <f>HYPERLINK("https://icf.clappia.com/app/GMB253374/submission/MDR86124251/ICF247370-GMB253374-2mb4af18b5l400000000/SIG-20250702_10159p261.jpeg", "SIG-20250702_10159p261.jpeg")</f>
        <v>SIG-20250702_10159p261.jpeg</v>
      </c>
      <c r="AU660" s="1" t="s">
        <v>1174</v>
      </c>
      <c r="AV660" s="3" t="str">
        <f>HYPERLINK("https://icf.clappia.com/app/GMB253374/submission/MDR86124251/ICF247370-GMB253374-eced804cfo3a0000000/SIG-20250702_1015e0il1.jpeg", "SIG-20250702_1015e0il1.jpeg")</f>
        <v>SIG-20250702_1015e0il1.jpeg</v>
      </c>
      <c r="AW660" s="1" t="s">
        <v>1175</v>
      </c>
      <c r="AX660" s="3" t="str">
        <f>HYPERLINK("https://icf.clappia.com/app/GMB253374/submission/MDR86124251/ICF247370-GMB253374-2cb1g299kbm200000000/SIG-20250702_1015194k5i.jpeg", "SIG-20250702_1015194k5i.jpeg")</f>
        <v>SIG-20250702_1015194k5i.jpeg</v>
      </c>
      <c r="AY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3413</v>
      </c>
      <c r="B661" s="2" t="s">
        <v>47</v>
      </c>
      <c r="C661" s="1" t="s">
        <v>3414</v>
      </c>
      <c r="D661" s="1" t="s">
        <v>3414</v>
      </c>
      <c r="E661" s="2" t="s">
        <v>3415</v>
      </c>
      <c r="F661" s="1" t="s">
        <v>72</v>
      </c>
      <c r="G661" s="1">
        <v>200.0</v>
      </c>
      <c r="H661" s="1" t="s">
        <v>52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53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54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56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57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f t="shared" si="1"/>
        <v>200</v>
      </c>
      <c r="AM661" s="1">
        <v>200.0</v>
      </c>
      <c r="AN661" s="1">
        <v>212.0</v>
      </c>
      <c r="AO661" s="1">
        <v>198.0</v>
      </c>
      <c r="AP661" s="2">
        <v>11.0</v>
      </c>
      <c r="AQ661" s="1">
        <v>2.0</v>
      </c>
      <c r="AR661" s="1">
        <v>2.0</v>
      </c>
      <c r="AS661" s="1" t="s">
        <v>3416</v>
      </c>
      <c r="AT661" s="3" t="str">
        <f>HYPERLINK("https://icf.clappia.com/app/GMB253374/submission/FZL85136508/ICF247370-GMB253374-2b04nm8gkkmmi0000000/SIG-20250702_105611p5k2.jpeg", "SIG-20250702_105611p5k2.jpeg")</f>
        <v>SIG-20250702_105611p5k2.jpeg</v>
      </c>
      <c r="AU661" s="1" t="s">
        <v>3417</v>
      </c>
      <c r="AV661" s="3" t="str">
        <f>HYPERLINK("https://icf.clappia.com/app/GMB253374/submission/FZL85136508/ICF247370-GMB253374-16a799o3fca560000000/SIG-20250702_1057nj64g.jpeg", "SIG-20250702_1057nj64g.jpeg")</f>
        <v>SIG-20250702_1057nj64g.jpeg</v>
      </c>
      <c r="AW661" s="1" t="s">
        <v>1495</v>
      </c>
      <c r="AX661" s="3" t="str">
        <f>HYPERLINK("https://icf.clappia.com/app/GMB253374/submission/FZL85136508/ICF247370-GMB253374-3k5b3c1d6mf600000000/SIG-20250702_1057fjn9f.jpeg", "SIG-20250702_1057fjn9f.jpeg")</f>
        <v>SIG-20250702_1057fjn9f.jpeg</v>
      </c>
      <c r="AY661" s="3" t="str">
        <f>HYPERLINK("https://www.google.com/maps/place/8.899045%2C-12.0451983", "8.899045,-12.0451983")</f>
        <v>8.899045,-12.0451983</v>
      </c>
    </row>
    <row r="662" ht="15.75" customHeight="1">
      <c r="A662" s="1" t="s">
        <v>3418</v>
      </c>
      <c r="B662" s="2" t="s">
        <v>47</v>
      </c>
      <c r="C662" s="1" t="s">
        <v>3419</v>
      </c>
      <c r="D662" s="1" t="s">
        <v>3419</v>
      </c>
      <c r="E662" s="1" t="s">
        <v>3420</v>
      </c>
      <c r="F662" s="1" t="s">
        <v>51</v>
      </c>
      <c r="G662" s="1">
        <v>81.0</v>
      </c>
      <c r="H662" s="1" t="s">
        <v>52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53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54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56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57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f t="shared" si="1"/>
        <v>81</v>
      </c>
      <c r="AM662" s="1">
        <v>81.0</v>
      </c>
      <c r="AN662" s="1">
        <v>93.0</v>
      </c>
      <c r="AO662" s="1">
        <v>81.0</v>
      </c>
      <c r="AP662" s="2">
        <v>11.0</v>
      </c>
      <c r="AQ662" s="1">
        <v>0.0</v>
      </c>
      <c r="AR662" s="1">
        <v>0.0</v>
      </c>
      <c r="AS662" s="1" t="s">
        <v>3421</v>
      </c>
      <c r="AT662" s="3" t="str">
        <f>HYPERLINK("https://icf.clappia.com/app/GMB253374/submission/YZD07605456/ICF247370-GMB253374-3fh3cnn5cme400000000/SIG-20250702_1049c6bfm.jpeg", "SIG-20250702_1049c6bfm.jpeg")</f>
        <v>SIG-20250702_1049c6bfm.jpeg</v>
      </c>
      <c r="AU662" s="1" t="s">
        <v>3422</v>
      </c>
      <c r="AV662" s="3" t="str">
        <f>HYPERLINK("https://icf.clappia.com/app/GMB253374/submission/YZD07605456/ICF247370-GMB253374-173edn02amp2o0000000/SIG-20250702_105018inom.jpeg", "SIG-20250702_105018inom.jpeg")</f>
        <v>SIG-20250702_105018inom.jpeg</v>
      </c>
      <c r="AW662" s="1" t="s">
        <v>3423</v>
      </c>
      <c r="AX662" s="3" t="str">
        <f>HYPERLINK("https://icf.clappia.com/app/GMB253374/submission/YZD07605456/ICF247370-GMB253374-36pf30gf46m400000000/SIG-20250702_105119oapb.jpeg", "SIG-20250702_105119oapb.jpeg")</f>
        <v>SIG-20250702_105119oapb.jpeg</v>
      </c>
      <c r="AY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3424</v>
      </c>
      <c r="B663" s="2" t="s">
        <v>47</v>
      </c>
      <c r="C663" s="1" t="s">
        <v>3425</v>
      </c>
      <c r="D663" s="1" t="s">
        <v>3425</v>
      </c>
      <c r="E663" s="1" t="s">
        <v>3426</v>
      </c>
      <c r="F663" s="1" t="s">
        <v>51</v>
      </c>
      <c r="G663" s="1">
        <v>700.0</v>
      </c>
      <c r="H663" s="1" t="s">
        <v>52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53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54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56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57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f t="shared" si="1"/>
        <v>627</v>
      </c>
      <c r="AM663" s="1">
        <v>700.0</v>
      </c>
      <c r="AN663" s="1">
        <v>712.0</v>
      </c>
      <c r="AO663" s="1">
        <v>627.0</v>
      </c>
      <c r="AP663" s="2">
        <v>11.0</v>
      </c>
      <c r="AQ663" s="1">
        <v>73.0</v>
      </c>
      <c r="AR663" s="1">
        <v>73.0</v>
      </c>
      <c r="AS663" s="1" t="s">
        <v>3427</v>
      </c>
      <c r="AT663" s="3" t="str">
        <f>HYPERLINK("https://icf.clappia.com/app/GMB253374/submission/IGV95798413/ICF247370-GMB253374-5bab70i0h44400000000/SIG-20250702_104713bchm.jpeg", "SIG-20250702_104713bchm.jpeg")</f>
        <v>SIG-20250702_104713bchm.jpeg</v>
      </c>
      <c r="AU663" s="1" t="s">
        <v>3428</v>
      </c>
      <c r="AV663" s="3" t="str">
        <f>HYPERLINK("https://icf.clappia.com/app/GMB253374/submission/IGV95798413/ICF247370-GMB253374-3eca0bl13nli00000000/SIG-20250702_10499amd3.jpeg", "SIG-20250702_10499amd3.jpeg")</f>
        <v>SIG-20250702_10499amd3.jpeg</v>
      </c>
      <c r="AW663" s="1" t="s">
        <v>3429</v>
      </c>
      <c r="AX663" s="3" t="str">
        <f>HYPERLINK("https://icf.clappia.com/app/GMB253374/submission/IGV95798413/ICF247370-GMB253374-46e2ij96o7cg00000000/SIG-20250702_10498k53m.jpeg", "SIG-20250702_10498k53m.jpeg")</f>
        <v>SIG-20250702_10498k53m.jpeg</v>
      </c>
      <c r="AY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3430</v>
      </c>
      <c r="B664" s="2" t="s">
        <v>47</v>
      </c>
      <c r="C664" s="1" t="s">
        <v>3431</v>
      </c>
      <c r="D664" s="1" t="s">
        <v>3431</v>
      </c>
      <c r="E664" s="1" t="s">
        <v>3432</v>
      </c>
      <c r="F664" s="1" t="s">
        <v>51</v>
      </c>
      <c r="G664" s="1">
        <v>211.0</v>
      </c>
      <c r="H664" s="1" t="s">
        <v>52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53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54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56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57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f t="shared" si="1"/>
        <v>217</v>
      </c>
      <c r="AM664" s="1">
        <v>211.0</v>
      </c>
      <c r="AN664" s="1">
        <v>223.0</v>
      </c>
      <c r="AO664" s="1">
        <v>200.0</v>
      </c>
      <c r="AP664" s="2">
        <v>11.0</v>
      </c>
      <c r="AQ664" s="1">
        <v>11.0</v>
      </c>
      <c r="AR664" s="1">
        <v>11.0</v>
      </c>
      <c r="AS664" s="1" t="s">
        <v>3433</v>
      </c>
      <c r="AT664" s="3" t="str">
        <f>HYPERLINK("https://icf.clappia.com/app/GMB253374/submission/SGF30890013/ICF247370-GMB253374-1fd9ed65j0aoo0000000/SIG-20250702_1048ifmm0.jpeg", "SIG-20250702_1048ifmm0.jpeg")</f>
        <v>SIG-20250702_1048ifmm0.jpeg</v>
      </c>
      <c r="AU664" s="1" t="s">
        <v>3434</v>
      </c>
      <c r="AV664" s="3" t="str">
        <f>HYPERLINK("https://icf.clappia.com/app/GMB253374/submission/SGF30890013/ICF247370-GMB253374-4dlbo37agj8g00000000/SIG-20250702_104960938.jpeg", "SIG-20250702_104960938.jpeg")</f>
        <v>SIG-20250702_104960938.jpeg</v>
      </c>
      <c r="AW664" s="1" t="s">
        <v>2277</v>
      </c>
      <c r="AX664" s="3" t="str">
        <f>HYPERLINK("https://icf.clappia.com/app/GMB253374/submission/SGF30890013/ICF247370-GMB253374-65h8njpk53a000000000/SIG-20250702_1050jaihn.jpeg", "SIG-20250702_1050jaihn.jpeg")</f>
        <v>SIG-20250702_1050jaihn.jpeg</v>
      </c>
      <c r="AY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3435</v>
      </c>
      <c r="B665" s="2" t="s">
        <v>47</v>
      </c>
      <c r="C665" s="1" t="s">
        <v>3436</v>
      </c>
      <c r="D665" s="1" t="s">
        <v>3436</v>
      </c>
      <c r="E665" s="1" t="s">
        <v>3437</v>
      </c>
      <c r="F665" s="1" t="s">
        <v>72</v>
      </c>
      <c r="G665" s="1">
        <v>65.0</v>
      </c>
      <c r="H665" s="1" t="s">
        <v>52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53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54</v>
      </c>
      <c r="U665" s="1">
        <v>43.0</v>
      </c>
      <c r="V665" s="1">
        <v>23.0</v>
      </c>
      <c r="W665" s="1" t="s">
        <v>55</v>
      </c>
      <c r="X665" s="1">
        <v>20.0</v>
      </c>
      <c r="Y665" s="1" t="s">
        <v>55</v>
      </c>
      <c r="Z665" s="1" t="s">
        <v>56</v>
      </c>
      <c r="AA665" s="1">
        <v>32.0</v>
      </c>
      <c r="AB665" s="1">
        <v>15.0</v>
      </c>
      <c r="AC665" s="1" t="s">
        <v>55</v>
      </c>
      <c r="AD665" s="1">
        <v>17.0</v>
      </c>
      <c r="AE665" s="1" t="s">
        <v>55</v>
      </c>
      <c r="AF665" s="1" t="s">
        <v>57</v>
      </c>
      <c r="AG665" s="1">
        <v>20.0</v>
      </c>
      <c r="AH665" s="1">
        <v>10.0</v>
      </c>
      <c r="AI665" s="1" t="s">
        <v>55</v>
      </c>
      <c r="AJ665" s="1">
        <v>10.0</v>
      </c>
      <c r="AK665" s="1" t="s">
        <v>55</v>
      </c>
      <c r="AL665" s="1">
        <f t="shared" si="1"/>
        <v>186</v>
      </c>
      <c r="AM665" s="1">
        <v>65.0</v>
      </c>
      <c r="AN665" s="1">
        <v>77.0</v>
      </c>
      <c r="AO665" s="1">
        <v>65.0</v>
      </c>
      <c r="AP665" s="2">
        <v>11.0</v>
      </c>
      <c r="AQ665" s="1">
        <v>0.0</v>
      </c>
      <c r="AR665" s="1">
        <v>0.0</v>
      </c>
      <c r="AS665" s="1" t="s">
        <v>2251</v>
      </c>
      <c r="AT665" s="3" t="str">
        <f>HYPERLINK("https://icf.clappia.com/app/GMB253374/submission/ARO11683919/ICF247370-GMB253374-28a5e281j55e80000000/SIG-20250702_1041jcok3.jpeg", "SIG-20250702_1041jcok3.jpeg")</f>
        <v>SIG-20250702_1041jcok3.jpeg</v>
      </c>
      <c r="AU665" s="1" t="s">
        <v>2252</v>
      </c>
      <c r="AV665" s="3" t="str">
        <f>HYPERLINK("https://icf.clappia.com/app/GMB253374/submission/ARO11683919/ICF247370-GMB253374-1cho5ka9bb9pa0000000/SIG-20250702_104716fdk7.jpeg", "SIG-20250702_104716fdk7.jpeg")</f>
        <v>SIG-20250702_104716fdk7.jpeg</v>
      </c>
      <c r="AW665" s="1" t="s">
        <v>2253</v>
      </c>
      <c r="AX665" s="3" t="str">
        <f>HYPERLINK("https://icf.clappia.com/app/GMB253374/submission/ARO11683919/ICF247370-GMB253374-4pjgchll53ea00000000/SIG-20250702_1046ilghe.jpeg", "SIG-20250702_1046ilghe.jpeg")</f>
        <v>SIG-20250702_1046ilghe.jpeg</v>
      </c>
      <c r="AY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3438</v>
      </c>
      <c r="B666" s="2" t="s">
        <v>47</v>
      </c>
      <c r="C666" s="1" t="s">
        <v>3439</v>
      </c>
      <c r="D666" s="1" t="s">
        <v>3439</v>
      </c>
      <c r="E666" s="1" t="s">
        <v>3440</v>
      </c>
      <c r="F666" s="1" t="s">
        <v>72</v>
      </c>
      <c r="G666" s="1">
        <v>150.0</v>
      </c>
      <c r="H666" s="1" t="s">
        <v>52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53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54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56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57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f t="shared" si="1"/>
        <v>130</v>
      </c>
      <c r="AM666" s="1">
        <v>150.0</v>
      </c>
      <c r="AN666" s="1">
        <v>162.0</v>
      </c>
      <c r="AO666" s="1">
        <v>112.0</v>
      </c>
      <c r="AP666" s="2">
        <v>11.0</v>
      </c>
      <c r="AQ666" s="1">
        <v>38.0</v>
      </c>
      <c r="AR666" s="1">
        <v>38.0</v>
      </c>
      <c r="AS666" s="1" t="s">
        <v>100</v>
      </c>
      <c r="AT666" s="3" t="str">
        <f>HYPERLINK("https://icf.clappia.com/app/GMB253374/submission/UAW54021602/ICF247370-GMB253374-4p05l18cgn0800000000/SIG-20250702_1037fhne8.jpeg", "SIG-20250702_1037fhne8.jpeg")</f>
        <v>SIG-20250702_1037fhne8.jpeg</v>
      </c>
      <c r="AU666" s="1" t="s">
        <v>101</v>
      </c>
      <c r="AV666" s="3" t="str">
        <f>HYPERLINK("https://icf.clappia.com/app/GMB253374/submission/UAW54021602/ICF247370-GMB253374-1lje1ke1acf680000000/SIG-20250702_103957h32.jpeg", "SIG-20250702_103957h32.jpeg")</f>
        <v>SIG-20250702_103957h32.jpeg</v>
      </c>
      <c r="AW666" s="1" t="s">
        <v>102</v>
      </c>
      <c r="AX666" s="3" t="str">
        <f>HYPERLINK("https://icf.clappia.com/app/GMB253374/submission/UAW54021602/ICF247370-GMB253374-54gl2m4834c200000000/SIG-20250702_10405o1nd.jpeg", "SIG-20250702_10405o1nd.jpeg")</f>
        <v>SIG-20250702_10405o1nd.jpeg</v>
      </c>
      <c r="AY666" s="3" t="str">
        <f>HYPERLINK("https://www.google.com/maps/place/7.94019%2C-11.7406484", "7.94019,-11.7406484")</f>
        <v>7.94019,-11.7406484</v>
      </c>
    </row>
    <row r="667" ht="15.75" customHeight="1">
      <c r="A667" s="1" t="s">
        <v>3441</v>
      </c>
      <c r="B667" s="2" t="s">
        <v>47</v>
      </c>
      <c r="C667" s="1" t="s">
        <v>3439</v>
      </c>
      <c r="D667" s="1" t="s">
        <v>3439</v>
      </c>
      <c r="E667" s="1" t="s">
        <v>3442</v>
      </c>
      <c r="F667" s="1" t="s">
        <v>51</v>
      </c>
      <c r="G667" s="1">
        <v>61.0</v>
      </c>
      <c r="H667" s="1" t="s">
        <v>52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53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54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56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57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f t="shared" si="1"/>
        <v>61</v>
      </c>
      <c r="AM667" s="1">
        <v>61.0</v>
      </c>
      <c r="AN667" s="1">
        <v>73.0</v>
      </c>
      <c r="AO667" s="1">
        <v>61.0</v>
      </c>
      <c r="AP667" s="2">
        <v>11.0</v>
      </c>
      <c r="AQ667" s="1">
        <v>0.0</v>
      </c>
      <c r="AR667" s="1">
        <v>0.0</v>
      </c>
      <c r="AS667" s="1" t="s">
        <v>227</v>
      </c>
      <c r="AT667" s="3" t="str">
        <f>HYPERLINK("https://icf.clappia.com/app/GMB253374/submission/HIE38427721/ICF247370-GMB253374-j5i5ld4libnm0000000/SIG-20250702_1040ilk1a.jpeg", "SIG-20250702_1040ilk1a.jpeg")</f>
        <v>SIG-20250702_1040ilk1a.jpeg</v>
      </c>
      <c r="AU667" s="1" t="s">
        <v>229</v>
      </c>
      <c r="AV667" s="3" t="str">
        <f>HYPERLINK("https://icf.clappia.com/app/GMB253374/submission/HIE38427721/ICF247370-GMB253374-2nhi3pk1cncg00000000/SIG-20250702_10419c5ke.jpeg", "SIG-20250702_10419c5ke.jpeg")</f>
        <v>SIG-20250702_10419c5ke.jpeg</v>
      </c>
      <c r="AW667" s="1" t="s">
        <v>3344</v>
      </c>
      <c r="AX667" s="3" t="str">
        <f>HYPERLINK("https://icf.clappia.com/app/GMB253374/submission/HIE38427721/ICF247370-GMB253374-44dfeg4bhph200000000/SIG-20250702_104214j9kf.jpeg", "SIG-20250702_104214j9kf.jpeg")</f>
        <v>SIG-20250702_104214j9kf.jpeg</v>
      </c>
      <c r="AY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3443</v>
      </c>
      <c r="B668" s="2" t="s">
        <v>47</v>
      </c>
      <c r="C668" s="1" t="s">
        <v>3439</v>
      </c>
      <c r="D668" s="1" t="s">
        <v>3439</v>
      </c>
      <c r="E668" s="1" t="s">
        <v>3444</v>
      </c>
      <c r="F668" s="1" t="s">
        <v>51</v>
      </c>
      <c r="G668" s="1">
        <v>200.0</v>
      </c>
      <c r="H668" s="1" t="s">
        <v>52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53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54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56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57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f t="shared" si="1"/>
        <v>194</v>
      </c>
      <c r="AM668" s="1">
        <v>200.0</v>
      </c>
      <c r="AN668" s="1">
        <v>212.0</v>
      </c>
      <c r="AO668" s="1">
        <v>188.0</v>
      </c>
      <c r="AP668" s="2">
        <v>11.0</v>
      </c>
      <c r="AQ668" s="1">
        <v>12.0</v>
      </c>
      <c r="AR668" s="1">
        <v>12.0</v>
      </c>
      <c r="AS668" s="1" t="s">
        <v>3445</v>
      </c>
      <c r="AT668" s="3" t="str">
        <f>HYPERLINK("https://icf.clappia.com/app/GMB253374/submission/BXG01399921/ICF247370-GMB253374-1n01pmac889600000000/SIG-20250701_1450k90eh.jpeg", "SIG-20250701_1450k90eh.jpeg")</f>
        <v>SIG-20250701_1450k90eh.jpeg</v>
      </c>
      <c r="AU668" s="1" t="s">
        <v>3446</v>
      </c>
      <c r="AV668" s="3" t="str">
        <f>HYPERLINK("https://icf.clappia.com/app/GMB253374/submission/BXG01399921/ICF247370-GMB253374-5dj2ilikefio00000000/SIG-20250701_1451c9km7.jpeg", "SIG-20250701_1451c9km7.jpeg")</f>
        <v>SIG-20250701_1451c9km7.jpeg</v>
      </c>
      <c r="AW668" s="1" t="s">
        <v>3447</v>
      </c>
      <c r="AX668" s="3" t="str">
        <f>HYPERLINK("https://icf.clappia.com/app/GMB253374/submission/BXG01399921/ICF247370-GMB253374-1c0h0jak5he640000000/SIG-20250701_1451f1aok.jpeg", "SIG-20250701_1451f1aok.jpeg")</f>
        <v>SIG-20250701_1451f1aok.jpeg</v>
      </c>
      <c r="AY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3448</v>
      </c>
      <c r="B669" s="2" t="s">
        <v>47</v>
      </c>
      <c r="C669" s="1" t="s">
        <v>3449</v>
      </c>
      <c r="D669" s="1" t="s">
        <v>3449</v>
      </c>
      <c r="E669" s="1" t="s">
        <v>3450</v>
      </c>
      <c r="F669" s="1" t="s">
        <v>51</v>
      </c>
      <c r="G669" s="1">
        <v>89.0</v>
      </c>
      <c r="H669" s="1" t="s">
        <v>52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53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54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56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57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f t="shared" si="1"/>
        <v>256</v>
      </c>
      <c r="AM669" s="1">
        <v>89.0</v>
      </c>
      <c r="AN669" s="1">
        <v>101.0</v>
      </c>
      <c r="AO669" s="1">
        <v>79.0</v>
      </c>
      <c r="AP669" s="2">
        <v>11.0</v>
      </c>
      <c r="AQ669" s="1">
        <v>10.0</v>
      </c>
      <c r="AR669" s="1">
        <v>10.0</v>
      </c>
      <c r="AS669" s="1" t="s">
        <v>779</v>
      </c>
      <c r="AT669" s="3" t="str">
        <f>HYPERLINK("https://icf.clappia.com/app/GMB253374/submission/KCY45682043/ICF247370-GMB253374-1e8km03b3l70c0000000/SIG-20250702_103889035.jpeg", "SIG-20250702_103889035.jpeg")</f>
        <v>SIG-20250702_103889035.jpeg</v>
      </c>
      <c r="AU669" s="1" t="s">
        <v>780</v>
      </c>
      <c r="AV669" s="3" t="str">
        <f>HYPERLINK("https://icf.clappia.com/app/GMB253374/submission/KCY45682043/ICF247370-GMB253374-949jlf47h1200000000/SIG-20250702_1038197c05.jpeg", "SIG-20250702_1038197c05.jpeg")</f>
        <v>SIG-20250702_1038197c05.jpeg</v>
      </c>
      <c r="AW669" s="1" t="s">
        <v>781</v>
      </c>
      <c r="AX669" s="3" t="str">
        <f>HYPERLINK("https://icf.clappia.com/app/GMB253374/submission/KCY45682043/ICF247370-GMB253374-2ff74k3f79na00000000/SIG-20250702_1039fljn9.jpeg", "SIG-20250702_1039fljn9.jpeg")</f>
        <v>SIG-20250702_1039fljn9.jpeg</v>
      </c>
      <c r="AY669" s="3" t="str">
        <f>HYPERLINK("https://www.google.com/maps/place/9.20745%2C-11.9369683", "9.20745,-11.9369683")</f>
        <v>9.20745,-11.9369683</v>
      </c>
    </row>
    <row r="670" ht="15.75" customHeight="1">
      <c r="A670" s="1" t="s">
        <v>3451</v>
      </c>
      <c r="B670" s="2" t="s">
        <v>47</v>
      </c>
      <c r="C670" s="1" t="s">
        <v>3449</v>
      </c>
      <c r="D670" s="1" t="s">
        <v>3449</v>
      </c>
      <c r="E670" s="1" t="s">
        <v>3452</v>
      </c>
      <c r="F670" s="1" t="s">
        <v>51</v>
      </c>
      <c r="G670" s="1">
        <v>150.0</v>
      </c>
      <c r="H670" s="1" t="s">
        <v>52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53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54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56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57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f t="shared" si="1"/>
        <v>200</v>
      </c>
      <c r="AM670" s="1">
        <v>150.0</v>
      </c>
      <c r="AN670" s="1">
        <v>162.0</v>
      </c>
      <c r="AO670" s="1">
        <v>144.0</v>
      </c>
      <c r="AP670" s="2">
        <v>11.0</v>
      </c>
      <c r="AQ670" s="1">
        <v>6.0</v>
      </c>
      <c r="AR670" s="1">
        <v>6.0</v>
      </c>
      <c r="AS670" s="1" t="s">
        <v>2239</v>
      </c>
      <c r="AT670" s="3" t="str">
        <f>HYPERLINK("https://icf.clappia.com/app/GMB253374/submission/MFS43230919/ICF247370-GMB253374-5hii907i4eao00000000/SIG-20250702_1037m8dof.jpeg", "SIG-20250702_1037m8dof.jpeg")</f>
        <v>SIG-20250702_1037m8dof.jpeg</v>
      </c>
      <c r="AU670" s="1" t="s">
        <v>2240</v>
      </c>
      <c r="AV670" s="3" t="str">
        <f>HYPERLINK("https://icf.clappia.com/app/GMB253374/submission/MFS43230919/ICF247370-GMB253374-48pm92nie8ne00000000/SIG-20250702_10381l12c.jpeg", "SIG-20250702_10381l12c.jpeg")</f>
        <v>SIG-20250702_10381l12c.jpeg</v>
      </c>
      <c r="AW670" s="1" t="s">
        <v>2241</v>
      </c>
      <c r="AX670" s="3" t="str">
        <f>HYPERLINK("https://icf.clappia.com/app/GMB253374/submission/MFS43230919/ICF247370-GMB253374-4f7pbdnn18ac00000000/SIG-20250702_10378706a.jpeg", "SIG-20250702_10378706a.jpeg")</f>
        <v>SIG-20250702_10378706a.jpeg</v>
      </c>
      <c r="AY670" s="3" t="str">
        <f>HYPERLINK("https://www.google.com/maps/place/7.931185%2C-11.7184567", "7.931185,-11.7184567")</f>
        <v>7.931185,-11.7184567</v>
      </c>
    </row>
    <row r="671" ht="15.75" customHeight="1">
      <c r="A671" s="1" t="s">
        <v>3453</v>
      </c>
      <c r="B671" s="2" t="s">
        <v>47</v>
      </c>
      <c r="C671" s="1" t="s">
        <v>3454</v>
      </c>
      <c r="D671" s="1" t="s">
        <v>3454</v>
      </c>
      <c r="E671" s="1" t="s">
        <v>3455</v>
      </c>
      <c r="F671" s="1" t="s">
        <v>51</v>
      </c>
      <c r="G671" s="1">
        <v>286.0</v>
      </c>
      <c r="H671" s="1" t="s">
        <v>52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53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54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56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57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f t="shared" si="1"/>
        <v>286</v>
      </c>
      <c r="AM671" s="1">
        <v>286.0</v>
      </c>
      <c r="AN671" s="1">
        <v>298.0</v>
      </c>
      <c r="AO671" s="1">
        <v>286.0</v>
      </c>
      <c r="AP671" s="2">
        <v>11.0</v>
      </c>
      <c r="AQ671" s="1">
        <v>0.0</v>
      </c>
      <c r="AR671" s="1">
        <v>0.0</v>
      </c>
      <c r="AS671" s="1" t="s">
        <v>3456</v>
      </c>
      <c r="AT671" s="3" t="str">
        <f>HYPERLINK("https://icf.clappia.com/app/GMB253374/submission/EXG73296263/ICF247370-GMB253374-1i6c0827ohgd60000000/SIG-20250702_10341409g1.jpeg", "SIG-20250702_10341409g1.jpeg")</f>
        <v>SIG-20250702_10341409g1.jpeg</v>
      </c>
      <c r="AU671" s="1" t="s">
        <v>3457</v>
      </c>
      <c r="AV671" s="3" t="str">
        <f>HYPERLINK("https://icf.clappia.com/app/GMB253374/submission/EXG73296263/ICF247370-GMB253374-hg53jaaf9nh20000000/SIG-20250702_0954a21l0.jpeg", "SIG-20250702_0954a21l0.jpeg")</f>
        <v>SIG-20250702_0954a21l0.jpeg</v>
      </c>
      <c r="AW671" s="1" t="s">
        <v>3458</v>
      </c>
      <c r="AX671" s="3" t="str">
        <f>HYPERLINK("https://icf.clappia.com/app/GMB253374/submission/EXG73296263/ICF247370-GMB253374-576imom36di800000000/SIG-20250702_103424m62.jpeg", "SIG-20250702_103424m62.jpeg")</f>
        <v>SIG-20250702_103424m62.jpeg</v>
      </c>
      <c r="AY671" s="3" t="str">
        <f>HYPERLINK("https://www.google.com/maps/place/8.8749383%2C-12.2655", "8.8749383,-12.2655")</f>
        <v>8.8749383,-12.2655</v>
      </c>
    </row>
    <row r="672" ht="15.75" customHeight="1">
      <c r="A672" s="1" t="s">
        <v>3459</v>
      </c>
      <c r="B672" s="2" t="s">
        <v>47</v>
      </c>
      <c r="C672" s="1" t="s">
        <v>3460</v>
      </c>
      <c r="D672" s="1" t="s">
        <v>3460</v>
      </c>
      <c r="E672" s="1" t="s">
        <v>3461</v>
      </c>
      <c r="F672" s="1" t="s">
        <v>72</v>
      </c>
      <c r="G672" s="1">
        <v>100.0</v>
      </c>
      <c r="H672" s="1" t="s">
        <v>52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53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54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56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57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f t="shared" si="1"/>
        <v>68</v>
      </c>
      <c r="AM672" s="1">
        <v>100.0</v>
      </c>
      <c r="AN672" s="1">
        <v>112.0</v>
      </c>
      <c r="AO672" s="1">
        <v>68.0</v>
      </c>
      <c r="AP672" s="2">
        <v>11.0</v>
      </c>
      <c r="AQ672" s="1">
        <v>32.0</v>
      </c>
      <c r="AR672" s="1">
        <v>32.0</v>
      </c>
      <c r="AS672" s="1" t="s">
        <v>3462</v>
      </c>
      <c r="AT672" s="3" t="str">
        <f>HYPERLINK("https://icf.clappia.com/app/GMB253374/submission/KFS35496504/ICF247370-GMB253374-5k67b8kpb6c600000000/SIG-20250702_103216m5h2.jpeg", "SIG-20250702_103216m5h2.jpeg")</f>
        <v>SIG-20250702_103216m5h2.jpeg</v>
      </c>
      <c r="AU672" s="1" t="s">
        <v>861</v>
      </c>
      <c r="AV672" s="3" t="str">
        <f>HYPERLINK("https://icf.clappia.com/app/GMB253374/submission/KFS35496504/ICF247370-GMB253374-2lf1bg0h3llg00000000/SIG-20250702_1033o96a5.jpeg", "SIG-20250702_1033o96a5.jpeg")</f>
        <v>SIG-20250702_1033o96a5.jpeg</v>
      </c>
      <c r="AW672" s="1" t="s">
        <v>862</v>
      </c>
      <c r="AX672" s="3" t="str">
        <f>HYPERLINK("https://icf.clappia.com/app/GMB253374/submission/KFS35496504/ICF247370-GMB253374-56pkfd8jbb9i00000000/SIG-20250702_1033838m.jpeg", "SIG-20250702_1033838m.jpeg")</f>
        <v>SIG-20250702_1033838m.jpeg</v>
      </c>
      <c r="AY672" s="3" t="str">
        <f>HYPERLINK("https://www.google.com/maps/place/7.96942%2C-11.7117317", "7.96942,-11.7117317")</f>
        <v>7.96942,-11.7117317</v>
      </c>
    </row>
    <row r="673" ht="15.75" customHeight="1">
      <c r="A673" s="1" t="s">
        <v>3463</v>
      </c>
      <c r="B673" s="2" t="s">
        <v>47</v>
      </c>
      <c r="C673" s="1" t="s">
        <v>509</v>
      </c>
      <c r="D673" s="1" t="s">
        <v>509</v>
      </c>
      <c r="E673" s="1" t="s">
        <v>3464</v>
      </c>
      <c r="F673" s="1" t="s">
        <v>72</v>
      </c>
      <c r="G673" s="1">
        <v>100.0</v>
      </c>
      <c r="H673" s="1" t="s">
        <v>52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53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54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56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57</v>
      </c>
      <c r="AG673" s="1" t="s">
        <v>55</v>
      </c>
      <c r="AH673" s="1" t="s">
        <v>55</v>
      </c>
      <c r="AI673" s="1" t="s">
        <v>55</v>
      </c>
      <c r="AJ673" s="1" t="s">
        <v>55</v>
      </c>
      <c r="AK673" s="1" t="s">
        <v>55</v>
      </c>
      <c r="AL673" s="1">
        <f t="shared" si="1"/>
        <v>110</v>
      </c>
      <c r="AM673" s="1">
        <v>100.0</v>
      </c>
      <c r="AN673" s="1">
        <v>112.0</v>
      </c>
      <c r="AO673" s="1">
        <v>100.0</v>
      </c>
      <c r="AP673" s="2">
        <v>11.0</v>
      </c>
      <c r="AQ673" s="1">
        <v>0.0</v>
      </c>
      <c r="AR673" s="1">
        <v>0.0</v>
      </c>
      <c r="AS673" s="1" t="s">
        <v>2179</v>
      </c>
      <c r="AT673" s="3" t="str">
        <f>HYPERLINK("https://icf.clappia.com/app/GMB253374/submission/HHT46214941/ICF247370-GMB253374-39ifm9m1ed0400000000/SIG-20250702_10265gf0p.jpeg", "SIG-20250702_10265gf0p.jpeg")</f>
        <v>SIG-20250702_10265gf0p.jpeg</v>
      </c>
      <c r="AU673" s="1" t="s">
        <v>3465</v>
      </c>
      <c r="AV673" s="3" t="str">
        <f>HYPERLINK("https://icf.clappia.com/app/GMB253374/submission/HHT46214941/ICF247370-GMB253374-13mga14mio45e0000000/SIG-20250702_1027dcl6a.jpeg", "SIG-20250702_1027dcl6a.jpeg")</f>
        <v>SIG-20250702_1027dcl6a.jpeg</v>
      </c>
      <c r="AW673" s="1" t="s">
        <v>2181</v>
      </c>
      <c r="AX673" s="3" t="str">
        <f>HYPERLINK("https://icf.clappia.com/app/GMB253374/submission/HHT46214941/ICF247370-GMB253374-2ao5iman9glkk0000000/SIG-20250702_10276mk6b.jpeg", "SIG-20250702_10276mk6b.jpeg")</f>
        <v>SIG-20250702_10276mk6b.jpeg</v>
      </c>
      <c r="AY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3466</v>
      </c>
      <c r="B674" s="2" t="s">
        <v>47</v>
      </c>
      <c r="C674" s="1" t="s">
        <v>3467</v>
      </c>
      <c r="D674" s="1" t="s">
        <v>3467</v>
      </c>
      <c r="E674" s="1" t="s">
        <v>3468</v>
      </c>
      <c r="F674" s="1" t="s">
        <v>51</v>
      </c>
      <c r="G674" s="1">
        <v>550.0</v>
      </c>
      <c r="H674" s="1" t="s">
        <v>52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53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54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56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57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f t="shared" si="1"/>
        <v>537</v>
      </c>
      <c r="AM674" s="1">
        <v>550.0</v>
      </c>
      <c r="AN674" s="1">
        <v>562.0</v>
      </c>
      <c r="AO674" s="1">
        <v>503.0</v>
      </c>
      <c r="AP674" s="2">
        <v>11.0</v>
      </c>
      <c r="AQ674" s="1">
        <v>47.0</v>
      </c>
      <c r="AR674" s="1">
        <v>47.0</v>
      </c>
      <c r="AS674" s="1" t="s">
        <v>3246</v>
      </c>
      <c r="AT674" s="3" t="str">
        <f>HYPERLINK("https://icf.clappia.com/app/GMB253374/submission/DDR30235202/ICF247370-GMB253374-24d0g6a9ne2jg0000000/SIG-20250702_102510di27.jpeg", "SIG-20250702_102510di27.jpeg")</f>
        <v>SIG-20250702_102510di27.jpeg</v>
      </c>
      <c r="AU674" s="1" t="s">
        <v>3247</v>
      </c>
      <c r="AV674" s="3" t="str">
        <f>HYPERLINK("https://icf.clappia.com/app/GMB253374/submission/DDR30235202/ICF247370-GMB253374-1ckmf6f0ka3di0000000/SIG-20250702_1025kpjc3.jpeg", "SIG-20250702_1025kpjc3.jpeg")</f>
        <v>SIG-20250702_1025kpjc3.jpeg</v>
      </c>
      <c r="AW674" s="1" t="s">
        <v>3469</v>
      </c>
      <c r="AX674" s="3" t="str">
        <f>HYPERLINK("https://icf.clappia.com/app/GMB253374/submission/DDR30235202/ICF247370-GMB253374-1333pd3d175ag0000000/SIG-20250702_1027c2c4n.jpeg", "SIG-20250702_1027c2c4n.jpeg")</f>
        <v>SIG-20250702_1027c2c4n.jpeg</v>
      </c>
      <c r="AY674" s="3" t="str">
        <f>HYPERLINK("https://www.google.com/maps/place/8.770135%2C-11.997115", "8.770135,-11.997115")</f>
        <v>8.770135,-11.997115</v>
      </c>
    </row>
    <row r="675" ht="15.75" customHeight="1">
      <c r="A675" s="1" t="s">
        <v>3470</v>
      </c>
      <c r="B675" s="2" t="s">
        <v>47</v>
      </c>
      <c r="C675" s="1" t="s">
        <v>3471</v>
      </c>
      <c r="D675" s="1" t="s">
        <v>3471</v>
      </c>
      <c r="E675" s="1" t="s">
        <v>3472</v>
      </c>
      <c r="F675" s="1" t="s">
        <v>51</v>
      </c>
      <c r="G675" s="1">
        <v>100.0</v>
      </c>
      <c r="H675" s="1" t="s">
        <v>52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53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54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56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57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f t="shared" si="1"/>
        <v>273</v>
      </c>
      <c r="AM675" s="1">
        <v>100.0</v>
      </c>
      <c r="AN675" s="1">
        <v>112.0</v>
      </c>
      <c r="AO675" s="1">
        <v>100.0</v>
      </c>
      <c r="AP675" s="2">
        <v>11.0</v>
      </c>
      <c r="AQ675" s="1">
        <v>0.0</v>
      </c>
      <c r="AR675" s="1">
        <v>0.0</v>
      </c>
      <c r="AS675" s="1" t="s">
        <v>2076</v>
      </c>
      <c r="AT675" s="3" t="str">
        <f>HYPERLINK("https://icf.clappia.com/app/GMB253374/submission/QUM01110686/ICF247370-GMB253374-28h3e66modc560000000/SIG-20250702_1022bf2a7.jpeg", "SIG-20250702_1022bf2a7.jpeg")</f>
        <v>SIG-20250702_1022bf2a7.jpeg</v>
      </c>
      <c r="AU675" s="1" t="s">
        <v>2077</v>
      </c>
      <c r="AV675" s="3" t="str">
        <f>HYPERLINK("https://icf.clappia.com/app/GMB253374/submission/QUM01110686/ICF247370-GMB253374-144296okpb3f60000000/SIG-20250702_1026bb7l5.jpeg", "SIG-20250702_1026bb7l5.jpeg")</f>
        <v>SIG-20250702_1026bb7l5.jpeg</v>
      </c>
      <c r="AW675" s="1" t="s">
        <v>2078</v>
      </c>
      <c r="AX675" s="3" t="str">
        <f>HYPERLINK("https://icf.clappia.com/app/GMB253374/submission/QUM01110686/ICF247370-GMB253374-3ah2hk7fho6800000000/SIG-20250702_1026cdmbg.jpeg", "SIG-20250702_1026cdmbg.jpeg")</f>
        <v>SIG-20250702_1026cdmbg.jpeg</v>
      </c>
      <c r="AY675" s="3" t="str">
        <f>HYPERLINK("https://www.google.com/maps/place/7.945985%2C-11.7341967", "7.945985,-11.7341967")</f>
        <v>7.945985,-11.7341967</v>
      </c>
    </row>
    <row r="676" ht="15.75" customHeight="1">
      <c r="A676" s="1" t="s">
        <v>3473</v>
      </c>
      <c r="B676" s="2" t="s">
        <v>47</v>
      </c>
      <c r="C676" s="1" t="s">
        <v>367</v>
      </c>
      <c r="D676" s="1" t="s">
        <v>367</v>
      </c>
      <c r="E676" s="1" t="s">
        <v>3474</v>
      </c>
      <c r="F676" s="1" t="s">
        <v>51</v>
      </c>
      <c r="G676" s="1">
        <v>290.0</v>
      </c>
      <c r="H676" s="1" t="s">
        <v>52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53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54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56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57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f t="shared" si="1"/>
        <v>290</v>
      </c>
      <c r="AM676" s="1">
        <v>290.0</v>
      </c>
      <c r="AN676" s="1">
        <v>302.0</v>
      </c>
      <c r="AO676" s="1">
        <v>285.0</v>
      </c>
      <c r="AP676" s="2">
        <v>11.0</v>
      </c>
      <c r="AQ676" s="1">
        <v>5.0</v>
      </c>
      <c r="AR676" s="1">
        <v>5.0</v>
      </c>
      <c r="AS676" s="1" t="s">
        <v>1822</v>
      </c>
      <c r="AT676" s="3" t="str">
        <f>HYPERLINK("https://icf.clappia.com/app/GMB253374/submission/OTF54972959/ICF247370-GMB253374-25pk8jemi5djm0000000/SIG-20250702_1024mhgjl.jpeg", "SIG-20250702_1024mhgjl.jpeg")</f>
        <v>SIG-20250702_1024mhgjl.jpeg</v>
      </c>
      <c r="AU676" s="1" t="s">
        <v>2741</v>
      </c>
      <c r="AV676" s="3" t="str">
        <f>HYPERLINK("https://icf.clappia.com/app/GMB253374/submission/OTF54972959/ICF247370-GMB253374-34jd758dk49o00000000/SIG-20250702_102519o5bn.jpeg", "SIG-20250702_102519o5bn.jpeg")</f>
        <v>SIG-20250702_102519o5bn.jpeg</v>
      </c>
      <c r="AW676" s="1" t="s">
        <v>1067</v>
      </c>
      <c r="AX676" s="3" t="str">
        <f>HYPERLINK("https://icf.clappia.com/app/GMB253374/submission/OTF54972959/ICF247370-GMB253374-389i7o0l10fa00000000/SIG-20250702_10261529m3.jpeg", "SIG-20250702_10261529m3.jpeg")</f>
        <v>SIG-20250702_10261529m3.jpeg</v>
      </c>
      <c r="AY676" s="3" t="str">
        <f>HYPERLINK("https://www.google.com/maps/place/8.878525%2C-12.2948283", "8.878525,-12.2948283")</f>
        <v>8.878525,-12.2948283</v>
      </c>
    </row>
    <row r="677" ht="15.75" customHeight="1">
      <c r="A677" s="1" t="s">
        <v>3475</v>
      </c>
      <c r="B677" s="2" t="s">
        <v>47</v>
      </c>
      <c r="C677" s="1" t="s">
        <v>3476</v>
      </c>
      <c r="D677" s="1" t="s">
        <v>3477</v>
      </c>
      <c r="E677" s="1" t="s">
        <v>3478</v>
      </c>
      <c r="F677" s="1" t="s">
        <v>51</v>
      </c>
      <c r="G677" s="1">
        <v>176.0</v>
      </c>
      <c r="H677" s="1" t="s">
        <v>52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53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54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56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57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f t="shared" si="1"/>
        <v>176</v>
      </c>
      <c r="AM677" s="1">
        <v>176.0</v>
      </c>
      <c r="AN677" s="1">
        <v>188.0</v>
      </c>
      <c r="AO677" s="1">
        <v>176.0</v>
      </c>
      <c r="AP677" s="2">
        <v>11.0</v>
      </c>
      <c r="AQ677" s="1">
        <v>0.0</v>
      </c>
      <c r="AR677" s="1">
        <v>0.0</v>
      </c>
      <c r="AS677" s="1" t="s">
        <v>1393</v>
      </c>
      <c r="AT677" s="3" t="str">
        <f>HYPERLINK("https://icf.clappia.com/app/GMB253374/submission/IUN06780523/ICF247370-GMB253374-369j79n0o37a00000000/SIG-20250702_0855n6oio.jpeg", "SIG-20250702_0855n6oio.jpeg")</f>
        <v>SIG-20250702_0855n6oio.jpeg</v>
      </c>
      <c r="AU677" s="1" t="s">
        <v>1394</v>
      </c>
      <c r="AV677" s="3" t="str">
        <f>HYPERLINK("https://icf.clappia.com/app/GMB253374/submission/IUN06780523/ICF247370-GMB253374-kdd3m4ibj5jm0000000/SIG-20250702_0854omip0.jpeg", "SIG-20250702_0854omip0.jpeg")</f>
        <v>SIG-20250702_0854omip0.jpeg</v>
      </c>
      <c r="AW677" s="1" t="s">
        <v>3479</v>
      </c>
      <c r="AX677" s="3" t="str">
        <f>HYPERLINK("https://icf.clappia.com/app/GMB253374/submission/IUN06780523/ICF247370-GMB253374-2bmg17g0l52000000000/SIG-20250702_085873782.jpeg", "SIG-20250702_085873782.jpeg")</f>
        <v>SIG-20250702_085873782.jpeg</v>
      </c>
      <c r="AY677" s="3" t="str">
        <f>HYPERLINK("https://www.google.com/maps/place/7.893435%2C-11.59986", "7.893435,-11.59986")</f>
        <v>7.893435,-11.59986</v>
      </c>
    </row>
    <row r="678" ht="15.75" customHeight="1">
      <c r="A678" s="1" t="s">
        <v>3480</v>
      </c>
      <c r="B678" s="2" t="s">
        <v>47</v>
      </c>
      <c r="C678" s="1" t="s">
        <v>3477</v>
      </c>
      <c r="D678" s="1" t="s">
        <v>3477</v>
      </c>
      <c r="E678" s="1" t="s">
        <v>3481</v>
      </c>
      <c r="F678" s="1" t="s">
        <v>72</v>
      </c>
      <c r="G678" s="1">
        <v>50.0</v>
      </c>
      <c r="H678" s="1" t="s">
        <v>52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53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54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56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57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f t="shared" si="1"/>
        <v>52</v>
      </c>
      <c r="AM678" s="1">
        <v>50.0</v>
      </c>
      <c r="AN678" s="1">
        <v>62.0</v>
      </c>
      <c r="AO678" s="1">
        <v>50.0</v>
      </c>
      <c r="AP678" s="2">
        <v>11.0</v>
      </c>
      <c r="AQ678" s="1">
        <v>0.0</v>
      </c>
      <c r="AR678" s="1">
        <v>0.0</v>
      </c>
      <c r="AS678" s="1" t="s">
        <v>822</v>
      </c>
      <c r="AT678" s="3" t="str">
        <f>HYPERLINK("https://icf.clappia.com/app/GMB253374/submission/AAG18323961/ICF247370-GMB253374-65p06n7f059m00000000/SIG-20250702_101717fcpi.jpeg", "SIG-20250702_101717fcpi.jpeg")</f>
        <v>SIG-20250702_101717fcpi.jpeg</v>
      </c>
      <c r="AU678" s="1" t="s">
        <v>3482</v>
      </c>
      <c r="AV678" s="3" t="str">
        <f>HYPERLINK("https://icf.clappia.com/app/GMB253374/submission/AAG18323961/ICF247370-GMB253374-3jefj0ogiema00000000/SIG-20250702_1017do4p2.jpeg", "SIG-20250702_1017do4p2.jpeg")</f>
        <v>SIG-20250702_1017do4p2.jpeg</v>
      </c>
      <c r="AW678" s="1" t="s">
        <v>3483</v>
      </c>
      <c r="AX678" s="3" t="str">
        <f>HYPERLINK("https://icf.clappia.com/app/GMB253374/submission/AAG18323961/ICF247370-GMB253374-ep1o9j76d9eo0000000/SIG-20250702_10178en9j.jpeg", "SIG-20250702_10178en9j.jpeg")</f>
        <v>SIG-20250702_10178en9j.jpeg</v>
      </c>
      <c r="AY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3484</v>
      </c>
      <c r="B679" s="2" t="s">
        <v>47</v>
      </c>
      <c r="C679" s="1" t="s">
        <v>3485</v>
      </c>
      <c r="D679" s="1" t="s">
        <v>3485</v>
      </c>
      <c r="E679" s="1" t="s">
        <v>3486</v>
      </c>
      <c r="F679" s="1" t="s">
        <v>51</v>
      </c>
      <c r="G679" s="1">
        <v>107.0</v>
      </c>
      <c r="H679" s="1" t="s">
        <v>52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53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54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56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57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f t="shared" si="1"/>
        <v>97</v>
      </c>
      <c r="AM679" s="1">
        <v>107.0</v>
      </c>
      <c r="AN679" s="1">
        <v>119.0</v>
      </c>
      <c r="AO679" s="1">
        <v>93.0</v>
      </c>
      <c r="AP679" s="2">
        <v>11.0</v>
      </c>
      <c r="AQ679" s="1">
        <v>14.0</v>
      </c>
      <c r="AR679" s="1">
        <v>14.0</v>
      </c>
      <c r="AS679" s="1" t="s">
        <v>3487</v>
      </c>
      <c r="AT679" s="3" t="str">
        <f>HYPERLINK("https://icf.clappia.com/app/GMB253374/submission/PPW65542002/ICF247370-GMB253374-216fbgjcnob8k0000000/SIG-20250702_0929nakf7.jpeg", "SIG-20250702_0929nakf7.jpeg")</f>
        <v>SIG-20250702_0929nakf7.jpeg</v>
      </c>
      <c r="AU679" s="1" t="s">
        <v>3488</v>
      </c>
      <c r="AV679" s="3" t="str">
        <f>HYPERLINK("https://icf.clappia.com/app/GMB253374/submission/PPW65542002/ICF247370-GMB253374-5kahbljl751i00000000/SIG-20250702_09307emc3.jpeg", "SIG-20250702_09307emc3.jpeg")</f>
        <v>SIG-20250702_09307emc3.jpeg</v>
      </c>
      <c r="AW679" s="1" t="s">
        <v>3489</v>
      </c>
      <c r="AX679" s="3" t="str">
        <f>HYPERLINK("https://icf.clappia.com/app/GMB253374/submission/PPW65542002/ICF247370-GMB253374-4d7134caoal000000000/SIG-20250702_09311556jc.jpeg", "SIG-20250702_09311556jc.jpeg")</f>
        <v>SIG-20250702_09311556jc.jpeg</v>
      </c>
      <c r="AY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3490</v>
      </c>
      <c r="B680" s="2" t="s">
        <v>47</v>
      </c>
      <c r="C680" s="1" t="s">
        <v>3491</v>
      </c>
      <c r="D680" s="1" t="s">
        <v>3491</v>
      </c>
      <c r="E680" s="1" t="s">
        <v>3492</v>
      </c>
      <c r="F680" s="1" t="s">
        <v>72</v>
      </c>
      <c r="G680" s="1">
        <v>156.0</v>
      </c>
      <c r="H680" s="1" t="s">
        <v>52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53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54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56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57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f t="shared" si="1"/>
        <v>156</v>
      </c>
      <c r="AM680" s="1">
        <v>156.0</v>
      </c>
      <c r="AN680" s="1">
        <v>168.0</v>
      </c>
      <c r="AO680" s="1">
        <v>156.0</v>
      </c>
      <c r="AP680" s="2">
        <v>11.0</v>
      </c>
      <c r="AQ680" s="1">
        <v>0.0</v>
      </c>
      <c r="AR680" s="1">
        <v>0.0</v>
      </c>
      <c r="AS680" s="1" t="s">
        <v>2344</v>
      </c>
      <c r="AT680" s="3" t="str">
        <f>HYPERLINK("https://icf.clappia.com/app/GMB253374/submission/YDJ47750656/ICF247370-GMB253374-1ahpo8925267i0000000/SIG-20250702_10104bnl0.jpeg", "SIG-20250702_10104bnl0.jpeg")</f>
        <v>SIG-20250702_10104bnl0.jpeg</v>
      </c>
      <c r="AU680" s="1" t="s">
        <v>2346</v>
      </c>
      <c r="AV680" s="3" t="str">
        <f>HYPERLINK("https://icf.clappia.com/app/GMB253374/submission/YDJ47750656/ICF247370-GMB253374-3biek6ep6j3g00000000/SIG-20250702_1010lnek6.jpeg", "SIG-20250702_1010lnek6.jpeg")</f>
        <v>SIG-20250702_1010lnek6.jpeg</v>
      </c>
      <c r="AW680" s="1" t="s">
        <v>3493</v>
      </c>
      <c r="AX680" s="3" t="str">
        <f>HYPERLINK("https://icf.clappia.com/app/GMB253374/submission/YDJ47750656/ICF247370-GMB253374-3pea9lcf9jk600000000/SIG-20250702_1011ejlf5.jpeg", "SIG-20250702_1011ejlf5.jpeg")</f>
        <v>SIG-20250702_1011ejlf5.jpeg</v>
      </c>
      <c r="AY680" s="3" t="str">
        <f>HYPERLINK("https://www.google.com/maps/place/7.956395%2C-11.77597", "7.956395,-11.77597")</f>
        <v>7.956395,-11.77597</v>
      </c>
    </row>
    <row r="681" ht="15.75" customHeight="1">
      <c r="A681" s="1" t="s">
        <v>3494</v>
      </c>
      <c r="B681" s="2" t="s">
        <v>47</v>
      </c>
      <c r="C681" s="1" t="s">
        <v>3495</v>
      </c>
      <c r="D681" s="1" t="s">
        <v>3495</v>
      </c>
      <c r="E681" s="1" t="s">
        <v>3496</v>
      </c>
      <c r="F681" s="1" t="s">
        <v>51</v>
      </c>
      <c r="G681" s="1">
        <v>200.0</v>
      </c>
      <c r="H681" s="1" t="s">
        <v>52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53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54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56</v>
      </c>
      <c r="AA681" s="1" t="s">
        <v>55</v>
      </c>
      <c r="AB681" s="1" t="s">
        <v>55</v>
      </c>
      <c r="AC681" s="1" t="s">
        <v>55</v>
      </c>
      <c r="AD681" s="1" t="s">
        <v>55</v>
      </c>
      <c r="AE681" s="1" t="s">
        <v>55</v>
      </c>
      <c r="AF681" s="1" t="s">
        <v>57</v>
      </c>
      <c r="AG681" s="1" t="s">
        <v>55</v>
      </c>
      <c r="AH681" s="1" t="s">
        <v>55</v>
      </c>
      <c r="AI681" s="1" t="s">
        <v>55</v>
      </c>
      <c r="AJ681" s="1" t="s">
        <v>55</v>
      </c>
      <c r="AK681" s="1" t="s">
        <v>55</v>
      </c>
      <c r="AL681" s="1">
        <f t="shared" si="1"/>
        <v>170</v>
      </c>
      <c r="AM681" s="1">
        <v>200.0</v>
      </c>
      <c r="AN681" s="1">
        <v>212.0</v>
      </c>
      <c r="AO681" s="1">
        <v>170.0</v>
      </c>
      <c r="AP681" s="2">
        <v>11.0</v>
      </c>
      <c r="AQ681" s="1">
        <v>30.0</v>
      </c>
      <c r="AR681" s="1">
        <v>30.0</v>
      </c>
      <c r="AS681" s="1" t="s">
        <v>3497</v>
      </c>
      <c r="AT681" s="3" t="str">
        <f>HYPERLINK("https://icf.clappia.com/app/GMB253374/submission/KOV96571481/ICF247370-GMB253374-1o23179j779gk0000000/SIG-20250702_1005akjkj.jpeg", "SIG-20250702_1005akjkj.jpeg")</f>
        <v>SIG-20250702_1005akjkj.jpeg</v>
      </c>
      <c r="AU681" s="1" t="s">
        <v>3498</v>
      </c>
      <c r="AV681" s="3" t="str">
        <f>HYPERLINK("https://icf.clappia.com/app/GMB253374/submission/KOV96571481/ICF247370-GMB253374-62hbheaabcf600000000/SIG-20250702_1006dkpao.jpeg", "SIG-20250702_1006dkpao.jpeg")</f>
        <v>SIG-20250702_1006dkpao.jpeg</v>
      </c>
      <c r="AW681" s="1" t="s">
        <v>3499</v>
      </c>
      <c r="AX681" s="3" t="str">
        <f>HYPERLINK("https://icf.clappia.com/app/GMB253374/submission/KOV96571481/ICF247370-GMB253374-89060mlddnmk0000000/SIG-20250702_10066a5el.jpeg", "SIG-20250702_10066a5el.jpeg")</f>
        <v>SIG-20250702_10066a5el.jpeg</v>
      </c>
      <c r="AY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3500</v>
      </c>
      <c r="B682" s="2" t="s">
        <v>47</v>
      </c>
      <c r="C682" s="1" t="s">
        <v>3501</v>
      </c>
      <c r="D682" s="1" t="s">
        <v>3501</v>
      </c>
      <c r="E682" s="1" t="s">
        <v>3502</v>
      </c>
      <c r="F682" s="1" t="s">
        <v>51</v>
      </c>
      <c r="G682" s="1">
        <v>300.0</v>
      </c>
      <c r="H682" s="1" t="s">
        <v>52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53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54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56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57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f t="shared" si="1"/>
        <v>299</v>
      </c>
      <c r="AM682" s="1">
        <v>300.0</v>
      </c>
      <c r="AN682" s="1">
        <v>312.0</v>
      </c>
      <c r="AO682" s="1">
        <v>290.0</v>
      </c>
      <c r="AP682" s="2">
        <v>11.0</v>
      </c>
      <c r="AQ682" s="1">
        <v>10.0</v>
      </c>
      <c r="AR682" s="1">
        <v>10.0</v>
      </c>
      <c r="AS682" s="1" t="s">
        <v>3503</v>
      </c>
      <c r="AT682" s="3" t="str">
        <f>HYPERLINK("https://icf.clappia.com/app/GMB253374/submission/EKJ63794499/ICF247370-GMB253374-17kf2h8cnokp60000000/SIG-20250702_1005oma8d.jpeg", "SIG-20250702_1005oma8d.jpeg")</f>
        <v>SIG-20250702_1005oma8d.jpeg</v>
      </c>
      <c r="AU682" s="1" t="s">
        <v>3504</v>
      </c>
      <c r="AV682" s="3" t="str">
        <f>HYPERLINK("https://icf.clappia.com/app/GMB253374/submission/EKJ63794499/ICF247370-GMB253374-1ce3718m49f8c0000000/SIG-20250702_1006i2eb1.jpeg", "SIG-20250702_1006i2eb1.jpeg")</f>
        <v>SIG-20250702_1006i2eb1.jpeg</v>
      </c>
      <c r="AW682" s="1" t="s">
        <v>610</v>
      </c>
      <c r="AX682" s="3" t="str">
        <f>HYPERLINK("https://icf.clappia.com/app/GMB253374/submission/EKJ63794499/ICF247370-GMB253374-2ibbej333h3800000000/SIG-20250702_1008jihij.jpeg", "SIG-20250702_1008jihij.jpeg")</f>
        <v>SIG-20250702_1008jihij.jpeg</v>
      </c>
      <c r="AY682" s="3" t="str">
        <f>HYPERLINK("https://www.google.com/maps/place/8.79549%2C-12.0259517", "8.79549,-12.0259517")</f>
        <v>8.79549,-12.0259517</v>
      </c>
    </row>
    <row r="683" ht="15.75" customHeight="1">
      <c r="A683" s="1" t="s">
        <v>3505</v>
      </c>
      <c r="B683" s="2" t="s">
        <v>47</v>
      </c>
      <c r="C683" s="1" t="s">
        <v>3506</v>
      </c>
      <c r="D683" s="1" t="s">
        <v>3506</v>
      </c>
      <c r="E683" s="1" t="s">
        <v>3507</v>
      </c>
      <c r="F683" s="1" t="s">
        <v>72</v>
      </c>
      <c r="G683" s="1">
        <v>50.0</v>
      </c>
      <c r="H683" s="1" t="s">
        <v>52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53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54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56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57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f t="shared" si="1"/>
        <v>47</v>
      </c>
      <c r="AM683" s="1">
        <v>50.0</v>
      </c>
      <c r="AN683" s="1">
        <v>62.0</v>
      </c>
      <c r="AO683" s="1">
        <v>47.0</v>
      </c>
      <c r="AP683" s="2">
        <v>11.0</v>
      </c>
      <c r="AQ683" s="1">
        <v>3.0</v>
      </c>
      <c r="AR683" s="1">
        <v>3.0</v>
      </c>
      <c r="AS683" s="1" t="s">
        <v>3508</v>
      </c>
      <c r="AT683" s="3" t="str">
        <f>HYPERLINK("https://icf.clappia.com/app/GMB253374/submission/ERV44677257/ICF247370-GMB253374-nb6kn10cki3a0000000/SIG-20250702_1003162h5l.jpeg", "SIG-20250702_1003162h5l.jpeg")</f>
        <v>SIG-20250702_1003162h5l.jpeg</v>
      </c>
      <c r="AU683" s="1" t="s">
        <v>3509</v>
      </c>
      <c r="AV683" s="3" t="str">
        <f>HYPERLINK("https://icf.clappia.com/app/GMB253374/submission/ERV44677257/ICF247370-GMB253374-61eclpae1mga00000000/SIG-20250702_100315bc5d.jpeg", "SIG-20250702_100315bc5d.jpeg")</f>
        <v>SIG-20250702_100315bc5d.jpeg</v>
      </c>
      <c r="AW683" s="1" t="s">
        <v>3510</v>
      </c>
      <c r="AX683" s="3" t="str">
        <f>HYPERLINK("https://icf.clappia.com/app/GMB253374/submission/ERV44677257/ICF247370-GMB253374-4pnd5p6h2io600000000/SIG-20250702_100414nonn.jpeg", "SIG-20250702_100414nonn.jpeg")</f>
        <v>SIG-20250702_100414nonn.jpeg</v>
      </c>
      <c r="AY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3511</v>
      </c>
      <c r="B684" s="2" t="s">
        <v>47</v>
      </c>
      <c r="C684" s="1" t="s">
        <v>3512</v>
      </c>
      <c r="D684" s="1" t="s">
        <v>3513</v>
      </c>
      <c r="E684" s="1" t="s">
        <v>3514</v>
      </c>
      <c r="F684" s="1" t="s">
        <v>51</v>
      </c>
      <c r="G684" s="1">
        <v>239.0</v>
      </c>
      <c r="H684" s="1" t="s">
        <v>52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53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54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56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57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f t="shared" si="1"/>
        <v>239</v>
      </c>
      <c r="AM684" s="1">
        <v>239.0</v>
      </c>
      <c r="AN684" s="1">
        <v>251.0</v>
      </c>
      <c r="AO684" s="1">
        <v>213.0</v>
      </c>
      <c r="AP684" s="2">
        <v>11.0</v>
      </c>
      <c r="AQ684" s="1">
        <v>26.0</v>
      </c>
      <c r="AR684" s="1">
        <v>26.0</v>
      </c>
      <c r="AS684" s="1" t="s">
        <v>3515</v>
      </c>
      <c r="AT684" s="3" t="str">
        <f>HYPERLINK("https://icf.clappia.com/app/GMB253374/submission/IOJ39055662/ICF247370-GMB253374-15k7o0kimbkf80000000/SIG-20250630_13111gc2m.jpeg", "SIG-20250630_13111gc2m.jpeg")</f>
        <v>SIG-20250630_13111gc2m.jpeg</v>
      </c>
      <c r="AU684" s="1" t="s">
        <v>3516</v>
      </c>
      <c r="AV684" s="3" t="str">
        <f>HYPERLINK("https://icf.clappia.com/app/GMB253374/submission/IOJ39055662/ICF247370-GMB253374-657591h6glic00000000/SIG-20250630_131112gdg.jpeg", "SIG-20250630_131112gdg.jpeg")</f>
        <v>SIG-20250630_131112gdg.jpeg</v>
      </c>
      <c r="AW684" s="1" t="s">
        <v>576</v>
      </c>
      <c r="AX684" s="3" t="str">
        <f>HYPERLINK("https://icf.clappia.com/app/GMB253374/submission/IOJ39055662/ICF247370-GMB253374-6eh3m3bd0p6o0000000/SIG-20250630_131216ik04.jpeg", "SIG-20250630_131216ik04.jpeg")</f>
        <v>SIG-20250630_131216ik04.jpeg</v>
      </c>
      <c r="AY684" s="3" t="str">
        <f>HYPERLINK("https://www.google.com/maps/place/7.6683981%2C-11.861433", "7.6683981,-11.861433")</f>
        <v>7.6683981,-11.861433</v>
      </c>
    </row>
    <row r="685" ht="15.75" customHeight="1">
      <c r="A685" s="1" t="s">
        <v>3517</v>
      </c>
      <c r="B685" s="2" t="s">
        <v>47</v>
      </c>
      <c r="C685" s="1" t="s">
        <v>3518</v>
      </c>
      <c r="D685" s="1" t="s">
        <v>3518</v>
      </c>
      <c r="E685" s="1" t="s">
        <v>3519</v>
      </c>
      <c r="F685" s="1" t="s">
        <v>51</v>
      </c>
      <c r="G685" s="1">
        <v>280.0</v>
      </c>
      <c r="H685" s="1" t="s">
        <v>52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53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54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56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57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f t="shared" si="1"/>
        <v>280</v>
      </c>
      <c r="AM685" s="1">
        <v>280.0</v>
      </c>
      <c r="AN685" s="1">
        <v>292.0</v>
      </c>
      <c r="AO685" s="1">
        <v>280.0</v>
      </c>
      <c r="AP685" s="2">
        <v>11.0</v>
      </c>
      <c r="AQ685" s="1">
        <v>0.0</v>
      </c>
      <c r="AR685" s="1">
        <v>0.0</v>
      </c>
      <c r="AS685" s="1" t="s">
        <v>3520</v>
      </c>
      <c r="AT685" s="3" t="str">
        <f>HYPERLINK("https://icf.clappia.com/app/GMB253374/submission/YNC48819992/ICF247370-GMB253374-3ccdga3b440o0000000/SIG-20250702_095613bl8a.jpeg", "SIG-20250702_095613bl8a.jpeg")</f>
        <v>SIG-20250702_095613bl8a.jpeg</v>
      </c>
      <c r="AU685" s="1" t="s">
        <v>3521</v>
      </c>
      <c r="AV685" s="3" t="str">
        <f>HYPERLINK("https://icf.clappia.com/app/GMB253374/submission/YNC48819992/ICF247370-GMB253374-d9cdpcppne640000000/SIG-20250702_0956198gg7.jpeg", "SIG-20250702_0956198gg7.jpeg")</f>
        <v>SIG-20250702_0956198gg7.jpeg</v>
      </c>
      <c r="AW685" s="1" t="s">
        <v>3522</v>
      </c>
      <c r="AX685" s="3" t="str">
        <f>HYPERLINK("https://icf.clappia.com/app/GMB253374/submission/YNC48819992/ICF247370-GMB253374-4dl8e1kb9bmo00000000/SIG-20250702_09571cj95.jpeg", "SIG-20250702_09571cj95.jpeg")</f>
        <v>SIG-20250702_09571cj95.jpeg</v>
      </c>
      <c r="AY685" s="3" t="str">
        <f>HYPERLINK("https://www.google.com/maps/place/8.70163%2C-12.233595", "8.70163,-12.233595")</f>
        <v>8.70163,-12.233595</v>
      </c>
    </row>
    <row r="686" ht="15.75" customHeight="1">
      <c r="A686" s="1" t="s">
        <v>3523</v>
      </c>
      <c r="B686" s="2" t="s">
        <v>47</v>
      </c>
      <c r="C686" s="1" t="s">
        <v>3518</v>
      </c>
      <c r="D686" s="1" t="s">
        <v>3518</v>
      </c>
      <c r="E686" s="1" t="s">
        <v>3524</v>
      </c>
      <c r="F686" s="1" t="s">
        <v>72</v>
      </c>
      <c r="G686" s="1">
        <v>158.0</v>
      </c>
      <c r="H686" s="1" t="s">
        <v>52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53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54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56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57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f t="shared" si="1"/>
        <v>159</v>
      </c>
      <c r="AM686" s="1">
        <v>158.0</v>
      </c>
      <c r="AN686" s="1">
        <v>170.0</v>
      </c>
      <c r="AO686" s="1">
        <v>89.0</v>
      </c>
      <c r="AP686" s="2">
        <v>11.0</v>
      </c>
      <c r="AQ686" s="1">
        <v>69.0</v>
      </c>
      <c r="AR686" s="1">
        <v>69.0</v>
      </c>
      <c r="AS686" s="1" t="s">
        <v>1535</v>
      </c>
      <c r="AT686" s="3" t="str">
        <f>HYPERLINK("https://icf.clappia.com/app/GMB253374/submission/HQX49051984/ICF247370-GMB253374-4ieanch2egnc00000000/SIG-20250702_0942jlpd7.jpeg", "SIG-20250702_0942jlpd7.jpeg")</f>
        <v>SIG-20250702_0942jlpd7.jpeg</v>
      </c>
      <c r="AU686" s="1" t="s">
        <v>3525</v>
      </c>
      <c r="AV686" s="3" t="str">
        <f>HYPERLINK("https://icf.clappia.com/app/GMB253374/submission/HQX49051984/ICF247370-GMB253374-52bilb7pkma000000000/SIG-20250702_09429bkkp.jpeg", "SIG-20250702_09429bkkp.jpeg")</f>
        <v>SIG-20250702_09429bkkp.jpeg</v>
      </c>
      <c r="AW686" s="1" t="s">
        <v>3526</v>
      </c>
      <c r="AX686" s="3" t="str">
        <f>HYPERLINK("https://icf.clappia.com/app/GMB253374/submission/HQX49051984/ICF247370-GMB253374-2eohc9o8e3d000000000/SIG-20250702_0942kchmg.jpeg", "SIG-20250702_0942kchmg.jpeg")</f>
        <v>SIG-20250702_0942kchmg.jpeg</v>
      </c>
      <c r="AY686" s="3" t="str">
        <f>HYPERLINK("https://www.google.com/maps/place/8.8788417%2C-12.03203", "8.8788417,-12.03203")</f>
        <v>8.8788417,-12.03203</v>
      </c>
    </row>
    <row r="687" ht="15.75" customHeight="1">
      <c r="A687" s="1" t="s">
        <v>3527</v>
      </c>
      <c r="B687" s="2" t="s">
        <v>47</v>
      </c>
      <c r="C687" s="1" t="s">
        <v>3528</v>
      </c>
      <c r="D687" s="1" t="s">
        <v>3528</v>
      </c>
      <c r="E687" s="1" t="s">
        <v>3529</v>
      </c>
      <c r="F687" s="1" t="s">
        <v>51</v>
      </c>
      <c r="G687" s="1">
        <v>100.0</v>
      </c>
      <c r="H687" s="1" t="s">
        <v>52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53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54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56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57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f t="shared" si="1"/>
        <v>100</v>
      </c>
      <c r="AM687" s="1">
        <v>100.0</v>
      </c>
      <c r="AN687" s="1">
        <v>112.0</v>
      </c>
      <c r="AO687" s="1">
        <v>100.0</v>
      </c>
      <c r="AP687" s="2">
        <v>11.0</v>
      </c>
      <c r="AQ687" s="1">
        <v>0.0</v>
      </c>
      <c r="AR687" s="1">
        <v>0.0</v>
      </c>
      <c r="AS687" s="1" t="s">
        <v>2179</v>
      </c>
      <c r="AT687" s="3" t="str">
        <f>HYPERLINK("https://icf.clappia.com/app/GMB253374/submission/YHU97106281/ICF247370-GMB253374-17b0l7afih9b60000000/SIG-20250702_09431936i2.jpeg", "SIG-20250702_09431936i2.jpeg")</f>
        <v>SIG-20250702_09431936i2.jpeg</v>
      </c>
      <c r="AU687" s="1" t="s">
        <v>2180</v>
      </c>
      <c r="AV687" s="3" t="str">
        <f>HYPERLINK("https://icf.clappia.com/app/GMB253374/submission/YHU97106281/ICF247370-GMB253374-3f7lh6m8c12600000000/SIG-20250702_0944moi5e.jpeg", "SIG-20250702_0944moi5e.jpeg")</f>
        <v>SIG-20250702_0944moi5e.jpeg</v>
      </c>
      <c r="AW687" s="1" t="s">
        <v>2181</v>
      </c>
      <c r="AX687" s="3" t="str">
        <f>HYPERLINK("https://icf.clappia.com/app/GMB253374/submission/YHU97106281/ICF247370-GMB253374-n5fn3k64l36g0000000/SIG-20250702_094421gl0.jpeg", "SIG-20250702_094421gl0.jpeg")</f>
        <v>SIG-20250702_094421gl0.jpeg</v>
      </c>
      <c r="AY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3530</v>
      </c>
      <c r="B688" s="2" t="s">
        <v>47</v>
      </c>
      <c r="C688" s="1" t="s">
        <v>3531</v>
      </c>
      <c r="D688" s="1" t="s">
        <v>3531</v>
      </c>
      <c r="E688" s="1" t="s">
        <v>3532</v>
      </c>
      <c r="F688" s="1" t="s">
        <v>51</v>
      </c>
      <c r="G688" s="1">
        <v>300.0</v>
      </c>
      <c r="H688" s="1" t="s">
        <v>52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53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54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56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57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f t="shared" si="1"/>
        <v>110</v>
      </c>
      <c r="AM688" s="1">
        <v>300.0</v>
      </c>
      <c r="AN688" s="1">
        <v>312.0</v>
      </c>
      <c r="AO688" s="1">
        <v>110.0</v>
      </c>
      <c r="AP688" s="2">
        <v>11.0</v>
      </c>
      <c r="AQ688" s="1">
        <v>190.0</v>
      </c>
      <c r="AR688" s="1">
        <v>190.0</v>
      </c>
      <c r="AS688" s="1" t="s">
        <v>2354</v>
      </c>
      <c r="AT688" s="3" t="str">
        <f>HYPERLINK("https://icf.clappia.com/app/GMB253374/submission/HDQ17101089/ICF247370-GMB253374-k32h4k6j0oko0000000/SIG-20250702_09445dmni.jpeg", "SIG-20250702_09445dmni.jpeg")</f>
        <v>SIG-20250702_09445dmni.jpeg</v>
      </c>
      <c r="AU688" s="1" t="s">
        <v>2355</v>
      </c>
      <c r="AV688" s="3" t="str">
        <f>HYPERLINK("https://icf.clappia.com/app/GMB253374/submission/HDQ17101089/ICF247370-GMB253374-5de3hha6o07600000000/SIG-20250702_0944ojp9p.jpeg", "SIG-20250702_0944ojp9p.jpeg")</f>
        <v>SIG-20250702_0944ojp9p.jpeg</v>
      </c>
      <c r="AW688" s="1" t="s">
        <v>2356</v>
      </c>
      <c r="AX688" s="3" t="str">
        <f>HYPERLINK("https://icf.clappia.com/app/GMB253374/submission/HDQ17101089/ICF247370-GMB253374-5o7dk57p7l4o00000000/SIG-20250702_0945mm2ln.jpeg", "SIG-20250702_0945mm2ln.jpeg")</f>
        <v>SIG-20250702_0945mm2ln.jpeg</v>
      </c>
      <c r="AY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3533</v>
      </c>
      <c r="B689" s="2" t="s">
        <v>47</v>
      </c>
      <c r="C689" s="1" t="s">
        <v>3534</v>
      </c>
      <c r="D689" s="1" t="s">
        <v>3534</v>
      </c>
      <c r="E689" s="1" t="s">
        <v>3535</v>
      </c>
      <c r="F689" s="1" t="s">
        <v>51</v>
      </c>
      <c r="G689" s="1">
        <v>263.0</v>
      </c>
      <c r="H689" s="1" t="s">
        <v>52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53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54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56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57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f t="shared" si="1"/>
        <v>189</v>
      </c>
      <c r="AM689" s="1">
        <v>263.0</v>
      </c>
      <c r="AN689" s="1">
        <v>275.0</v>
      </c>
      <c r="AO689" s="1">
        <v>152.0</v>
      </c>
      <c r="AP689" s="2">
        <v>11.0</v>
      </c>
      <c r="AQ689" s="1">
        <v>111.0</v>
      </c>
      <c r="AR689" s="1">
        <v>111.0</v>
      </c>
      <c r="AS689" s="1" t="s">
        <v>2756</v>
      </c>
      <c r="AT689" s="3" t="str">
        <f>HYPERLINK("https://icf.clappia.com/app/GMB253374/submission/UNK92285142/ICF247370-GMB253374-2af2fcjd6eag80000000/SIG-20250702_0938hj64b.jpeg", "SIG-20250702_0938hj64b.jpeg")</f>
        <v>SIG-20250702_0938hj64b.jpeg</v>
      </c>
      <c r="AU689" s="1" t="s">
        <v>3536</v>
      </c>
      <c r="AV689" s="3" t="str">
        <f>HYPERLINK("https://icf.clappia.com/app/GMB253374/submission/UNK92285142/ICF247370-GMB253374-3ggag3l73lc800000000/SIG-20250702_0939138f3i.jpeg", "SIG-20250702_0939138f3i.jpeg")</f>
        <v>SIG-20250702_0939138f3i.jpeg</v>
      </c>
      <c r="AW689" s="1" t="s">
        <v>3537</v>
      </c>
      <c r="AX689" s="3" t="str">
        <f>HYPERLINK("https://icf.clappia.com/app/GMB253374/submission/UNK92285142/ICF247370-GMB253374-61deheg6f12400000000/SIG-20250702_0941101jon.jpeg", "SIG-20250702_0941101jon.jpeg")</f>
        <v>SIG-20250702_0941101jon.jpeg</v>
      </c>
      <c r="AY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3538</v>
      </c>
      <c r="B690" s="2" t="s">
        <v>47</v>
      </c>
      <c r="C690" s="1" t="s">
        <v>3539</v>
      </c>
      <c r="D690" s="1" t="s">
        <v>3539</v>
      </c>
      <c r="E690" s="1" t="s">
        <v>3540</v>
      </c>
      <c r="F690" s="1" t="s">
        <v>51</v>
      </c>
      <c r="G690" s="1">
        <v>509.0</v>
      </c>
      <c r="H690" s="1" t="s">
        <v>52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53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54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56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57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f t="shared" si="1"/>
        <v>311</v>
      </c>
      <c r="AM690" s="1">
        <v>509.0</v>
      </c>
      <c r="AN690" s="1">
        <v>521.0</v>
      </c>
      <c r="AO690" s="1">
        <v>311.0</v>
      </c>
      <c r="AP690" s="2">
        <v>11.0</v>
      </c>
      <c r="AQ690" s="1">
        <v>198.0</v>
      </c>
      <c r="AR690" s="1">
        <v>198.0</v>
      </c>
      <c r="AS690" s="1" t="s">
        <v>1197</v>
      </c>
      <c r="AT690" s="3" t="str">
        <f>HYPERLINK("https://icf.clappia.com/app/GMB253374/submission/NVD87118256/ICF247370-GMB253374-12m633ja75mb80000000/SIG-20250630_1219dd4l1.jpeg", "SIG-20250630_1219dd4l1.jpeg")</f>
        <v>SIG-20250630_1219dd4l1.jpeg</v>
      </c>
      <c r="AU690" s="1" t="s">
        <v>3541</v>
      </c>
      <c r="AV690" s="3" t="str">
        <f>HYPERLINK("https://icf.clappia.com/app/GMB253374/submission/NVD87118256/ICF247370-GMB253374-5ngpmdm59b9600000000/SIG-20250630_1220p6hli.jpeg", "SIG-20250630_1220p6hli.jpeg")</f>
        <v>SIG-20250630_1220p6hli.jpeg</v>
      </c>
      <c r="AW690" s="1" t="s">
        <v>1199</v>
      </c>
      <c r="AX690" s="3" t="str">
        <f>HYPERLINK("https://icf.clappia.com/app/GMB253374/submission/NVD87118256/ICF247370-GMB253374-1dkbh5onelp0e0000000/SIG-20250630_1221klfk9.jpeg", "SIG-20250630_1221klfk9.jpeg")</f>
        <v>SIG-20250630_1221klfk9.jpeg</v>
      </c>
      <c r="AY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3542</v>
      </c>
      <c r="B691" s="2" t="s">
        <v>47</v>
      </c>
      <c r="C691" s="1" t="s">
        <v>3543</v>
      </c>
      <c r="D691" s="1" t="s">
        <v>3544</v>
      </c>
      <c r="E691" s="1" t="s">
        <v>3545</v>
      </c>
      <c r="F691" s="1" t="s">
        <v>72</v>
      </c>
      <c r="G691" s="1">
        <v>250.0</v>
      </c>
      <c r="H691" s="1" t="s">
        <v>52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53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54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56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57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f t="shared" si="1"/>
        <v>234</v>
      </c>
      <c r="AM691" s="1">
        <v>250.0</v>
      </c>
      <c r="AN691" s="1">
        <v>262.0</v>
      </c>
      <c r="AO691" s="1">
        <v>234.0</v>
      </c>
      <c r="AP691" s="2">
        <v>11.0</v>
      </c>
      <c r="AQ691" s="1">
        <v>16.0</v>
      </c>
      <c r="AR691" s="1">
        <v>16.0</v>
      </c>
      <c r="AS691" s="1" t="s">
        <v>3546</v>
      </c>
      <c r="AT691" s="3" t="str">
        <f>HYPERLINK("https://icf.clappia.com/app/GMB253374/submission/QBN22242262/ICF247370-GMB253374-247d4mf3e1o0o0000000/SIG-20250701_1224k2dg7.jpeg", "SIG-20250701_1224k2dg7.jpeg")</f>
        <v>SIG-20250701_1224k2dg7.jpeg</v>
      </c>
      <c r="AU691" s="1" t="s">
        <v>3547</v>
      </c>
      <c r="AV691" s="3" t="str">
        <f>HYPERLINK("https://icf.clappia.com/app/GMB253374/submission/QBN22242262/ICF247370-GMB253374-5gbbgh76oi0000000000/SIG-20250701_1225b9149.jpeg", "SIG-20250701_1225b9149.jpeg")</f>
        <v>SIG-20250701_1225b9149.jpeg</v>
      </c>
      <c r="AW691" s="1" t="s">
        <v>593</v>
      </c>
      <c r="AX691" s="3" t="str">
        <f>HYPERLINK("https://icf.clappia.com/app/GMB253374/submission/QBN22242262/ICF247370-GMB253374-kdag6mk89ddi0000000/SIG-20250701_1229ap8e5.jpeg", "SIG-20250701_1229ap8e5.jpeg")</f>
        <v>SIG-20250701_1229ap8e5.jpeg</v>
      </c>
      <c r="AY691" s="3" t="str">
        <f>HYPERLINK("https://www.google.com/maps/place/8.99713%2C-12.1264967", "8.99713,-12.1264967")</f>
        <v>8.99713,-12.1264967</v>
      </c>
    </row>
    <row r="692" ht="15.75" customHeight="1">
      <c r="A692" s="1" t="s">
        <v>3548</v>
      </c>
      <c r="B692" s="2" t="s">
        <v>47</v>
      </c>
      <c r="C692" s="1" t="s">
        <v>3549</v>
      </c>
      <c r="D692" s="1" t="s">
        <v>3544</v>
      </c>
      <c r="E692" s="1" t="s">
        <v>3550</v>
      </c>
      <c r="F692" s="1" t="s">
        <v>51</v>
      </c>
      <c r="G692" s="1">
        <v>200.0</v>
      </c>
      <c r="H692" s="1" t="s">
        <v>52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53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54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56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57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f t="shared" si="1"/>
        <v>184</v>
      </c>
      <c r="AM692" s="1">
        <v>200.0</v>
      </c>
      <c r="AN692" s="1">
        <v>212.0</v>
      </c>
      <c r="AO692" s="1">
        <v>171.0</v>
      </c>
      <c r="AP692" s="2">
        <v>11.0</v>
      </c>
      <c r="AQ692" s="1">
        <v>29.0</v>
      </c>
      <c r="AR692" s="1">
        <v>29.0</v>
      </c>
      <c r="AS692" s="1" t="s">
        <v>2295</v>
      </c>
      <c r="AT692" s="3" t="str">
        <f>HYPERLINK("https://icf.clappia.com/app/GMB253374/submission/HYA27624368/ICF247370-GMB253374-3a9geln3m8ao00000000/SIG-20250630_1434o4ep1.jpeg", "SIG-20250630_1434o4ep1.jpeg")</f>
        <v>SIG-20250630_1434o4ep1.jpeg</v>
      </c>
      <c r="AU692" s="1" t="s">
        <v>3551</v>
      </c>
      <c r="AV692" s="3" t="str">
        <f>HYPERLINK("https://icf.clappia.com/app/GMB253374/submission/HYA27624368/ICF247370-GMB253374-48f0jofdoi3o00000000/SIG-20250630_143315a4dk.jpeg", "SIG-20250630_143315a4dk.jpeg")</f>
        <v>SIG-20250630_143315a4dk.jpeg</v>
      </c>
      <c r="AW692" s="1" t="s">
        <v>3552</v>
      </c>
      <c r="AX692" s="3" t="str">
        <f>HYPERLINK("https://icf.clappia.com/app/GMB253374/submission/HYA27624368/ICF247370-GMB253374-1jp2g1886a5fm0000000/SIG-20250630_14333eo4n.jpeg", "SIG-20250630_14333eo4n.jpeg")</f>
        <v>SIG-20250630_14333eo4n.jpeg</v>
      </c>
      <c r="AY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3553</v>
      </c>
      <c r="B693" s="2" t="s">
        <v>47</v>
      </c>
      <c r="C693" s="1" t="s">
        <v>3554</v>
      </c>
      <c r="D693" s="1" t="s">
        <v>3555</v>
      </c>
      <c r="E693" s="1" t="s">
        <v>3556</v>
      </c>
      <c r="F693" s="1" t="s">
        <v>51</v>
      </c>
      <c r="G693" s="1">
        <v>200.0</v>
      </c>
      <c r="H693" s="1" t="s">
        <v>52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53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54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56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57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f t="shared" si="1"/>
        <v>174</v>
      </c>
      <c r="AM693" s="1">
        <v>200.0</v>
      </c>
      <c r="AN693" s="1">
        <v>212.0</v>
      </c>
      <c r="AO693" s="1">
        <v>174.0</v>
      </c>
      <c r="AP693" s="2">
        <v>11.0</v>
      </c>
      <c r="AQ693" s="1">
        <v>26.0</v>
      </c>
      <c r="AR693" s="1">
        <v>26.0</v>
      </c>
      <c r="AS693" s="1" t="s">
        <v>3557</v>
      </c>
      <c r="AT693" s="3" t="str">
        <f>HYPERLINK("https://icf.clappia.com/app/GMB253374/submission/LRK34797068/ICF247370-GMB253374-5i7985mgc58000000000/SIG-20250702_0927li2j1.jpeg", "SIG-20250702_0927li2j1.jpeg")</f>
        <v>SIG-20250702_0927li2j1.jpeg</v>
      </c>
      <c r="AU693" s="1" t="s">
        <v>3558</v>
      </c>
      <c r="AV693" s="3" t="str">
        <f>HYPERLINK("https://icf.clappia.com/app/GMB253374/submission/LRK34797068/ICF247370-GMB253374-1fdep0jigabb60000000/SIG-20250702_09286ik4e.jpeg", "SIG-20250702_09286ik4e.jpeg")</f>
        <v>SIG-20250702_09286ik4e.jpeg</v>
      </c>
      <c r="AW693" s="1" t="s">
        <v>3559</v>
      </c>
      <c r="AX693" s="3" t="str">
        <f>HYPERLINK("https://icf.clappia.com/app/GMB253374/submission/LRK34797068/ICF247370-GMB253374-68648ol45imo00000000/SIG-20250702_09288ldic.jpeg", "SIG-20250702_09288ldic.jpeg")</f>
        <v>SIG-20250702_09288ldic.jpeg</v>
      </c>
      <c r="AY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3560</v>
      </c>
      <c r="B694" s="2" t="s">
        <v>47</v>
      </c>
      <c r="C694" s="1" t="s">
        <v>3561</v>
      </c>
      <c r="D694" s="1" t="s">
        <v>3561</v>
      </c>
      <c r="E694" s="1" t="s">
        <v>3562</v>
      </c>
      <c r="F694" s="1" t="s">
        <v>51</v>
      </c>
      <c r="G694" s="1">
        <v>157.0</v>
      </c>
      <c r="H694" s="1" t="s">
        <v>52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53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54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56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57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f t="shared" si="1"/>
        <v>157</v>
      </c>
      <c r="AM694" s="1">
        <v>157.0</v>
      </c>
      <c r="AN694" s="1">
        <v>169.0</v>
      </c>
      <c r="AO694" s="1">
        <v>157.0</v>
      </c>
      <c r="AP694" s="2">
        <v>11.0</v>
      </c>
      <c r="AQ694" s="1">
        <v>0.0</v>
      </c>
      <c r="AR694" s="1">
        <v>0.0</v>
      </c>
      <c r="AS694" s="1" t="s">
        <v>2822</v>
      </c>
      <c r="AT694" s="3" t="str">
        <f>HYPERLINK("https://icf.clappia.com/app/GMB253374/submission/EVZ18497633/ICF247370-GMB253374-29jl43di311ha0000000/SIG-20250702_0925199o7l.jpeg", "SIG-20250702_0925199o7l.jpeg")</f>
        <v>SIG-20250702_0925199o7l.jpeg</v>
      </c>
      <c r="AU694" s="1" t="s">
        <v>3563</v>
      </c>
      <c r="AV694" s="3" t="str">
        <f>HYPERLINK("https://icf.clappia.com/app/GMB253374/submission/EVZ18497633/ICF247370-GMB253374-3okph41a8ph400000000/SIG-20250702_0926b9c2n.jpeg", "SIG-20250702_0926b9c2n.jpeg")</f>
        <v>SIG-20250702_0926b9c2n.jpeg</v>
      </c>
      <c r="AW694" s="1" t="s">
        <v>3564</v>
      </c>
      <c r="AX694" s="3" t="str">
        <f>HYPERLINK("https://icf.clappia.com/app/GMB253374/submission/EVZ18497633/ICF247370-GMB253374-4nf1h2g49dem00000000/SIG-20250702_0926106e35.jpeg", "SIG-20250702_0926106e35.jpeg")</f>
        <v>SIG-20250702_0926106e35.jpeg</v>
      </c>
      <c r="AY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3565</v>
      </c>
      <c r="B695" s="2" t="s">
        <v>47</v>
      </c>
      <c r="C695" s="1" t="s">
        <v>3566</v>
      </c>
      <c r="D695" s="1" t="s">
        <v>3566</v>
      </c>
      <c r="E695" s="1" t="s">
        <v>3567</v>
      </c>
      <c r="F695" s="1" t="s">
        <v>51</v>
      </c>
      <c r="G695" s="1">
        <v>75.0</v>
      </c>
      <c r="H695" s="1" t="s">
        <v>52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53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54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56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57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f t="shared" si="1"/>
        <v>75</v>
      </c>
      <c r="AM695" s="1">
        <v>75.0</v>
      </c>
      <c r="AN695" s="1">
        <v>87.0</v>
      </c>
      <c r="AO695" s="1">
        <v>75.0</v>
      </c>
      <c r="AP695" s="2">
        <v>11.0</v>
      </c>
      <c r="AQ695" s="1">
        <v>0.0</v>
      </c>
      <c r="AR695" s="1">
        <v>0.0</v>
      </c>
      <c r="AS695" s="1" t="s">
        <v>3568</v>
      </c>
      <c r="AT695" s="3" t="str">
        <f>HYPERLINK("https://icf.clappia.com/app/GMB253374/submission/KZT11159606/ICF247370-GMB253374-2d5oi8ei7h6k00000000/SIG-20250701_12012fjk2.jpeg", "SIG-20250701_12012fjk2.jpeg")</f>
        <v>SIG-20250701_12012fjk2.jpeg</v>
      </c>
      <c r="AU695" s="1" t="s">
        <v>3569</v>
      </c>
      <c r="AV695" s="3" t="str">
        <f>HYPERLINK("https://icf.clappia.com/app/GMB253374/submission/KZT11159606/ICF247370-GMB253374-5hk51615d1ok00000000/SIG-20250701_12025pmee.jpeg", "SIG-20250701_12025pmee.jpeg")</f>
        <v>SIG-20250701_12025pmee.jpeg</v>
      </c>
      <c r="AW695" s="1" t="s">
        <v>3570</v>
      </c>
      <c r="AX695" s="3" t="str">
        <f>HYPERLINK("https://icf.clappia.com/app/GMB253374/submission/KZT11159606/ICF247370-GMB253374-4877i66j129i00000000/SIG-20250701_1109eih3p.jpeg", "SIG-20250701_1109eih3p.jpeg")</f>
        <v>SIG-20250701_1109eih3p.jpeg</v>
      </c>
      <c r="AY695" s="3" t="str">
        <f>HYPERLINK("https://www.google.com/maps/place/8.919513%2C-12.0310886", "8.919513,-12.0310886")</f>
        <v>8.919513,-12.0310886</v>
      </c>
    </row>
    <row r="696" ht="15.75" customHeight="1">
      <c r="A696" s="1" t="s">
        <v>3571</v>
      </c>
      <c r="B696" s="2" t="s">
        <v>47</v>
      </c>
      <c r="C696" s="1" t="s">
        <v>3572</v>
      </c>
      <c r="D696" s="1" t="s">
        <v>3572</v>
      </c>
      <c r="E696" s="1" t="s">
        <v>3573</v>
      </c>
      <c r="F696" s="1" t="s">
        <v>51</v>
      </c>
      <c r="G696" s="1">
        <v>200.0</v>
      </c>
      <c r="H696" s="1" t="s">
        <v>52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53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54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56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57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f t="shared" si="1"/>
        <v>198</v>
      </c>
      <c r="AM696" s="1">
        <v>200.0</v>
      </c>
      <c r="AN696" s="1">
        <v>212.0</v>
      </c>
      <c r="AO696" s="1">
        <v>185.0</v>
      </c>
      <c r="AP696" s="2">
        <v>11.0</v>
      </c>
      <c r="AQ696" s="1">
        <v>15.0</v>
      </c>
      <c r="AR696" s="1">
        <v>15.0</v>
      </c>
      <c r="AS696" s="1" t="s">
        <v>2699</v>
      </c>
      <c r="AT696" s="3" t="str">
        <f>HYPERLINK("https://icf.clappia.com/app/GMB253374/submission/QQV02506551/ICF247370-GMB253374-576imkle0ob600000000/SIG-20250701_1352ene72.jpeg", "SIG-20250701_1352ene72.jpeg")</f>
        <v>SIG-20250701_1352ene72.jpeg</v>
      </c>
      <c r="AU696" s="1" t="s">
        <v>2515</v>
      </c>
      <c r="AV696" s="3" t="str">
        <f>HYPERLINK("https://icf.clappia.com/app/GMB253374/submission/QQV02506551/ICF247370-GMB253374-288g3cnkecpc40000000/SIG-20250701_1352p47jg.jpeg", "SIG-20250701_1352p47jg.jpeg")</f>
        <v>SIG-20250701_1352p47jg.jpeg</v>
      </c>
      <c r="AW696" s="1" t="s">
        <v>2700</v>
      </c>
      <c r="AX696" s="3" t="str">
        <f>HYPERLINK("https://icf.clappia.com/app/GMB253374/submission/QQV02506551/ICF247370-GMB253374-2fhf9nc6678200000000/SIG-20250701_13538kjjf.jpeg", "SIG-20250701_13538kjjf.jpeg")</f>
        <v>SIG-20250701_13538kjjf.jpeg</v>
      </c>
      <c r="AY696" s="3" t="str">
        <f>HYPERLINK("https://www.google.com/maps/place/8.917065%2C-12.0313767", "8.917065,-12.0313767")</f>
        <v>8.917065,-12.0313767</v>
      </c>
    </row>
    <row r="697" ht="15.75" customHeight="1">
      <c r="A697" s="1" t="s">
        <v>3574</v>
      </c>
      <c r="B697" s="2" t="s">
        <v>47</v>
      </c>
      <c r="C697" s="1" t="s">
        <v>3575</v>
      </c>
      <c r="D697" s="1" t="s">
        <v>3575</v>
      </c>
      <c r="E697" s="1" t="s">
        <v>3576</v>
      </c>
      <c r="F697" s="1" t="s">
        <v>51</v>
      </c>
      <c r="G697" s="1">
        <v>190.0</v>
      </c>
      <c r="H697" s="1" t="s">
        <v>52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53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54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56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57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f t="shared" si="1"/>
        <v>139</v>
      </c>
      <c r="AM697" s="1">
        <v>190.0</v>
      </c>
      <c r="AN697" s="1">
        <v>202.0</v>
      </c>
      <c r="AO697" s="1">
        <v>139.0</v>
      </c>
      <c r="AP697" s="2">
        <v>11.0</v>
      </c>
      <c r="AQ697" s="1">
        <v>51.0</v>
      </c>
      <c r="AR697" s="1">
        <v>51.0</v>
      </c>
      <c r="AS697" s="1" t="s">
        <v>1572</v>
      </c>
      <c r="AT697" s="3" t="str">
        <f>HYPERLINK("https://icf.clappia.com/app/GMB253374/submission/CDC55827789/ICF247370-GMB253374-60heeelibpea00000000/SIG-20250702_0917alnip.jpeg", "SIG-20250702_0917alnip.jpeg")</f>
        <v>SIG-20250702_0917alnip.jpeg</v>
      </c>
      <c r="AU697" s="1" t="s">
        <v>2823</v>
      </c>
      <c r="AV697" s="3" t="str">
        <f>HYPERLINK("https://icf.clappia.com/app/GMB253374/submission/CDC55827789/ICF247370-GMB253374-248jeooe3730c0000000/SIG-20250702_0917op7b7.jpeg", "SIG-20250702_0917op7b7.jpeg")</f>
        <v>SIG-20250702_0917op7b7.jpeg</v>
      </c>
      <c r="AW697" s="1" t="s">
        <v>1574</v>
      </c>
      <c r="AX697" s="3" t="str">
        <f>HYPERLINK("https://icf.clappia.com/app/GMB253374/submission/CDC55827789/ICF247370-GMB253374-3jec3h4i225800000000/SIG-20250702_091814kfk5.jpeg", "SIG-20250702_091814kfk5.jpeg")</f>
        <v>SIG-20250702_091814kfk5.jpeg</v>
      </c>
      <c r="AY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3577</v>
      </c>
      <c r="B698" s="2" t="s">
        <v>47</v>
      </c>
      <c r="C698" s="1" t="s">
        <v>3578</v>
      </c>
      <c r="D698" s="1" t="s">
        <v>3578</v>
      </c>
      <c r="E698" s="1" t="s">
        <v>3579</v>
      </c>
      <c r="F698" s="1" t="s">
        <v>51</v>
      </c>
      <c r="G698" s="1">
        <v>400.0</v>
      </c>
      <c r="H698" s="1" t="s">
        <v>52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53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54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56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57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f t="shared" si="1"/>
        <v>400</v>
      </c>
      <c r="AM698" s="1">
        <v>400.0</v>
      </c>
      <c r="AN698" s="1">
        <v>412.0</v>
      </c>
      <c r="AO698" s="1">
        <v>395.0</v>
      </c>
      <c r="AP698" s="2">
        <v>11.0</v>
      </c>
      <c r="AQ698" s="1">
        <v>5.0</v>
      </c>
      <c r="AR698" s="1">
        <v>5.0</v>
      </c>
      <c r="AS698" s="1" t="s">
        <v>3580</v>
      </c>
      <c r="AT698" s="3" t="str">
        <f>HYPERLINK("https://icf.clappia.com/app/GMB253374/submission/MXE74470988/ICF247370-GMB253374-18e8l5ng5pele000000/SIG-20250630_104414hje4.jpeg", "SIG-20250630_104414hje4.jpeg")</f>
        <v>SIG-20250630_104414hje4.jpeg</v>
      </c>
      <c r="AU698" s="1" t="s">
        <v>3581</v>
      </c>
      <c r="AV698" s="3" t="str">
        <f>HYPERLINK("https://icf.clappia.com/app/GMB253374/submission/MXE74470988/ICF247370-GMB253374-2cmkedffdjjm00000000/SIG-20250630_10466c6e7.jpeg", "SIG-20250630_10466c6e7.jpeg")</f>
        <v>SIG-20250630_10466c6e7.jpeg</v>
      </c>
      <c r="AW698" s="1" t="s">
        <v>3582</v>
      </c>
      <c r="AX698" s="3" t="str">
        <f>HYPERLINK("https://icf.clappia.com/app/GMB253374/submission/MXE74470988/ICF247370-GMB253374-50mfa4lfg6gg00000000/SIG-20250630_10467lidi.jpeg", "SIG-20250630_10467lidi.jpeg")</f>
        <v>SIG-20250630_10467lidi.jpeg</v>
      </c>
      <c r="AY698" s="3" t="str">
        <f>HYPERLINK("https://www.google.com/maps/place/9.2603917%2C-12.206085", "9.2603917,-12.206085")</f>
        <v>9.2603917,-12.206085</v>
      </c>
    </row>
    <row r="699" ht="15.75" customHeight="1">
      <c r="A699" s="1" t="s">
        <v>3583</v>
      </c>
      <c r="B699" s="2" t="s">
        <v>47</v>
      </c>
      <c r="C699" s="1" t="s">
        <v>3584</v>
      </c>
      <c r="D699" s="1" t="s">
        <v>3584</v>
      </c>
      <c r="E699" s="1" t="s">
        <v>3585</v>
      </c>
      <c r="F699" s="1" t="s">
        <v>51</v>
      </c>
      <c r="G699" s="1">
        <v>167.0</v>
      </c>
      <c r="H699" s="1" t="s">
        <v>52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53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54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56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57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f t="shared" si="1"/>
        <v>167</v>
      </c>
      <c r="AM699" s="1">
        <v>167.0</v>
      </c>
      <c r="AN699" s="1">
        <v>179.0</v>
      </c>
      <c r="AO699" s="1">
        <v>159.0</v>
      </c>
      <c r="AP699" s="2">
        <v>11.0</v>
      </c>
      <c r="AQ699" s="1">
        <v>8.0</v>
      </c>
      <c r="AR699" s="1">
        <v>8.0</v>
      </c>
      <c r="AS699" s="1" t="s">
        <v>3586</v>
      </c>
      <c r="AT699" s="3" t="str">
        <f>HYPERLINK("https://icf.clappia.com/app/GMB253374/submission/RBD40271104/ICF247370-GMB253374-3o98alan2ii600000000/SIG-20250701_125515ebkl.jpeg", "SIG-20250701_125515ebkl.jpeg")</f>
        <v>SIG-20250701_125515ebkl.jpeg</v>
      </c>
      <c r="AU699" s="1" t="s">
        <v>3587</v>
      </c>
      <c r="AV699" s="3" t="str">
        <f>HYPERLINK("https://icf.clappia.com/app/GMB253374/submission/RBD40271104/ICF247370-GMB253374-5l9nj1ba5e3m00000000/SIG-20250702_09131hemh.jpeg", "SIG-20250702_09131hemh.jpeg")</f>
        <v>SIG-20250702_09131hemh.jpeg</v>
      </c>
      <c r="AW699" s="1" t="s">
        <v>792</v>
      </c>
      <c r="AX699" s="3" t="str">
        <f>HYPERLINK("https://icf.clappia.com/app/GMB253374/submission/RBD40271104/ICF247370-GMB253374-3l877mhh15pe00000000/SIG-20250702_0913cclmb.jpeg", "SIG-20250702_0913cclmb.jpeg")</f>
        <v>SIG-20250702_0913cclmb.jpeg</v>
      </c>
      <c r="AY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3588</v>
      </c>
      <c r="B700" s="2" t="s">
        <v>47</v>
      </c>
      <c r="C700" s="1" t="s">
        <v>3589</v>
      </c>
      <c r="D700" s="1" t="s">
        <v>3589</v>
      </c>
      <c r="E700" s="1" t="s">
        <v>3590</v>
      </c>
      <c r="F700" s="1" t="s">
        <v>51</v>
      </c>
      <c r="G700" s="1">
        <v>305.0</v>
      </c>
      <c r="H700" s="1" t="s">
        <v>52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53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54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56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57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f t="shared" si="1"/>
        <v>365</v>
      </c>
      <c r="AM700" s="1">
        <v>305.0</v>
      </c>
      <c r="AN700" s="1">
        <v>317.0</v>
      </c>
      <c r="AO700" s="1">
        <v>304.0</v>
      </c>
      <c r="AP700" s="2">
        <v>11.0</v>
      </c>
      <c r="AQ700" s="1">
        <v>1.0</v>
      </c>
      <c r="AR700" s="1">
        <v>1.0</v>
      </c>
      <c r="AS700" s="1" t="s">
        <v>3591</v>
      </c>
      <c r="AT700" s="3" t="str">
        <f>HYPERLINK("https://icf.clappia.com/app/GMB253374/submission/NHG87962403/ICF247370-GMB253374-2ihoh8m22fng00000000/SIG-20250701_15242ppd5.jpeg", "SIG-20250701_15242ppd5.jpeg")</f>
        <v>SIG-20250701_15242ppd5.jpeg</v>
      </c>
      <c r="AU700" s="1" t="s">
        <v>3592</v>
      </c>
      <c r="AV700" s="3" t="str">
        <f>HYPERLINK("https://icf.clappia.com/app/GMB253374/submission/NHG87962403/ICF247370-GMB253374-4a2fhefa49k800000000/SIG-20250701_15246dpoj.jpeg", "SIG-20250701_15246dpoj.jpeg")</f>
        <v>SIG-20250701_15246dpoj.jpeg</v>
      </c>
      <c r="AW700" s="1" t="s">
        <v>3593</v>
      </c>
      <c r="AX700" s="3" t="str">
        <f>HYPERLINK("https://icf.clappia.com/app/GMB253374/submission/NHG87962403/ICF247370-GMB253374-5jaole57b12200000000/SIG-20250701_1525j6l0f.jpeg", "SIG-20250701_1525j6l0f.jpeg")</f>
        <v>SIG-20250701_1525j6l0f.jpeg</v>
      </c>
      <c r="AY700" s="3" t="str">
        <f>HYPERLINK("https://www.google.com/maps/place/8.886265%2C-12.0307467", "8.886265,-12.0307467")</f>
        <v>8.886265,-12.0307467</v>
      </c>
    </row>
    <row r="701" ht="15.75" customHeight="1">
      <c r="A701" s="1" t="s">
        <v>3594</v>
      </c>
      <c r="B701" s="2" t="s">
        <v>47</v>
      </c>
      <c r="C701" s="1" t="s">
        <v>3595</v>
      </c>
      <c r="D701" s="1" t="s">
        <v>3595</v>
      </c>
      <c r="E701" s="1" t="s">
        <v>3596</v>
      </c>
      <c r="F701" s="1" t="s">
        <v>51</v>
      </c>
      <c r="G701" s="1">
        <v>151.0</v>
      </c>
      <c r="H701" s="1" t="s">
        <v>52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53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54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56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57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f t="shared" si="1"/>
        <v>151</v>
      </c>
      <c r="AM701" s="1">
        <v>151.0</v>
      </c>
      <c r="AN701" s="1">
        <v>163.0</v>
      </c>
      <c r="AO701" s="1">
        <v>151.0</v>
      </c>
      <c r="AP701" s="2">
        <v>11.0</v>
      </c>
      <c r="AQ701" s="1">
        <v>0.0</v>
      </c>
      <c r="AR701" s="1">
        <v>0.0</v>
      </c>
      <c r="AS701" s="1" t="s">
        <v>3597</v>
      </c>
      <c r="AT701" s="3" t="str">
        <f>HYPERLINK("https://icf.clappia.com/app/GMB253374/submission/KEB79031287/ICF247370-GMB253374-29jnha6d2ecna0000000/SIG-20250702_0759kaoce.jpeg", "SIG-20250702_0759kaoce.jpeg")</f>
        <v>SIG-20250702_0759kaoce.jpeg</v>
      </c>
      <c r="AU701" s="1" t="s">
        <v>3598</v>
      </c>
      <c r="AV701" s="3" t="str">
        <f>HYPERLINK("https://icf.clappia.com/app/GMB253374/submission/KEB79031287/ICF247370-GMB253374-22ci82jdm7hok0000000/SIG-20250702_0759hlkp6.jpeg", "SIG-20250702_0759hlkp6.jpeg")</f>
        <v>SIG-20250702_0759hlkp6.jpeg</v>
      </c>
      <c r="AW701" s="1" t="s">
        <v>3599</v>
      </c>
      <c r="AX701" s="3" t="str">
        <f>HYPERLINK("https://icf.clappia.com/app/GMB253374/submission/KEB79031287/ICF247370-GMB253374-2o1hp1heh45o00000000/SIG-20250702_08005oefk.jpeg", "SIG-20250702_08005oefk.jpeg")</f>
        <v>SIG-20250702_08005oefk.jpeg</v>
      </c>
      <c r="AY701" s="3" t="str">
        <f>HYPERLINK("https://www.google.com/maps/place/8.0563117%2C-11.612855", "8.0563117,-11.612855")</f>
        <v>8.0563117,-11.612855</v>
      </c>
    </row>
    <row r="702" ht="15.75" customHeight="1">
      <c r="A702" s="1" t="s">
        <v>3600</v>
      </c>
      <c r="B702" s="2" t="s">
        <v>47</v>
      </c>
      <c r="C702" s="1" t="s">
        <v>3601</v>
      </c>
      <c r="D702" s="1" t="s">
        <v>3601</v>
      </c>
      <c r="E702" s="1" t="s">
        <v>3602</v>
      </c>
      <c r="F702" s="1" t="s">
        <v>51</v>
      </c>
      <c r="G702" s="1">
        <v>127.0</v>
      </c>
      <c r="H702" s="1" t="s">
        <v>52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53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54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56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57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f t="shared" si="1"/>
        <v>127</v>
      </c>
      <c r="AM702" s="1">
        <v>127.0</v>
      </c>
      <c r="AN702" s="1">
        <v>139.0</v>
      </c>
      <c r="AO702" s="1">
        <v>127.0</v>
      </c>
      <c r="AP702" s="2">
        <v>11.0</v>
      </c>
      <c r="AQ702" s="1">
        <v>0.0</v>
      </c>
      <c r="AR702" s="1">
        <v>0.0</v>
      </c>
      <c r="AS702" s="1" t="s">
        <v>3603</v>
      </c>
      <c r="AT702" s="3" t="str">
        <f>HYPERLINK("https://icf.clappia.com/app/GMB253374/submission/KSG47063832/ICF247370-GMB253374-3cjf3kl9p1mg00000000/SIG-20250702_0756559e7.jpeg", "SIG-20250702_0756559e7.jpeg")</f>
        <v>SIG-20250702_0756559e7.jpeg</v>
      </c>
      <c r="AU702" s="1" t="s">
        <v>3604</v>
      </c>
      <c r="AV702" s="3" t="str">
        <f>HYPERLINK("https://icf.clappia.com/app/GMB253374/submission/KSG47063832/ICF247370-GMB253374-5a6g1emh25ck00000000/SIG-20250702_07561ad7i2.jpeg", "SIG-20250702_07561ad7i2.jpeg")</f>
        <v>SIG-20250702_07561ad7i2.jpeg</v>
      </c>
      <c r="AW702" s="1" t="s">
        <v>3605</v>
      </c>
      <c r="AX702" s="3" t="str">
        <f>HYPERLINK("https://icf.clappia.com/app/GMB253374/submission/KSG47063832/ICF247370-GMB253374-1m7bci9mc00m40000000/SIG-20250702_07577f5ii.jpeg", "SIG-20250702_07577f5ii.jpeg")</f>
        <v>SIG-20250702_07577f5ii.jpeg</v>
      </c>
      <c r="AY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3606</v>
      </c>
      <c r="B703" s="2" t="s">
        <v>47</v>
      </c>
      <c r="C703" s="1" t="s">
        <v>3607</v>
      </c>
      <c r="D703" s="1" t="s">
        <v>3607</v>
      </c>
      <c r="E703" s="1" t="s">
        <v>3608</v>
      </c>
      <c r="F703" s="1" t="s">
        <v>51</v>
      </c>
      <c r="G703" s="1">
        <v>150.0</v>
      </c>
      <c r="H703" s="1" t="s">
        <v>52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53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54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56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57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f t="shared" si="1"/>
        <v>150</v>
      </c>
      <c r="AM703" s="1">
        <v>150.0</v>
      </c>
      <c r="AN703" s="1">
        <v>162.0</v>
      </c>
      <c r="AO703" s="1">
        <v>150.0</v>
      </c>
      <c r="AP703" s="2">
        <v>11.0</v>
      </c>
      <c r="AQ703" s="1">
        <v>0.0</v>
      </c>
      <c r="AR703" s="1">
        <v>0.0</v>
      </c>
      <c r="AS703" s="1" t="s">
        <v>3609</v>
      </c>
      <c r="AT703" s="3" t="str">
        <f>HYPERLINK("https://icf.clappia.com/app/GMB253374/submission/JHY12063998/ICF247370-GMB253374-403hmi7g969200000000/SIG-20250701_1815n456p.jpeg", "SIG-20250701_1815n456p.jpeg")</f>
        <v>SIG-20250701_1815n456p.jpeg</v>
      </c>
      <c r="AU703" s="1" t="s">
        <v>3610</v>
      </c>
      <c r="AV703" s="3" t="str">
        <f>HYPERLINK("https://icf.clappia.com/app/GMB253374/submission/JHY12063998/ICF247370-GMB253374-12ab5mlo4h33e0000000/SIG-20250701_1815159ejk.jpeg", "SIG-20250701_1815159ejk.jpeg")</f>
        <v>SIG-20250701_1815159ejk.jpeg</v>
      </c>
      <c r="AW703" s="1" t="s">
        <v>2658</v>
      </c>
      <c r="AX703" s="3" t="str">
        <f>HYPERLINK("https://icf.clappia.com/app/GMB253374/submission/JHY12063998/ICF247370-GMB253374-6b573lj5955e00000000/SIG-20250701_18153ckg3.jpeg", "SIG-20250701_18153ckg3.jpeg")</f>
        <v>SIG-20250701_18153ckg3.jpeg</v>
      </c>
      <c r="AY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3611</v>
      </c>
      <c r="B704" s="2" t="s">
        <v>47</v>
      </c>
      <c r="C704" s="1" t="s">
        <v>3612</v>
      </c>
      <c r="D704" s="1" t="s">
        <v>3613</v>
      </c>
      <c r="E704" s="1" t="s">
        <v>3614</v>
      </c>
      <c r="F704" s="1" t="s">
        <v>51</v>
      </c>
      <c r="G704" s="1">
        <v>103.0</v>
      </c>
      <c r="H704" s="1" t="s">
        <v>52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53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54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56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57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f t="shared" si="1"/>
        <v>103</v>
      </c>
      <c r="AM704" s="1">
        <v>103.0</v>
      </c>
      <c r="AN704" s="1">
        <v>115.0</v>
      </c>
      <c r="AO704" s="1">
        <v>103.0</v>
      </c>
      <c r="AP704" s="2">
        <v>11.0</v>
      </c>
      <c r="AQ704" s="1">
        <v>0.0</v>
      </c>
      <c r="AR704" s="1">
        <v>0.0</v>
      </c>
      <c r="AS704" s="1" t="s">
        <v>3615</v>
      </c>
      <c r="AT704" s="3" t="str">
        <f>HYPERLINK("https://icf.clappia.com/app/GMB253374/submission/ZYI77388801/ICF247370-GMB253374-5lipm3gj0l1600000000/SIG-20250701_121414oa31.jpeg", "SIG-20250701_121414oa31.jpeg")</f>
        <v>SIG-20250701_121414oa31.jpeg</v>
      </c>
      <c r="AU704" s="1" t="s">
        <v>3616</v>
      </c>
      <c r="AV704" s="3" t="str">
        <f>HYPERLINK("https://icf.clappia.com/app/GMB253374/submission/ZYI77388801/ICF247370-GMB253374-3fcijh06pfd000000000/SIG-20250701_121416aeei.jpeg", "SIG-20250701_121416aeei.jpeg")</f>
        <v>SIG-20250701_121416aeei.jpeg</v>
      </c>
      <c r="AW704" s="1" t="s">
        <v>3617</v>
      </c>
      <c r="AX704" s="3" t="str">
        <f>HYPERLINK("https://icf.clappia.com/app/GMB253374/submission/ZYI77388801/ICF247370-GMB253374-64h65o7cc7e800000000/SIG-20250701_1216kc6c3.jpeg", "SIG-20250701_1216kc6c3.jpeg")</f>
        <v>SIG-20250701_1216kc6c3.jpeg</v>
      </c>
      <c r="AY704" s="3" t="str">
        <f>HYPERLINK("https://www.google.com/maps/place/7.97308%2C-11.4894083", "7.97308,-11.4894083")</f>
        <v>7.97308,-11.4894083</v>
      </c>
    </row>
    <row r="705" ht="15.75" customHeight="1">
      <c r="A705" s="1" t="s">
        <v>3618</v>
      </c>
      <c r="B705" s="2" t="s">
        <v>47</v>
      </c>
      <c r="C705" s="1" t="s">
        <v>3619</v>
      </c>
      <c r="D705" s="1" t="s">
        <v>3619</v>
      </c>
      <c r="E705" s="1" t="s">
        <v>3620</v>
      </c>
      <c r="F705" s="1" t="s">
        <v>51</v>
      </c>
      <c r="G705" s="1">
        <v>186.0</v>
      </c>
      <c r="H705" s="1" t="s">
        <v>52</v>
      </c>
      <c r="I705" s="1">
        <v>42.0</v>
      </c>
      <c r="J705" s="1" t="s">
        <v>55</v>
      </c>
      <c r="K705" s="1" t="s">
        <v>55</v>
      </c>
      <c r="L705" s="1">
        <v>42.0</v>
      </c>
      <c r="M705" s="1">
        <v>42.0</v>
      </c>
      <c r="N705" s="1" t="s">
        <v>53</v>
      </c>
      <c r="O705" s="1">
        <v>30.0</v>
      </c>
      <c r="P705" s="1" t="s">
        <v>55</v>
      </c>
      <c r="Q705" s="1" t="s">
        <v>55</v>
      </c>
      <c r="R705" s="1">
        <v>30.0</v>
      </c>
      <c r="S705" s="1">
        <v>30.0</v>
      </c>
      <c r="T705" s="1" t="s">
        <v>54</v>
      </c>
      <c r="U705" s="1">
        <v>45.0</v>
      </c>
      <c r="V705" s="1" t="s">
        <v>55</v>
      </c>
      <c r="W705" s="1" t="s">
        <v>55</v>
      </c>
      <c r="X705" s="1">
        <v>45.0</v>
      </c>
      <c r="Y705" s="1">
        <v>45.0</v>
      </c>
      <c r="Z705" s="1" t="s">
        <v>56</v>
      </c>
      <c r="AA705" s="1">
        <v>41.0</v>
      </c>
      <c r="AB705" s="1" t="s">
        <v>55</v>
      </c>
      <c r="AC705" s="1" t="s">
        <v>55</v>
      </c>
      <c r="AD705" s="1">
        <v>41.0</v>
      </c>
      <c r="AE705" s="1">
        <v>41.0</v>
      </c>
      <c r="AF705" s="1" t="s">
        <v>57</v>
      </c>
      <c r="AG705" s="1">
        <v>28.0</v>
      </c>
      <c r="AH705" s="1" t="s">
        <v>55</v>
      </c>
      <c r="AI705" s="1" t="s">
        <v>55</v>
      </c>
      <c r="AJ705" s="1">
        <v>28.0</v>
      </c>
      <c r="AK705" s="1">
        <v>28.0</v>
      </c>
      <c r="AL705" s="1">
        <f t="shared" si="1"/>
        <v>186</v>
      </c>
      <c r="AM705" s="1">
        <v>186.0</v>
      </c>
      <c r="AN705" s="1">
        <v>198.0</v>
      </c>
      <c r="AO705" s="1">
        <v>186.0</v>
      </c>
      <c r="AP705" s="2">
        <v>11.0</v>
      </c>
      <c r="AQ705" s="1">
        <v>0.0</v>
      </c>
      <c r="AR705" s="1">
        <v>0.0</v>
      </c>
      <c r="AS705" s="1" t="s">
        <v>1593</v>
      </c>
      <c r="AT705" s="3" t="str">
        <f>HYPERLINK("https://icf.clappia.com/app/GMB253374/submission/EPB05203427/ICF247370-GMB253374-46857p06d7oo00000000/SIG-20250701_2044kiooj.jpeg", "SIG-20250701_2044kiooj.jpeg")</f>
        <v>SIG-20250701_2044kiooj.jpeg</v>
      </c>
      <c r="AU705" s="1" t="s">
        <v>3621</v>
      </c>
      <c r="AV705" s="3" t="str">
        <f>HYPERLINK("https://icf.clappia.com/app/GMB253374/submission/EPB05203427/ICF247370-GMB253374-343g9ef5pkpo00000000/SIG-20250701_2045159lb5.jpeg", "SIG-20250701_2045159lb5.jpeg")</f>
        <v>SIG-20250701_2045159lb5.jpeg</v>
      </c>
      <c r="AW705" s="1" t="s">
        <v>3622</v>
      </c>
      <c r="AX705" s="3" t="str">
        <f>HYPERLINK("https://icf.clappia.com/app/GMB253374/submission/EPB05203427/ICF247370-GMB253374-366cn57ba52e00000000/SIG-20250701_20452ghkg.jpeg", "SIG-20250701_20452ghkg.jpeg")</f>
        <v>SIG-20250701_20452ghkg.jpeg</v>
      </c>
      <c r="AY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3623</v>
      </c>
      <c r="B706" s="2" t="s">
        <v>47</v>
      </c>
      <c r="C706" s="1" t="s">
        <v>3624</v>
      </c>
      <c r="D706" s="1" t="s">
        <v>3624</v>
      </c>
      <c r="E706" s="1" t="s">
        <v>3625</v>
      </c>
      <c r="F706" s="1" t="s">
        <v>51</v>
      </c>
      <c r="G706" s="1">
        <v>155.0</v>
      </c>
      <c r="H706" s="1" t="s">
        <v>52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53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54</v>
      </c>
      <c r="U706" s="1" t="s">
        <v>55</v>
      </c>
      <c r="V706" s="1" t="s">
        <v>55</v>
      </c>
      <c r="W706" s="1" t="s">
        <v>55</v>
      </c>
      <c r="X706" s="1" t="s">
        <v>55</v>
      </c>
      <c r="Y706" s="1" t="s">
        <v>55</v>
      </c>
      <c r="Z706" s="1" t="s">
        <v>56</v>
      </c>
      <c r="AA706" s="1" t="s">
        <v>55</v>
      </c>
      <c r="AB706" s="1" t="s">
        <v>55</v>
      </c>
      <c r="AC706" s="1" t="s">
        <v>55</v>
      </c>
      <c r="AD706" s="1" t="s">
        <v>55</v>
      </c>
      <c r="AE706" s="1" t="s">
        <v>55</v>
      </c>
      <c r="AF706" s="1" t="s">
        <v>57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f t="shared" si="1"/>
        <v>109</v>
      </c>
      <c r="AM706" s="1">
        <v>155.0</v>
      </c>
      <c r="AN706" s="1">
        <v>167.0</v>
      </c>
      <c r="AO706" s="1">
        <v>104.0</v>
      </c>
      <c r="AP706" s="2">
        <v>11.0</v>
      </c>
      <c r="AQ706" s="1">
        <v>51.0</v>
      </c>
      <c r="AR706" s="1">
        <v>51.0</v>
      </c>
      <c r="AS706" s="1" t="s">
        <v>3626</v>
      </c>
      <c r="AT706" s="3" t="str">
        <f>HYPERLINK("https://icf.clappia.com/app/GMB253374/submission/SAP30755786/ICF247370-GMB253374-58jpl3e50nco00000000/SIG-20250630_181415dd79.jpeg", "SIG-20250630_181415dd79.jpeg")</f>
        <v>SIG-20250630_181415dd79.jpeg</v>
      </c>
      <c r="AU706" s="1" t="s">
        <v>3627</v>
      </c>
      <c r="AV706" s="3" t="str">
        <f>HYPERLINK("https://icf.clappia.com/app/GMB253374/submission/SAP30755786/ICF247370-GMB253374-571jaehp288600000000/SIG-20250630_181318k2g8.jpeg", "SIG-20250630_181318k2g8.jpeg")</f>
        <v>SIG-20250630_181318k2g8.jpeg</v>
      </c>
      <c r="AW706" s="1" t="s">
        <v>3628</v>
      </c>
      <c r="AX706" s="3" t="str">
        <f>HYPERLINK("https://icf.clappia.com/app/GMB253374/submission/SAP30755786/ICF247370-GMB253374-5k70a769hjm400000000/SIG-20250630_1840o49m2.jpeg", "SIG-20250630_1840o49m2.jpeg")</f>
        <v>SIG-20250630_1840o49m2.jpeg</v>
      </c>
      <c r="AY706" s="3" t="str">
        <f>HYPERLINK("https://www.google.com/maps/place/8.1045583%2C-11.420635", "8.1045583,-11.420635")</f>
        <v>8.1045583,-11.420635</v>
      </c>
    </row>
    <row r="707" ht="15.75" customHeight="1">
      <c r="A707" s="1" t="s">
        <v>3629</v>
      </c>
      <c r="B707" s="2" t="s">
        <v>47</v>
      </c>
      <c r="C707" s="1" t="s">
        <v>3630</v>
      </c>
      <c r="D707" s="1" t="s">
        <v>3630</v>
      </c>
      <c r="E707" s="1" t="s">
        <v>3631</v>
      </c>
      <c r="F707" s="1" t="s">
        <v>51</v>
      </c>
      <c r="G707" s="1">
        <v>138.0</v>
      </c>
      <c r="H707" s="1" t="s">
        <v>52</v>
      </c>
      <c r="I707" s="1" t="s">
        <v>55</v>
      </c>
      <c r="J707" s="1" t="s">
        <v>55</v>
      </c>
      <c r="K707" s="1" t="s">
        <v>55</v>
      </c>
      <c r="L707" s="1" t="s">
        <v>55</v>
      </c>
      <c r="M707" s="1" t="s">
        <v>55</v>
      </c>
      <c r="N707" s="1" t="s">
        <v>53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54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56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57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f t="shared" si="1"/>
        <v>138</v>
      </c>
      <c r="AM707" s="1">
        <v>138.0</v>
      </c>
      <c r="AN707" s="1">
        <v>150.0</v>
      </c>
      <c r="AO707" s="1">
        <v>129.0</v>
      </c>
      <c r="AP707" s="2">
        <v>11.0</v>
      </c>
      <c r="AQ707" s="1">
        <v>9.0</v>
      </c>
      <c r="AR707" s="1">
        <v>9.0</v>
      </c>
      <c r="AS707" s="1" t="s">
        <v>685</v>
      </c>
      <c r="AT707" s="3" t="str">
        <f>HYPERLINK("https://icf.clappia.com/app/GMB253374/submission/WOQ97424708/ICF247370-GMB253374-2hc45k1co4oc00000000/SIG-20250701_2017eemh.jpeg", "SIG-20250701_2017eemh.jpeg")</f>
        <v>SIG-20250701_2017eemh.jpeg</v>
      </c>
      <c r="AU707" s="1" t="s">
        <v>3632</v>
      </c>
      <c r="AV707" s="3" t="str">
        <f>HYPERLINK("https://icf.clappia.com/app/GMB253374/submission/WOQ97424708/ICF247370-GMB253374-1ii99kc475jda0000000/SIG-20250701_20181605db.jpeg", "SIG-20250701_20181605db.jpeg")</f>
        <v>SIG-20250701_20181605db.jpeg</v>
      </c>
      <c r="AW707" s="1" t="s">
        <v>3633</v>
      </c>
      <c r="AX707" s="3" t="str">
        <f>HYPERLINK("https://icf.clappia.com/app/GMB253374/submission/WOQ97424708/ICF247370-GMB253374-5cik3o5fl6m400000000/SIG-20250701_201816oecm.jpeg", "SIG-20250701_201816oecm.jpeg")</f>
        <v>SIG-20250701_201816oecm.jpeg</v>
      </c>
      <c r="AY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3634</v>
      </c>
      <c r="B708" s="2" t="s">
        <v>47</v>
      </c>
      <c r="C708" s="1" t="s">
        <v>3635</v>
      </c>
      <c r="D708" s="1" t="s">
        <v>3635</v>
      </c>
      <c r="E708" s="1" t="s">
        <v>3636</v>
      </c>
      <c r="F708" s="1" t="s">
        <v>51</v>
      </c>
      <c r="G708" s="1">
        <v>183.0</v>
      </c>
      <c r="H708" s="1" t="s">
        <v>52</v>
      </c>
      <c r="I708" s="1">
        <v>46.0</v>
      </c>
      <c r="J708" s="1">
        <v>46.0</v>
      </c>
      <c r="K708" s="1">
        <v>46.0</v>
      </c>
      <c r="L708" s="1" t="s">
        <v>55</v>
      </c>
      <c r="M708" s="1" t="s">
        <v>55</v>
      </c>
      <c r="N708" s="1" t="s">
        <v>53</v>
      </c>
      <c r="O708" s="1">
        <v>41.0</v>
      </c>
      <c r="P708" s="1">
        <v>41.0</v>
      </c>
      <c r="Q708" s="1">
        <v>41.0</v>
      </c>
      <c r="R708" s="1" t="s">
        <v>55</v>
      </c>
      <c r="S708" s="1" t="s">
        <v>55</v>
      </c>
      <c r="T708" s="1" t="s">
        <v>54</v>
      </c>
      <c r="U708" s="1">
        <v>37.0</v>
      </c>
      <c r="V708" s="1">
        <v>37.0</v>
      </c>
      <c r="W708" s="1">
        <v>37.0</v>
      </c>
      <c r="X708" s="1" t="s">
        <v>55</v>
      </c>
      <c r="Y708" s="1" t="s">
        <v>55</v>
      </c>
      <c r="Z708" s="1" t="s">
        <v>56</v>
      </c>
      <c r="AA708" s="1">
        <v>34.0</v>
      </c>
      <c r="AB708" s="1">
        <v>34.0</v>
      </c>
      <c r="AC708" s="1">
        <v>34.0</v>
      </c>
      <c r="AD708" s="1" t="s">
        <v>55</v>
      </c>
      <c r="AE708" s="1" t="s">
        <v>55</v>
      </c>
      <c r="AF708" s="1" t="s">
        <v>57</v>
      </c>
      <c r="AG708" s="1">
        <v>25.0</v>
      </c>
      <c r="AH708" s="1">
        <v>25.0</v>
      </c>
      <c r="AI708" s="1">
        <v>25.0</v>
      </c>
      <c r="AJ708" s="1" t="s">
        <v>55</v>
      </c>
      <c r="AK708" s="1" t="s">
        <v>55</v>
      </c>
      <c r="AL708" s="1">
        <f t="shared" si="1"/>
        <v>183</v>
      </c>
      <c r="AM708" s="1">
        <v>183.0</v>
      </c>
      <c r="AN708" s="1">
        <v>195.0</v>
      </c>
      <c r="AO708" s="1">
        <v>183.0</v>
      </c>
      <c r="AP708" s="2">
        <v>11.0</v>
      </c>
      <c r="AQ708" s="1">
        <v>0.0</v>
      </c>
      <c r="AR708" s="1">
        <v>0.0</v>
      </c>
      <c r="AS708" s="1" t="s">
        <v>3637</v>
      </c>
      <c r="AT708" s="3" t="str">
        <f>HYPERLINK("https://icf.clappia.com/app/GMB253374/submission/SUR28512619/ICF247370-GMB253374-3aabjfjjafee00000000/SIG-20250701_19221890dd.jpeg", "SIG-20250701_19221890dd.jpeg")</f>
        <v>SIG-20250701_19221890dd.jpeg</v>
      </c>
      <c r="AU708" s="1" t="s">
        <v>3638</v>
      </c>
      <c r="AV708" s="3" t="str">
        <f>HYPERLINK("https://icf.clappia.com/app/GMB253374/submission/SUR28512619/ICF247370-GMB253374-inm0593ilf5a0000000/SIG-20250701_1923184m7n.jpeg", "SIG-20250701_1923184m7n.jpeg")</f>
        <v>SIG-20250701_1923184m7n.jpeg</v>
      </c>
      <c r="AW708" s="1" t="s">
        <v>3639</v>
      </c>
      <c r="AX708" s="3" t="str">
        <f>HYPERLINK("https://icf.clappia.com/app/GMB253374/submission/SUR28512619/ICF247370-GMB253374-1c5l4ohnm8moo0000000/SIG-20250701_1924gn2fk.jpeg", "SIG-20250701_1924gn2fk.jpeg")</f>
        <v>SIG-20250701_1924gn2fk.jpeg</v>
      </c>
      <c r="AY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3640</v>
      </c>
      <c r="B709" s="2" t="s">
        <v>47</v>
      </c>
      <c r="C709" s="1" t="s">
        <v>3641</v>
      </c>
      <c r="D709" s="1" t="s">
        <v>3641</v>
      </c>
      <c r="E709" s="1" t="s">
        <v>3642</v>
      </c>
      <c r="F709" s="1" t="s">
        <v>51</v>
      </c>
      <c r="G709" s="1">
        <v>229.0</v>
      </c>
      <c r="H709" s="1" t="s">
        <v>52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53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54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56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57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f t="shared" si="1"/>
        <v>229</v>
      </c>
      <c r="AM709" s="1">
        <v>229.0</v>
      </c>
      <c r="AN709" s="1">
        <v>241.0</v>
      </c>
      <c r="AO709" s="1">
        <v>229.0</v>
      </c>
      <c r="AP709" s="2">
        <v>11.0</v>
      </c>
      <c r="AQ709" s="1">
        <v>0.0</v>
      </c>
      <c r="AR709" s="1">
        <v>0.0</v>
      </c>
      <c r="AS709" s="1" t="s">
        <v>3643</v>
      </c>
      <c r="AT709" s="3" t="str">
        <f>HYPERLINK("https://icf.clappia.com/app/GMB253374/submission/BSZ89013378/ICF247370-GMB253374-1m0o6218afkd60000000/SIG-20250701_1651aa72m.jpeg", "SIG-20250701_1651aa72m.jpeg")</f>
        <v>SIG-20250701_1651aa72m.jpeg</v>
      </c>
      <c r="AU709" s="1" t="s">
        <v>2393</v>
      </c>
      <c r="AV709" s="3" t="str">
        <f>HYPERLINK("https://icf.clappia.com/app/GMB253374/submission/BSZ89013378/ICF247370-GMB253374-2mnhkbp7i9jg00000000/SIG-20250701_1654kb868.jpeg", "SIG-20250701_1654kb868.jpeg")</f>
        <v>SIG-20250701_1654kb868.jpeg</v>
      </c>
      <c r="AW709" s="1" t="s">
        <v>2394</v>
      </c>
      <c r="AX709" s="3" t="str">
        <f>HYPERLINK("https://icf.clappia.com/app/GMB253374/submission/BSZ89013378/ICF247370-GMB253374-141fp8gj5mmpe0000000/SIG-20250701_1654lcop1.jpeg", "SIG-20250701_1654lcop1.jpeg")</f>
        <v>SIG-20250701_1654lcop1.jpeg</v>
      </c>
      <c r="AY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3644</v>
      </c>
      <c r="B710" s="2" t="s">
        <v>47</v>
      </c>
      <c r="C710" s="1" t="s">
        <v>3645</v>
      </c>
      <c r="D710" s="1" t="s">
        <v>3645</v>
      </c>
      <c r="E710" s="1" t="s">
        <v>3646</v>
      </c>
      <c r="F710" s="1" t="s">
        <v>51</v>
      </c>
      <c r="G710" s="1">
        <v>171.0</v>
      </c>
      <c r="H710" s="1" t="s">
        <v>52</v>
      </c>
      <c r="I710" s="1" t="s">
        <v>55</v>
      </c>
      <c r="J710" s="1" t="s">
        <v>55</v>
      </c>
      <c r="K710" s="1" t="s">
        <v>55</v>
      </c>
      <c r="L710" s="1" t="s">
        <v>55</v>
      </c>
      <c r="M710" s="1" t="s">
        <v>55</v>
      </c>
      <c r="N710" s="1" t="s">
        <v>53</v>
      </c>
      <c r="O710" s="1" t="s">
        <v>55</v>
      </c>
      <c r="P710" s="1" t="s">
        <v>55</v>
      </c>
      <c r="Q710" s="1" t="s">
        <v>55</v>
      </c>
      <c r="R710" s="1" t="s">
        <v>55</v>
      </c>
      <c r="S710" s="1" t="s">
        <v>55</v>
      </c>
      <c r="T710" s="1" t="s">
        <v>54</v>
      </c>
      <c r="U710" s="1" t="s">
        <v>55</v>
      </c>
      <c r="V710" s="1" t="s">
        <v>55</v>
      </c>
      <c r="W710" s="1" t="s">
        <v>55</v>
      </c>
      <c r="X710" s="1" t="s">
        <v>55</v>
      </c>
      <c r="Y710" s="1" t="s">
        <v>1642</v>
      </c>
      <c r="Z710" s="1" t="s">
        <v>56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57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f t="shared" si="1"/>
        <v>171</v>
      </c>
      <c r="AM710" s="1">
        <v>171.0</v>
      </c>
      <c r="AN710" s="1">
        <v>183.0</v>
      </c>
      <c r="AO710" s="1">
        <v>171.0</v>
      </c>
      <c r="AP710" s="2">
        <v>11.0</v>
      </c>
      <c r="AQ710" s="1">
        <v>0.0</v>
      </c>
      <c r="AR710" s="1">
        <v>0.0</v>
      </c>
      <c r="AS710" s="1" t="s">
        <v>3647</v>
      </c>
      <c r="AT710" s="3" t="str">
        <f>HYPERLINK("https://icf.clappia.com/app/GMB253374/submission/KZH83537993/ICF247370-GMB253374-253fcamfcbd840000000/SIG-20250701_18461a3p0n.jpeg", "SIG-20250701_18461a3p0n.jpeg")</f>
        <v>SIG-20250701_18461a3p0n.jpeg</v>
      </c>
      <c r="AU710" s="1" t="s">
        <v>2170</v>
      </c>
      <c r="AV710" s="3" t="str">
        <f>HYPERLINK("https://icf.clappia.com/app/GMB253374/submission/KZH83537993/ICF247370-GMB253374-66d9e23bpbco00000000/SIG-20250701_1847193pn2.jpeg", "SIG-20250701_1847193pn2.jpeg")</f>
        <v>SIG-20250701_1847193pn2.jpeg</v>
      </c>
      <c r="AW710" s="1" t="s">
        <v>2171</v>
      </c>
      <c r="AX710" s="3" t="str">
        <f>HYPERLINK("https://icf.clappia.com/app/GMB253374/submission/KZH83537993/ICF247370-GMB253374-27gbpclbf14ae0000000/SIG-20250701_184832eof.jpeg", "SIG-20250701_184832eof.jpeg")</f>
        <v>SIG-20250701_184832eof.jpeg</v>
      </c>
      <c r="AY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3648</v>
      </c>
      <c r="B711" s="2" t="s">
        <v>47</v>
      </c>
      <c r="C711" s="1" t="s">
        <v>3649</v>
      </c>
      <c r="D711" s="1" t="s">
        <v>3650</v>
      </c>
      <c r="E711" s="1" t="s">
        <v>3651</v>
      </c>
      <c r="F711" s="1" t="s">
        <v>51</v>
      </c>
      <c r="G711" s="1">
        <v>300.0</v>
      </c>
      <c r="H711" s="1" t="s">
        <v>52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53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54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56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57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f t="shared" si="1"/>
        <v>273</v>
      </c>
      <c r="AM711" s="1">
        <v>300.0</v>
      </c>
      <c r="AN711" s="1">
        <v>312.0</v>
      </c>
      <c r="AO711" s="1">
        <v>246.0</v>
      </c>
      <c r="AP711" s="2">
        <v>11.0</v>
      </c>
      <c r="AQ711" s="1">
        <v>54.0</v>
      </c>
      <c r="AR711" s="1">
        <v>54.0</v>
      </c>
      <c r="AS711" s="1" t="s">
        <v>923</v>
      </c>
      <c r="AT711" s="3" t="str">
        <f>HYPERLINK("https://icf.clappia.com/app/GMB253374/submission/RRB10203699/ICF247370-GMB253374-14fegnnfkc8p60000000/SIG-20250701_18356a6ak.jpeg", "SIG-20250701_18356a6ak.jpeg")</f>
        <v>SIG-20250701_18356a6ak.jpeg</v>
      </c>
      <c r="AU711" s="1">
        <v>1.0</v>
      </c>
      <c r="AV711" s="3" t="str">
        <f>HYPERLINK("https://icf.clappia.com/app/GMB253374/submission/RRB10203699/ICF247370-GMB253374-54hi11h4kjak00000000/SIG-20250701_184314jm11.jpeg", "SIG-20250701_184314jm11.jpeg")</f>
        <v>SIG-20250701_184314jm11.jpeg</v>
      </c>
      <c r="AW711" s="1">
        <v>1.0</v>
      </c>
      <c r="AX711" s="3" t="str">
        <f>HYPERLINK("https://icf.clappia.com/app/GMB253374/submission/RRB10203699/ICF247370-GMB253374-4nmb3g9ebpao00000000/SIG-20250701_184313p942.jpeg", "SIG-20250701_184313p942.jpeg")</f>
        <v>SIG-20250701_184313p942.jpeg</v>
      </c>
      <c r="AY711" s="3" t="str">
        <f>HYPERLINK("https://www.google.com/maps/place/8.9497683%2C-12.07679", "8.9497683,-12.07679")</f>
        <v>8.9497683,-12.07679</v>
      </c>
    </row>
    <row r="712" ht="15.75" customHeight="1">
      <c r="A712" s="1" t="s">
        <v>3652</v>
      </c>
      <c r="B712" s="2" t="s">
        <v>47</v>
      </c>
      <c r="C712" s="1" t="s">
        <v>3653</v>
      </c>
      <c r="D712" s="1" t="s">
        <v>3653</v>
      </c>
      <c r="E712" s="1" t="s">
        <v>3654</v>
      </c>
      <c r="F712" s="1" t="s">
        <v>51</v>
      </c>
      <c r="G712" s="1">
        <v>100.0</v>
      </c>
      <c r="H712" s="1" t="s">
        <v>52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53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54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56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57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f t="shared" si="1"/>
        <v>107</v>
      </c>
      <c r="AM712" s="1">
        <v>100.0</v>
      </c>
      <c r="AN712" s="1">
        <v>112.0</v>
      </c>
      <c r="AO712" s="1">
        <v>82.0</v>
      </c>
      <c r="AP712" s="2">
        <v>11.0</v>
      </c>
      <c r="AQ712" s="1">
        <v>18.0</v>
      </c>
      <c r="AR712" s="1">
        <v>18.0</v>
      </c>
      <c r="AS712" s="1" t="s">
        <v>3655</v>
      </c>
      <c r="AT712" s="3" t="str">
        <f>HYPERLINK("https://icf.clappia.com/app/GMB253374/submission/DBO85996864/ICF247370-GMB253374-5g84nep87fle00000000/SIG-20250701_1749ehk1o.jpeg", "SIG-20250701_1749ehk1o.jpeg")</f>
        <v>SIG-20250701_1749ehk1o.jpeg</v>
      </c>
      <c r="AU712" s="1" t="s">
        <v>840</v>
      </c>
      <c r="AV712" s="3" t="str">
        <f>HYPERLINK("https://icf.clappia.com/app/GMB253374/submission/DBO85996864/ICF247370-GMB253374-1f6o78gfoec160000000/SIG-20250701_18043f069.jpeg", "SIG-20250701_18043f069.jpeg")</f>
        <v>SIG-20250701_18043f069.jpeg</v>
      </c>
      <c r="AW712" s="1" t="s">
        <v>3656</v>
      </c>
      <c r="AX712" s="3" t="str">
        <f>HYPERLINK("https://icf.clappia.com/app/GMB253374/submission/DBO85996864/ICF247370-GMB253374-45b907l3j4km00000000/SIG-20250701_180310e225.jpeg", "SIG-20250701_180310e225.jpeg")</f>
        <v>SIG-20250701_180310e225.jpeg</v>
      </c>
      <c r="AY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3657</v>
      </c>
      <c r="B713" s="2" t="s">
        <v>47</v>
      </c>
      <c r="C713" s="1" t="s">
        <v>3658</v>
      </c>
      <c r="D713" s="1" t="s">
        <v>3658</v>
      </c>
      <c r="E713" s="1" t="s">
        <v>3659</v>
      </c>
      <c r="F713" s="1" t="s">
        <v>51</v>
      </c>
      <c r="G713" s="1">
        <v>250.0</v>
      </c>
      <c r="H713" s="1" t="s">
        <v>52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53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54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56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57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f t="shared" si="1"/>
        <v>252</v>
      </c>
      <c r="AM713" s="1">
        <v>250.0</v>
      </c>
      <c r="AN713" s="1">
        <v>262.0</v>
      </c>
      <c r="AO713" s="1">
        <v>210.0</v>
      </c>
      <c r="AP713" s="2">
        <v>11.0</v>
      </c>
      <c r="AQ713" s="1">
        <v>40.0</v>
      </c>
      <c r="AR713" s="1">
        <v>40.0</v>
      </c>
      <c r="AS713" s="1" t="s">
        <v>877</v>
      </c>
      <c r="AT713" s="3" t="str">
        <f>HYPERLINK("https://icf.clappia.com/app/GMB253374/submission/AVG74191667/ICF247370-GMB253374-3cp5d05jgj3i00000000/SIG-20250701_18341ad250.jpeg", "SIG-20250701_18341ad250.jpeg")</f>
        <v>SIG-20250701_18341ad250.jpeg</v>
      </c>
      <c r="AU713" s="1" t="s">
        <v>878</v>
      </c>
      <c r="AV713" s="3" t="str">
        <f>HYPERLINK("https://icf.clappia.com/app/GMB253374/submission/AVG74191667/ICF247370-GMB253374-5g6gfim806n200000000/SIG-20250701_183586611.jpeg", "SIG-20250701_183586611.jpeg")</f>
        <v>SIG-20250701_183586611.jpeg</v>
      </c>
      <c r="AW713" s="1" t="s">
        <v>879</v>
      </c>
      <c r="AX713" s="3" t="str">
        <f>HYPERLINK("https://icf.clappia.com/app/GMB253374/submission/AVG74191667/ICF247370-GMB253374-ola984kgcmno0000000/SIG-20250701_18366cin0.jpeg", "SIG-20250701_18366cin0.jpeg")</f>
        <v>SIG-20250701_18366cin0.jpeg</v>
      </c>
      <c r="AY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3660</v>
      </c>
      <c r="B714" s="2" t="s">
        <v>47</v>
      </c>
      <c r="C714" s="1" t="s">
        <v>3661</v>
      </c>
      <c r="D714" s="1" t="s">
        <v>3661</v>
      </c>
      <c r="E714" s="1" t="s">
        <v>2436</v>
      </c>
      <c r="F714" s="1" t="s">
        <v>51</v>
      </c>
      <c r="G714" s="1">
        <v>100.0</v>
      </c>
      <c r="H714" s="1" t="s">
        <v>52</v>
      </c>
      <c r="I714" s="1" t="s">
        <v>55</v>
      </c>
      <c r="J714" s="1" t="s">
        <v>55</v>
      </c>
      <c r="K714" s="1" t="s">
        <v>55</v>
      </c>
      <c r="L714" s="1" t="s">
        <v>55</v>
      </c>
      <c r="M714" s="1" t="s">
        <v>55</v>
      </c>
      <c r="N714" s="1" t="s">
        <v>53</v>
      </c>
      <c r="O714" s="1" t="s">
        <v>55</v>
      </c>
      <c r="P714" s="1" t="s">
        <v>55</v>
      </c>
      <c r="Q714" s="1" t="s">
        <v>55</v>
      </c>
      <c r="R714" s="1" t="s">
        <v>55</v>
      </c>
      <c r="S714" s="1" t="s">
        <v>55</v>
      </c>
      <c r="T714" s="1" t="s">
        <v>54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56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57</v>
      </c>
      <c r="AG714" s="1" t="s">
        <v>55</v>
      </c>
      <c r="AH714" s="1" t="s">
        <v>55</v>
      </c>
      <c r="AI714" s="1" t="s">
        <v>55</v>
      </c>
      <c r="AJ714" s="1" t="s">
        <v>55</v>
      </c>
      <c r="AK714" s="1" t="s">
        <v>55</v>
      </c>
      <c r="AL714" s="1">
        <f t="shared" si="1"/>
        <v>97</v>
      </c>
      <c r="AM714" s="1">
        <v>100.0</v>
      </c>
      <c r="AN714" s="1">
        <v>112.0</v>
      </c>
      <c r="AO714" s="1">
        <v>97.0</v>
      </c>
      <c r="AP714" s="2">
        <v>11.0</v>
      </c>
      <c r="AQ714" s="1">
        <v>3.0</v>
      </c>
      <c r="AR714" s="1">
        <v>3.0</v>
      </c>
      <c r="AS714" s="1" t="s">
        <v>1529</v>
      </c>
      <c r="AT714" s="3" t="str">
        <f>HYPERLINK("https://icf.clappia.com/app/GMB253374/submission/GBL69580718/ICF247370-GMB253374-4hfpgjc70c4o00000000/SIG-20250701_181822b29.jpeg", "SIG-20250701_181822b29.jpeg")</f>
        <v>SIG-20250701_181822b29.jpeg</v>
      </c>
      <c r="AU714" s="1" t="s">
        <v>2437</v>
      </c>
      <c r="AV714" s="3" t="str">
        <f>HYPERLINK("https://icf.clappia.com/app/GMB253374/submission/GBL69580718/ICF247370-GMB253374-23kkigillb8i40000000/SIG-20250701_1820ge928.jpeg", "SIG-20250701_1820ge928.jpeg")</f>
        <v>SIG-20250701_1820ge928.jpeg</v>
      </c>
      <c r="AW714" s="1" t="s">
        <v>3662</v>
      </c>
      <c r="AX714" s="3" t="str">
        <f>HYPERLINK("https://icf.clappia.com/app/GMB253374/submission/GBL69580718/ICF247370-GMB253374-k97aldlhd38c0000000/SIG-20250701_18216ihdb.jpeg", "SIG-20250701_18216ihdb.jpeg")</f>
        <v>SIG-20250701_18216ihdb.jpeg</v>
      </c>
      <c r="AY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3663</v>
      </c>
      <c r="B715" s="2" t="s">
        <v>47</v>
      </c>
      <c r="C715" s="1" t="s">
        <v>3664</v>
      </c>
      <c r="D715" s="1" t="s">
        <v>3664</v>
      </c>
      <c r="E715" s="1" t="s">
        <v>3665</v>
      </c>
      <c r="F715" s="1" t="s">
        <v>51</v>
      </c>
      <c r="G715" s="1">
        <v>568.0</v>
      </c>
      <c r="H715" s="1" t="s">
        <v>52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53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54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56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57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f t="shared" si="1"/>
        <v>495</v>
      </c>
      <c r="AM715" s="1">
        <v>568.0</v>
      </c>
      <c r="AN715" s="1">
        <v>580.0</v>
      </c>
      <c r="AO715" s="1">
        <v>495.0</v>
      </c>
      <c r="AP715" s="2">
        <v>11.0</v>
      </c>
      <c r="AQ715" s="1">
        <v>73.0</v>
      </c>
      <c r="AR715" s="1">
        <v>73.0</v>
      </c>
      <c r="AS715" s="1" t="s">
        <v>1215</v>
      </c>
      <c r="AT715" s="3" t="str">
        <f>HYPERLINK("https://icf.clappia.com/app/GMB253374/submission/UEN12419413/ICF247370-GMB253374-561je7b1imog00000000/SIG-20250701_1810d3elm.jpeg", "SIG-20250701_1810d3elm.jpeg")</f>
        <v>SIG-20250701_1810d3elm.jpeg</v>
      </c>
      <c r="AU715" s="1" t="s">
        <v>3666</v>
      </c>
      <c r="AV715" s="3" t="str">
        <f>HYPERLINK("https://icf.clappia.com/app/GMB253374/submission/UEN12419413/ICF247370-GMB253374-5f9kc6f477da00000000/SIG-20250701_1809lb7o1.jpeg", "SIG-20250701_1809lb7o1.jpeg")</f>
        <v>SIG-20250701_1809lb7o1.jpeg</v>
      </c>
      <c r="AW715" s="1" t="s">
        <v>3667</v>
      </c>
      <c r="AX715" s="3" t="str">
        <f>HYPERLINK("https://icf.clappia.com/app/GMB253374/submission/UEN12419413/ICF247370-GMB253374-61lekod2lj4c00000000/SIG-20250701_1809kaa45.jpeg", "SIG-20250701_1809kaa45.jpeg")</f>
        <v>SIG-20250701_1809kaa45.jpeg</v>
      </c>
      <c r="AY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3668</v>
      </c>
      <c r="B716" s="2" t="s">
        <v>47</v>
      </c>
      <c r="C716" s="1" t="s">
        <v>3669</v>
      </c>
      <c r="D716" s="1" t="s">
        <v>3669</v>
      </c>
      <c r="E716" s="1" t="s">
        <v>3670</v>
      </c>
      <c r="F716" s="1" t="s">
        <v>51</v>
      </c>
      <c r="G716" s="1">
        <v>100.0</v>
      </c>
      <c r="H716" s="1" t="s">
        <v>52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53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54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56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55</v>
      </c>
      <c r="AF716" s="1" t="s">
        <v>57</v>
      </c>
      <c r="AG716" s="1" t="s">
        <v>55</v>
      </c>
      <c r="AH716" s="1" t="s">
        <v>55</v>
      </c>
      <c r="AI716" s="1" t="s">
        <v>55</v>
      </c>
      <c r="AJ716" s="1" t="s">
        <v>55</v>
      </c>
      <c r="AK716" s="1" t="s">
        <v>55</v>
      </c>
      <c r="AL716" s="1">
        <f t="shared" si="1"/>
        <v>93</v>
      </c>
      <c r="AM716" s="1">
        <v>100.0</v>
      </c>
      <c r="AN716" s="1">
        <v>112.0</v>
      </c>
      <c r="AO716" s="1">
        <v>91.0</v>
      </c>
      <c r="AP716" s="2">
        <v>11.0</v>
      </c>
      <c r="AQ716" s="1">
        <v>9.0</v>
      </c>
      <c r="AR716" s="1">
        <v>9.0</v>
      </c>
      <c r="AS716" s="1" t="s">
        <v>3671</v>
      </c>
      <c r="AT716" s="3" t="str">
        <f>HYPERLINK("https://icf.clappia.com/app/GMB253374/submission/FDX23400396/ICF247370-GMB253374-3kkgnkfjd4me00000000/SIG-20250701_1809jgi7a.jpeg", "SIG-20250701_1809jgi7a.jpeg")</f>
        <v>SIG-20250701_1809jgi7a.jpeg</v>
      </c>
      <c r="AU716" s="1" t="s">
        <v>3672</v>
      </c>
      <c r="AV716" s="3" t="str">
        <f>HYPERLINK("https://icf.clappia.com/app/GMB253374/submission/FDX23400396/ICF247370-GMB253374-616ekj4dc84200000000/SIG-20250701_181019i8ie.jpeg", "SIG-20250701_181019i8ie.jpeg")</f>
        <v>SIG-20250701_181019i8ie.jpeg</v>
      </c>
      <c r="AW716" s="1" t="s">
        <v>3673</v>
      </c>
      <c r="AX716" s="3" t="str">
        <f>HYPERLINK("https://icf.clappia.com/app/GMB253374/submission/FDX23400396/ICF247370-GMB253374-2o2f2fh4a19400000000/SIG-20250701_1810d95g8.jpeg", "SIG-20250701_1810d95g8.jpeg")</f>
        <v>SIG-20250701_1810d95g8.jpeg</v>
      </c>
      <c r="AY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3674</v>
      </c>
      <c r="B717" s="2" t="s">
        <v>47</v>
      </c>
      <c r="C717" s="1" t="s">
        <v>3675</v>
      </c>
      <c r="D717" s="1" t="s">
        <v>3676</v>
      </c>
      <c r="E717" s="1" t="s">
        <v>3677</v>
      </c>
      <c r="F717" s="1" t="s">
        <v>51</v>
      </c>
      <c r="G717" s="1">
        <v>350.0</v>
      </c>
      <c r="H717" s="1" t="s">
        <v>52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53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54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56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57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f t="shared" si="1"/>
        <v>327</v>
      </c>
      <c r="AM717" s="1">
        <v>350.0</v>
      </c>
      <c r="AN717" s="1">
        <v>362.0</v>
      </c>
      <c r="AO717" s="1">
        <v>307.0</v>
      </c>
      <c r="AP717" s="2">
        <v>11.0</v>
      </c>
      <c r="AQ717" s="1">
        <v>43.0</v>
      </c>
      <c r="AR717" s="1">
        <v>43.0</v>
      </c>
      <c r="AS717" s="1" t="s">
        <v>3678</v>
      </c>
      <c r="AT717" s="3" t="str">
        <f>HYPERLINK("https://icf.clappia.com/app/GMB253374/submission/TRI09618673/ICF247370-GMB253374-5873fh4cik8m00000000/SIG-20250701_1034a91pd.jpeg", "SIG-20250701_1034a91pd.jpeg")</f>
        <v>SIG-20250701_1034a91pd.jpeg</v>
      </c>
      <c r="AU717" s="1" t="s">
        <v>3679</v>
      </c>
      <c r="AV717" s="3" t="str">
        <f>HYPERLINK("https://icf.clappia.com/app/GMB253374/submission/TRI09618673/ICF247370-GMB253374-280c51oo944m40000000/SIG-20250701_1036237i1.jpeg", "SIG-20250701_1036237i1.jpeg")</f>
        <v>SIG-20250701_1036237i1.jpeg</v>
      </c>
      <c r="AW717" s="1" t="s">
        <v>3680</v>
      </c>
      <c r="AX717" s="3" t="str">
        <f>HYPERLINK("https://icf.clappia.com/app/GMB253374/submission/TRI09618673/ICF247370-GMB253374-2fc6o45p1fbk00000000/SIG-20250701_1036g1n9f.jpeg", "SIG-20250701_1036g1n9f.jpeg")</f>
        <v>SIG-20250701_1036g1n9f.jpeg</v>
      </c>
      <c r="AY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3681</v>
      </c>
      <c r="B718" s="2" t="s">
        <v>47</v>
      </c>
      <c r="C718" s="1" t="s">
        <v>3682</v>
      </c>
      <c r="D718" s="1" t="s">
        <v>3682</v>
      </c>
      <c r="E718" s="1" t="s">
        <v>3683</v>
      </c>
      <c r="F718" s="1" t="s">
        <v>51</v>
      </c>
      <c r="G718" s="1">
        <v>817.0</v>
      </c>
      <c r="H718" s="1" t="s">
        <v>52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53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54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56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57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f t="shared" si="1"/>
        <v>817</v>
      </c>
      <c r="AM718" s="1">
        <v>817.0</v>
      </c>
      <c r="AN718" s="1">
        <v>829.0</v>
      </c>
      <c r="AO718" s="1">
        <v>507.0</v>
      </c>
      <c r="AP718" s="2">
        <v>11.0</v>
      </c>
      <c r="AQ718" s="1">
        <v>310.0</v>
      </c>
      <c r="AR718" s="1">
        <v>310.0</v>
      </c>
      <c r="AS718" s="1" t="s">
        <v>3684</v>
      </c>
      <c r="AT718" s="3" t="str">
        <f>HYPERLINK("https://icf.clappia.com/app/GMB253374/submission/LDJ30047763/ICF247370-GMB253374-3nnlle55k4de00000000/SIG-20250701_1801khb7i.jpeg", "SIG-20250701_1801khb7i.jpeg")</f>
        <v>SIG-20250701_1801khb7i.jpeg</v>
      </c>
      <c r="AU718" s="1" t="s">
        <v>3685</v>
      </c>
      <c r="AV718" s="3" t="str">
        <f>HYPERLINK("https://icf.clappia.com/app/GMB253374/submission/LDJ30047763/ICF247370-GMB253374-3c1o8p44769e00000000/SIG-20250701_1802f0251.jpeg", "SIG-20250701_1802f0251.jpeg")</f>
        <v>SIG-20250701_1802f0251.jpeg</v>
      </c>
      <c r="AW718" s="1" t="s">
        <v>3686</v>
      </c>
      <c r="AX718" s="3" t="str">
        <f>HYPERLINK("https://icf.clappia.com/app/GMB253374/submission/LDJ30047763/ICF247370-GMB253374-dp6d1h95500o0000000/SIG-20250701_1803163231.jpeg", "SIG-20250701_1803163231.jpeg")</f>
        <v>SIG-20250701_1803163231.jpeg</v>
      </c>
      <c r="AY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3687</v>
      </c>
      <c r="B719" s="2" t="s">
        <v>47</v>
      </c>
      <c r="C719" s="1" t="s">
        <v>3688</v>
      </c>
      <c r="D719" s="1" t="s">
        <v>3688</v>
      </c>
      <c r="E719" s="1" t="s">
        <v>3689</v>
      </c>
      <c r="F719" s="1" t="s">
        <v>51</v>
      </c>
      <c r="G719" s="1">
        <v>291.0</v>
      </c>
      <c r="H719" s="1" t="s">
        <v>52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53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54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56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57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f t="shared" si="1"/>
        <v>301</v>
      </c>
      <c r="AM719" s="1">
        <v>291.0</v>
      </c>
      <c r="AN719" s="1">
        <v>303.0</v>
      </c>
      <c r="AO719" s="1">
        <v>283.0</v>
      </c>
      <c r="AP719" s="2">
        <v>11.0</v>
      </c>
      <c r="AQ719" s="1">
        <v>8.0</v>
      </c>
      <c r="AR719" s="1">
        <v>8.0</v>
      </c>
      <c r="AS719" s="1" t="s">
        <v>1375</v>
      </c>
      <c r="AT719" s="3" t="str">
        <f>HYPERLINK("https://icf.clappia.com/app/GMB253374/submission/AKH65103850/ICF247370-GMB253374-3d8b2gc0ojc400000000/SIG-20250701_17375jgj3.jpeg", "SIG-20250701_17375jgj3.jpeg")</f>
        <v>SIG-20250701_17375jgj3.jpeg</v>
      </c>
      <c r="AU719" s="1" t="s">
        <v>1376</v>
      </c>
      <c r="AV719" s="3" t="str">
        <f>HYPERLINK("https://icf.clappia.com/app/GMB253374/submission/AKH65103850/ICF247370-GMB253374-5ogipna8jk2800000000/SIG-20250701_1737hfm4c.jpeg", "SIG-20250701_1737hfm4c.jpeg")</f>
        <v>SIG-20250701_1737hfm4c.jpeg</v>
      </c>
      <c r="AW719" s="1" t="s">
        <v>3690</v>
      </c>
      <c r="AX719" s="3" t="str">
        <f>HYPERLINK("https://icf.clappia.com/app/GMB253374/submission/AKH65103850/ICF247370-GMB253374-pbogeodd0kmk0000000/SIG-20250701_17389pfl7.jpeg", "SIG-20250701_17389pfl7.jpeg")</f>
        <v>SIG-20250701_17389pfl7.jpeg</v>
      </c>
      <c r="AY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3691</v>
      </c>
      <c r="B720" s="2" t="s">
        <v>47</v>
      </c>
      <c r="C720" s="1" t="s">
        <v>3692</v>
      </c>
      <c r="D720" s="1" t="s">
        <v>3692</v>
      </c>
      <c r="E720" s="2" t="s">
        <v>3693</v>
      </c>
      <c r="F720" s="1" t="s">
        <v>51</v>
      </c>
      <c r="G720" s="1">
        <v>179.0</v>
      </c>
      <c r="H720" s="1" t="s">
        <v>52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53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54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56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57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f t="shared" si="1"/>
        <v>198</v>
      </c>
      <c r="AM720" s="1">
        <v>179.0</v>
      </c>
      <c r="AN720" s="1">
        <v>191.0</v>
      </c>
      <c r="AO720" s="1">
        <v>179.0</v>
      </c>
      <c r="AP720" s="2">
        <v>11.0</v>
      </c>
      <c r="AQ720" s="1">
        <v>0.0</v>
      </c>
      <c r="AR720" s="1">
        <v>0.0</v>
      </c>
      <c r="AS720" s="1" t="s">
        <v>2946</v>
      </c>
      <c r="AT720" s="3" t="str">
        <f>HYPERLINK("https://icf.clappia.com/app/GMB253374/submission/KAO78284059/ICF247370-GMB253374-4hcipn93ke4e00000000/SIG-20250701_130718ik46.jpeg", "SIG-20250701_130718ik46.jpeg")</f>
        <v>SIG-20250701_130718ik46.jpeg</v>
      </c>
      <c r="AU720" s="1" t="s">
        <v>3694</v>
      </c>
      <c r="AV720" s="3" t="str">
        <f>HYPERLINK("https://icf.clappia.com/app/GMB253374/submission/KAO78284059/ICF247370-GMB253374-3i22n81f46l200000000/SIG-20250701_1307ik847.jpeg", "SIG-20250701_1307ik847.jpeg")</f>
        <v>SIG-20250701_1307ik847.jpeg</v>
      </c>
      <c r="AW720" s="1" t="s">
        <v>3695</v>
      </c>
      <c r="AX720" s="3" t="str">
        <f>HYPERLINK("https://icf.clappia.com/app/GMB253374/submission/KAO78284059/ICF247370-GMB253374-7e6k76kik4eo0000000/SIG-20250701_1308om6mo.jpeg", "SIG-20250701_1308om6mo.jpeg")</f>
        <v>SIG-20250701_1308om6mo.jpeg</v>
      </c>
      <c r="AY720" s="3" t="str">
        <f>HYPERLINK("https://www.google.com/maps/place/9.130685%2C-12.0104317", "9.130685,-12.0104317")</f>
        <v>9.130685,-12.0104317</v>
      </c>
    </row>
    <row r="721" ht="15.75" customHeight="1">
      <c r="A721" s="1" t="s">
        <v>3696</v>
      </c>
      <c r="B721" s="2" t="s">
        <v>47</v>
      </c>
      <c r="C721" s="1" t="s">
        <v>3697</v>
      </c>
      <c r="D721" s="1" t="s">
        <v>3697</v>
      </c>
      <c r="E721" s="4" t="s">
        <v>3698</v>
      </c>
      <c r="F721" s="1" t="s">
        <v>51</v>
      </c>
      <c r="G721" s="1">
        <v>300.0</v>
      </c>
      <c r="H721" s="1" t="s">
        <v>52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53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54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56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57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f t="shared" si="1"/>
        <v>385</v>
      </c>
      <c r="AM721" s="1">
        <v>300.0</v>
      </c>
      <c r="AN721" s="1">
        <v>312.0</v>
      </c>
      <c r="AO721" s="1">
        <v>290.0</v>
      </c>
      <c r="AP721" s="2">
        <v>11.0</v>
      </c>
      <c r="AQ721" s="1">
        <v>10.0</v>
      </c>
      <c r="AR721" s="1">
        <v>10.0</v>
      </c>
      <c r="AS721" s="1" t="s">
        <v>2623</v>
      </c>
      <c r="AT721" s="3" t="str">
        <f>HYPERLINK("https://icf.clappia.com/app/GMB253374/submission/KPN15356074/ICF247370-GMB253374-29ke9gae0900o0000000/SIG-20250701_1652i07mj.jpeg", "SIG-20250701_1652i07mj.jpeg")</f>
        <v>SIG-20250701_1652i07mj.jpeg</v>
      </c>
      <c r="AU721" s="1" t="s">
        <v>3699</v>
      </c>
      <c r="AV721" s="3" t="str">
        <f>HYPERLINK("https://icf.clappia.com/app/GMB253374/submission/KPN15356074/ICF247370-GMB253374-2llioffb60ge00000000/SIG-20250701_1653jo1d6.jpeg", "SIG-20250701_1653jo1d6.jpeg")</f>
        <v>SIG-20250701_1653jo1d6.jpeg</v>
      </c>
      <c r="AW721" s="1" t="s">
        <v>2625</v>
      </c>
      <c r="AX721" s="3" t="str">
        <f>HYPERLINK("https://icf.clappia.com/app/GMB253374/submission/KPN15356074/ICF247370-GMB253374-36858ncpnc1g00000000/SIG-20250701_1654ki6k8.jpeg", "SIG-20250701_1654ki6k8.jpeg")</f>
        <v>SIG-20250701_1654ki6k8.jpeg</v>
      </c>
      <c r="AY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3700</v>
      </c>
      <c r="B722" s="2" t="s">
        <v>47</v>
      </c>
      <c r="C722" s="1" t="s">
        <v>3701</v>
      </c>
      <c r="D722" s="1" t="s">
        <v>3701</v>
      </c>
      <c r="E722" s="1" t="s">
        <v>3702</v>
      </c>
      <c r="F722" s="1" t="s">
        <v>51</v>
      </c>
      <c r="G722" s="1">
        <v>405.0</v>
      </c>
      <c r="H722" s="1" t="s">
        <v>52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53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54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56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57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f t="shared" si="1"/>
        <v>415</v>
      </c>
      <c r="AM722" s="1">
        <v>405.0</v>
      </c>
      <c r="AN722" s="1">
        <v>417.0</v>
      </c>
      <c r="AO722" s="1">
        <v>405.0</v>
      </c>
      <c r="AP722" s="2">
        <v>11.0</v>
      </c>
      <c r="AQ722" s="1">
        <v>0.0</v>
      </c>
      <c r="AR722" s="1">
        <v>0.0</v>
      </c>
      <c r="AS722" s="1" t="s">
        <v>3703</v>
      </c>
      <c r="AT722" s="3" t="str">
        <f>HYPERLINK("https://icf.clappia.com/app/GMB253374/submission/EIS82120454/ICF247370-GMB253374-231e4dd0aiil60000000/SIG-20250701_1722567m0.jpeg", "SIG-20250701_1722567m0.jpeg")</f>
        <v>SIG-20250701_1722567m0.jpeg</v>
      </c>
      <c r="AU722" s="1" t="s">
        <v>3704</v>
      </c>
      <c r="AV722" s="3" t="str">
        <f>HYPERLINK("https://icf.clappia.com/app/GMB253374/submission/EIS82120454/ICF247370-GMB253374-3ca9o2j1lehc00000000/SIG-20250701_172417p3h3.jpeg", "SIG-20250701_172417p3h3.jpeg")</f>
        <v>SIG-20250701_172417p3h3.jpeg</v>
      </c>
      <c r="AW722" s="1" t="s">
        <v>3705</v>
      </c>
      <c r="AX722" s="3" t="str">
        <f>HYPERLINK("https://icf.clappia.com/app/GMB253374/submission/EIS82120454/ICF247370-GMB253374-31lemc4mi1i000000000/SIG-20250701_172478c3p.jpeg", "SIG-20250701_172478c3p.jpeg")</f>
        <v>SIG-20250701_172478c3p.jpeg</v>
      </c>
      <c r="AY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3706</v>
      </c>
      <c r="B723" s="2" t="s">
        <v>47</v>
      </c>
      <c r="C723" s="1" t="s">
        <v>3707</v>
      </c>
      <c r="D723" s="1" t="s">
        <v>3707</v>
      </c>
      <c r="E723" s="1" t="s">
        <v>3708</v>
      </c>
      <c r="F723" s="1" t="s">
        <v>51</v>
      </c>
      <c r="G723" s="1">
        <v>216.0</v>
      </c>
      <c r="H723" s="1" t="s">
        <v>52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53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54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56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57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f t="shared" si="1"/>
        <v>216</v>
      </c>
      <c r="AM723" s="1">
        <v>216.0</v>
      </c>
      <c r="AN723" s="1">
        <v>228.0</v>
      </c>
      <c r="AO723" s="1">
        <v>200.0</v>
      </c>
      <c r="AP723" s="2">
        <v>11.0</v>
      </c>
      <c r="AQ723" s="1">
        <v>16.0</v>
      </c>
      <c r="AR723" s="1">
        <v>16.0</v>
      </c>
      <c r="AS723" s="1" t="s">
        <v>3709</v>
      </c>
      <c r="AT723" s="3" t="str">
        <f>HYPERLINK("https://icf.clappia.com/app/GMB253374/submission/TCY43341850/ICF247370-GMB253374-19gba555m655a0000000/SIG-20250701_170755d5e.jpeg", "SIG-20250701_170755d5e.jpeg")</f>
        <v>SIG-20250701_170755d5e.jpeg</v>
      </c>
      <c r="AU723" s="1" t="s">
        <v>3710</v>
      </c>
      <c r="AV723" s="3" t="str">
        <f>HYPERLINK("https://icf.clappia.com/app/GMB253374/submission/TCY43341850/ICF247370-GMB253374-5mco16k7f64400000000/SIG-20250701_171110641m.jpeg", "SIG-20250701_171110641m.jpeg")</f>
        <v>SIG-20250701_171110641m.jpeg</v>
      </c>
      <c r="AW723" s="1" t="s">
        <v>3711</v>
      </c>
      <c r="AX723" s="3" t="str">
        <f>HYPERLINK("https://icf.clappia.com/app/GMB253374/submission/TCY43341850/ICF247370-GMB253374-50n915ekg70400000000/SIG-20250701_171627fii.jpeg", "SIG-20250701_171627fii.jpeg")</f>
        <v>SIG-20250701_171627fii.jpeg</v>
      </c>
      <c r="AY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3712</v>
      </c>
      <c r="B724" s="2" t="s">
        <v>47</v>
      </c>
      <c r="C724" s="1" t="s">
        <v>3713</v>
      </c>
      <c r="D724" s="1" t="s">
        <v>3713</v>
      </c>
      <c r="E724" s="1" t="s">
        <v>3714</v>
      </c>
      <c r="F724" s="1" t="s">
        <v>51</v>
      </c>
      <c r="G724" s="1">
        <v>106.0</v>
      </c>
      <c r="H724" s="1" t="s">
        <v>52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53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54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56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57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f t="shared" si="1"/>
        <v>106</v>
      </c>
      <c r="AM724" s="1">
        <v>106.0</v>
      </c>
      <c r="AN724" s="1">
        <v>118.0</v>
      </c>
      <c r="AO724" s="1">
        <v>106.0</v>
      </c>
      <c r="AP724" s="2">
        <v>11.0</v>
      </c>
      <c r="AQ724" s="1">
        <v>0.0</v>
      </c>
      <c r="AR724" s="1">
        <v>0.0</v>
      </c>
      <c r="AS724" s="1" t="s">
        <v>2033</v>
      </c>
      <c r="AT724" s="3" t="str">
        <f>HYPERLINK("https://icf.clappia.com/app/GMB253374/submission/TGL38960872/ICF247370-GMB253374-3308c794e6g600000000/SIG-20250701_1700hj55b.jpeg", "SIG-20250701_1700hj55b.jpeg")</f>
        <v>SIG-20250701_1700hj55b.jpeg</v>
      </c>
      <c r="AU724" s="1" t="s">
        <v>3715</v>
      </c>
      <c r="AV724" s="3" t="str">
        <f>HYPERLINK("https://icf.clappia.com/app/GMB253374/submission/TGL38960872/ICF247370-GMB253374-2f7603b54g3c00000000/SIG-20250701_1700c48ni.jpeg", "SIG-20250701_1700c48ni.jpeg")</f>
        <v>SIG-20250701_1700c48ni.jpeg</v>
      </c>
      <c r="AW724" s="1" t="s">
        <v>2647</v>
      </c>
      <c r="AX724" s="3" t="str">
        <f>HYPERLINK("https://icf.clappia.com/app/GMB253374/submission/TGL38960872/ICF247370-GMB253374-1n47micdg6mo80000000/SIG-20250701_170299b01.jpeg", "SIG-20250701_170299b01.jpeg")</f>
        <v>SIG-20250701_170299b01.jpeg</v>
      </c>
      <c r="AY724" s="3" t="str">
        <f>HYPERLINK("https://www.google.com/maps/place/7.92333%2C-11.609425", "7.92333,-11.609425")</f>
        <v>7.92333,-11.609425</v>
      </c>
    </row>
    <row r="725" ht="15.75" customHeight="1">
      <c r="A725" s="1" t="s">
        <v>3716</v>
      </c>
      <c r="B725" s="2" t="s">
        <v>47</v>
      </c>
      <c r="C725" s="1" t="s">
        <v>3717</v>
      </c>
      <c r="D725" s="1" t="s">
        <v>3713</v>
      </c>
      <c r="E725" s="1" t="s">
        <v>3718</v>
      </c>
      <c r="F725" s="1" t="s">
        <v>51</v>
      </c>
      <c r="G725" s="1">
        <v>250.0</v>
      </c>
      <c r="H725" s="1" t="s">
        <v>52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53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54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56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57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f t="shared" si="1"/>
        <v>222</v>
      </c>
      <c r="AM725" s="1">
        <v>250.0</v>
      </c>
      <c r="AN725" s="1">
        <v>262.0</v>
      </c>
      <c r="AO725" s="1">
        <v>181.0</v>
      </c>
      <c r="AP725" s="2">
        <v>11.0</v>
      </c>
      <c r="AQ725" s="1">
        <v>69.0</v>
      </c>
      <c r="AR725" s="1">
        <v>69.0</v>
      </c>
      <c r="AS725" s="1" t="s">
        <v>3719</v>
      </c>
      <c r="AT725" s="3" t="str">
        <f>HYPERLINK("https://icf.clappia.com/app/GMB253374/submission/AOF11457448/ICF247370-GMB253374-49p4j8p09ilm00000000/SIG-20250630_1149jdbae.jpeg", "SIG-20250630_1149jdbae.jpeg")</f>
        <v>SIG-20250630_1149jdbae.jpeg</v>
      </c>
      <c r="AU725" s="1" t="s">
        <v>3720</v>
      </c>
      <c r="AV725" s="3" t="str">
        <f>HYPERLINK("https://icf.clappia.com/app/GMB253374/submission/AOF11457448/ICF247370-GMB253374-nm79lkmi0k3i0000000/SIG-20250630_1150k1ic2.jpeg", "SIG-20250630_1150k1ic2.jpeg")</f>
        <v>SIG-20250630_1150k1ic2.jpeg</v>
      </c>
      <c r="AW725" s="1" t="s">
        <v>3721</v>
      </c>
      <c r="AX725" s="3" t="str">
        <f>HYPERLINK("https://icf.clappia.com/app/GMB253374/submission/AOF11457448/ICF247370-GMB253374-645ah0f1651a00000000/SIG-20250630_11554nib6.jpeg", "SIG-20250630_11554nib6.jpeg")</f>
        <v>SIG-20250630_11554nib6.jpeg</v>
      </c>
      <c r="AY725" s="3" t="str">
        <f>HYPERLINK("https://www.google.com/maps/place/7.694985%2C-11.7371167", "7.694985,-11.7371167")</f>
        <v>7.694985,-11.7371167</v>
      </c>
    </row>
    <row r="726" ht="15.75" customHeight="1">
      <c r="A726" s="1" t="s">
        <v>3722</v>
      </c>
      <c r="B726" s="2" t="s">
        <v>47</v>
      </c>
      <c r="C726" s="1" t="s">
        <v>3723</v>
      </c>
      <c r="D726" s="1" t="s">
        <v>3724</v>
      </c>
      <c r="E726" s="1" t="s">
        <v>3725</v>
      </c>
      <c r="F726" s="1" t="s">
        <v>51</v>
      </c>
      <c r="G726" s="1">
        <v>300.0</v>
      </c>
      <c r="H726" s="1" t="s">
        <v>52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53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54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56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57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f t="shared" si="1"/>
        <v>385</v>
      </c>
      <c r="AM726" s="1">
        <v>300.0</v>
      </c>
      <c r="AN726" s="1">
        <v>312.0</v>
      </c>
      <c r="AO726" s="1">
        <v>290.0</v>
      </c>
      <c r="AP726" s="2">
        <v>11.0</v>
      </c>
      <c r="AQ726" s="1">
        <v>10.0</v>
      </c>
      <c r="AR726" s="1">
        <v>10.0</v>
      </c>
      <c r="AS726" s="1" t="s">
        <v>2628</v>
      </c>
      <c r="AT726" s="3" t="str">
        <f>HYPERLINK("https://icf.clappia.com/app/GMB253374/submission/YYR57553057/ICF247370-GMB253374-gdo7284i4a240000000/SIG-20250701_165314pko2.jpeg", "SIG-20250701_165314pko2.jpeg")</f>
        <v>SIG-20250701_165314pko2.jpeg</v>
      </c>
      <c r="AU726" s="1" t="s">
        <v>3726</v>
      </c>
      <c r="AV726" s="3" t="str">
        <f>HYPERLINK("https://icf.clappia.com/app/GMB253374/submission/YYR57553057/ICF247370-GMB253374-373m701k013m00000000/SIG-20250701_165410mp9f.jpeg", "SIG-20250701_165410mp9f.jpeg")</f>
        <v>SIG-20250701_165410mp9f.jpeg</v>
      </c>
      <c r="AW726" s="1" t="s">
        <v>3727</v>
      </c>
      <c r="AX726" s="3" t="str">
        <f>HYPERLINK("https://icf.clappia.com/app/GMB253374/submission/YYR57553057/ICF247370-GMB253374-5facfeie0ck400000000/SIG-20250701_1655103fc7.jpeg", "SIG-20250701_1655103fc7.jpeg")</f>
        <v>SIG-20250701_1655103fc7.jpeg</v>
      </c>
      <c r="AY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3728</v>
      </c>
      <c r="B727" s="2" t="s">
        <v>47</v>
      </c>
      <c r="C727" s="1" t="s">
        <v>3729</v>
      </c>
      <c r="D727" s="1" t="s">
        <v>3729</v>
      </c>
      <c r="E727" s="1" t="s">
        <v>3730</v>
      </c>
      <c r="F727" s="1" t="s">
        <v>51</v>
      </c>
      <c r="G727" s="1">
        <v>622.0</v>
      </c>
      <c r="H727" s="1" t="s">
        <v>52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53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54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56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57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f t="shared" si="1"/>
        <v>622</v>
      </c>
      <c r="AM727" s="1">
        <v>622.0</v>
      </c>
      <c r="AN727" s="1">
        <v>634.0</v>
      </c>
      <c r="AO727" s="1">
        <v>519.0</v>
      </c>
      <c r="AP727" s="2">
        <v>11.0</v>
      </c>
      <c r="AQ727" s="1">
        <v>103.0</v>
      </c>
      <c r="AR727" s="1">
        <v>103.0</v>
      </c>
      <c r="AS727" s="1" t="s">
        <v>3731</v>
      </c>
      <c r="AT727" s="3" t="str">
        <f>HYPERLINK("https://icf.clappia.com/app/GMB253374/submission/YHL94568193/ICF247370-GMB253374-1h8gbg7he114i0000000/SIG-20250701_165513fij0.jpeg", "SIG-20250701_165513fij0.jpeg")</f>
        <v>SIG-20250701_165513fij0.jpeg</v>
      </c>
      <c r="AU727" s="1" t="s">
        <v>3732</v>
      </c>
      <c r="AV727" s="3" t="str">
        <f>HYPERLINK("https://icf.clappia.com/app/GMB253374/submission/YHL94568193/ICF247370-GMB253374-1de7elad35f5a0000000/SIG-20250701_1656a876b.jpeg", "SIG-20250701_1656a876b.jpeg")</f>
        <v>SIG-20250701_1656a876b.jpeg</v>
      </c>
      <c r="AW727" s="1" t="s">
        <v>3733</v>
      </c>
      <c r="AX727" s="3" t="str">
        <f>HYPERLINK("https://icf.clappia.com/app/GMB253374/submission/YHL94568193/ICF247370-GMB253374-l7fk6251emkg0000000/SIG-20250701_1656516fn.jpeg", "SIG-20250701_1656516fn.jpeg")</f>
        <v>SIG-20250701_1656516fn.jpeg</v>
      </c>
      <c r="AY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3734</v>
      </c>
      <c r="B728" s="2" t="s">
        <v>47</v>
      </c>
      <c r="C728" s="1" t="s">
        <v>3735</v>
      </c>
      <c r="D728" s="1" t="s">
        <v>3735</v>
      </c>
      <c r="E728" s="1" t="s">
        <v>3736</v>
      </c>
      <c r="F728" s="1" t="s">
        <v>51</v>
      </c>
      <c r="G728" s="1">
        <v>150.0</v>
      </c>
      <c r="H728" s="1" t="s">
        <v>52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53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54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56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57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f t="shared" si="1"/>
        <v>120</v>
      </c>
      <c r="AM728" s="1">
        <v>150.0</v>
      </c>
      <c r="AN728" s="1">
        <v>162.0</v>
      </c>
      <c r="AO728" s="1">
        <v>120.0</v>
      </c>
      <c r="AP728" s="2">
        <v>11.0</v>
      </c>
      <c r="AQ728" s="1">
        <v>30.0</v>
      </c>
      <c r="AR728" s="1">
        <v>30.0</v>
      </c>
      <c r="AS728" s="1" t="s">
        <v>2490</v>
      </c>
      <c r="AT728" s="3" t="str">
        <f>HYPERLINK("https://icf.clappia.com/app/GMB253374/submission/WAR31586806/ICF247370-GMB253374-1gcobo2n065m00000000/SIG-20250701_1653job71.jpeg", "SIG-20250701_1653job71.jpeg")</f>
        <v>SIG-20250701_1653job71.jpeg</v>
      </c>
      <c r="AU728" s="1" t="s">
        <v>2491</v>
      </c>
      <c r="AV728" s="3" t="str">
        <f>HYPERLINK("https://icf.clappia.com/app/GMB253374/submission/WAR31586806/ICF247370-GMB253374-2h2652m49g8a00000000/SIG-20250701_16549p5i9.jpeg", "SIG-20250701_16549p5i9.jpeg")</f>
        <v>SIG-20250701_16549p5i9.jpeg</v>
      </c>
      <c r="AW728" s="1" t="s">
        <v>3737</v>
      </c>
      <c r="AX728" s="3" t="str">
        <f>HYPERLINK("https://icf.clappia.com/app/GMB253374/submission/WAR31586806/ICF247370-GMB253374-5jdbgm80hhkg00000000/SIG-20250701_1118ghhhf.jpeg", "SIG-20250701_1118ghhhf.jpeg")</f>
        <v>SIG-20250701_1118ghhhf.jpeg</v>
      </c>
      <c r="AY728" s="3" t="str">
        <f>HYPERLINK("https://www.google.com/maps/place/7.7111407%2C-11.925714", "7.7111407,-11.925714")</f>
        <v>7.7111407,-11.925714</v>
      </c>
    </row>
    <row r="729" ht="15.75" customHeight="1">
      <c r="A729" s="1" t="s">
        <v>3738</v>
      </c>
      <c r="B729" s="2" t="s">
        <v>47</v>
      </c>
      <c r="C729" s="1" t="s">
        <v>3739</v>
      </c>
      <c r="D729" s="1" t="s">
        <v>3739</v>
      </c>
      <c r="E729" s="1" t="s">
        <v>3740</v>
      </c>
      <c r="F729" s="1" t="s">
        <v>51</v>
      </c>
      <c r="G729" s="1">
        <v>200.0</v>
      </c>
      <c r="H729" s="1" t="s">
        <v>52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53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54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56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57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f t="shared" si="1"/>
        <v>167</v>
      </c>
      <c r="AM729" s="1">
        <v>200.0</v>
      </c>
      <c r="AN729" s="1">
        <v>212.0</v>
      </c>
      <c r="AO729" s="1">
        <v>167.0</v>
      </c>
      <c r="AP729" s="2">
        <v>11.0</v>
      </c>
      <c r="AQ729" s="1">
        <v>33.0</v>
      </c>
      <c r="AR729" s="1">
        <v>33.0</v>
      </c>
      <c r="AS729" s="1" t="s">
        <v>3741</v>
      </c>
      <c r="AT729" s="3" t="str">
        <f>HYPERLINK("https://icf.clappia.com/app/GMB253374/submission/XAN93660275/ICF247370-GMB253374-1i5b23042f6320000000/SIG-20250701_140929m7j.jpeg", "SIG-20250701_140929m7j.jpeg")</f>
        <v>SIG-20250701_140929m7j.jpeg</v>
      </c>
      <c r="AU729" s="1" t="s">
        <v>3742</v>
      </c>
      <c r="AV729" s="3" t="str">
        <f>HYPERLINK("https://icf.clappia.com/app/GMB253374/submission/XAN93660275/ICF247370-GMB253374-27pjhffg0g1ao0000000/SIG-20250701_141111eo9d.jpeg", "SIG-20250701_141111eo9d.jpeg")</f>
        <v>SIG-20250701_141111eo9d.jpeg</v>
      </c>
      <c r="AW729" s="1" t="s">
        <v>3743</v>
      </c>
      <c r="AX729" s="3" t="str">
        <f>HYPERLINK("https://icf.clappia.com/app/GMB253374/submission/XAN93660275/ICF247370-GMB253374-dohkf0k4ci0g0000000/SIG-20250701_141216j5dm.jpeg", "SIG-20250701_141216j5dm.jpeg")</f>
        <v>SIG-20250701_141216j5dm.jpeg</v>
      </c>
      <c r="AY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3744</v>
      </c>
      <c r="B730" s="2" t="s">
        <v>47</v>
      </c>
      <c r="C730" s="1" t="s">
        <v>3745</v>
      </c>
      <c r="D730" s="1" t="s">
        <v>3746</v>
      </c>
      <c r="E730" s="1" t="s">
        <v>3747</v>
      </c>
      <c r="F730" s="1" t="s">
        <v>51</v>
      </c>
      <c r="G730" s="1">
        <v>150.0</v>
      </c>
      <c r="H730" s="1" t="s">
        <v>52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53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54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56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57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f t="shared" si="1"/>
        <v>127</v>
      </c>
      <c r="AM730" s="1">
        <v>150.0</v>
      </c>
      <c r="AN730" s="1">
        <v>162.0</v>
      </c>
      <c r="AO730" s="1">
        <v>111.0</v>
      </c>
      <c r="AP730" s="2">
        <v>11.0</v>
      </c>
      <c r="AQ730" s="1">
        <v>39.0</v>
      </c>
      <c r="AR730" s="1">
        <v>39.0</v>
      </c>
      <c r="AS730" s="1" t="s">
        <v>2791</v>
      </c>
      <c r="AT730" s="3" t="str">
        <f>HYPERLINK("https://icf.clappia.com/app/GMB253374/submission/KES89528653/ICF247370-GMB253374-5bka8fjjggce00000000/SIG-20250701_162315p371.jpeg", "SIG-20250701_162315p371.jpeg")</f>
        <v>SIG-20250701_162315p371.jpeg</v>
      </c>
      <c r="AU730" s="1" t="s">
        <v>2792</v>
      </c>
      <c r="AV730" s="3" t="str">
        <f>HYPERLINK("https://icf.clappia.com/app/GMB253374/submission/KES89528653/ICF247370-GMB253374-plj0o0jll7nm0000000/SIG-20250701_1623a3b33.jpeg", "SIG-20250701_1623a3b33.jpeg")</f>
        <v>SIG-20250701_1623a3b33.jpeg</v>
      </c>
      <c r="AW730" s="1" t="s">
        <v>2793</v>
      </c>
      <c r="AX730" s="3" t="str">
        <f>HYPERLINK("https://icf.clappia.com/app/GMB253374/submission/KES89528653/ICF247370-GMB253374-3mdkjm5k505000000000/SIG-20250701_16255i8l3.jpeg", "SIG-20250701_16255i8l3.jpeg")</f>
        <v>SIG-20250701_16255i8l3.jpeg</v>
      </c>
      <c r="AY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3748</v>
      </c>
      <c r="B731" s="2" t="s">
        <v>47</v>
      </c>
      <c r="C731" s="1" t="s">
        <v>3749</v>
      </c>
      <c r="D731" s="1" t="s">
        <v>3749</v>
      </c>
      <c r="E731" s="1" t="s">
        <v>3750</v>
      </c>
      <c r="F731" s="1" t="s">
        <v>51</v>
      </c>
      <c r="G731" s="1">
        <v>375.0</v>
      </c>
      <c r="H731" s="1" t="s">
        <v>52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53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54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56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57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f t="shared" si="1"/>
        <v>375</v>
      </c>
      <c r="AM731" s="1">
        <v>375.0</v>
      </c>
      <c r="AN731" s="1">
        <v>387.0</v>
      </c>
      <c r="AO731" s="1">
        <v>360.0</v>
      </c>
      <c r="AP731" s="2">
        <v>11.0</v>
      </c>
      <c r="AQ731" s="1">
        <v>15.0</v>
      </c>
      <c r="AR731" s="1">
        <v>15.0</v>
      </c>
      <c r="AS731" s="1" t="s">
        <v>3751</v>
      </c>
      <c r="AT731" s="3" t="str">
        <f>HYPERLINK("https://icf.clappia.com/app/GMB253374/submission/RUN27989093/ICF247370-GMB253374-22kddmmcjmf8k0000000/SIG-20250701_1622198lho.jpeg", "SIG-20250701_1622198lho.jpeg")</f>
        <v>SIG-20250701_1622198lho.jpeg</v>
      </c>
      <c r="AU731" s="1" t="s">
        <v>781</v>
      </c>
      <c r="AV731" s="3" t="str">
        <f>HYPERLINK("https://icf.clappia.com/app/GMB253374/submission/RUN27989093/ICF247370-GMB253374-50im1592if2400000000/SIG-20250701_1622ldh7k.jpeg", "SIG-20250701_1622ldh7k.jpeg")</f>
        <v>SIG-20250701_1622ldh7k.jpeg</v>
      </c>
      <c r="AW731" s="1" t="s">
        <v>3752</v>
      </c>
      <c r="AX731" s="3" t="str">
        <f>HYPERLINK("https://icf.clappia.com/app/GMB253374/submission/RUN27989093/ICF247370-GMB253374-2kb3gjh70kdg00000000/SIG-20250701_1625e8hme.jpeg", "SIG-20250701_1625e8hme.jpeg")</f>
        <v>SIG-20250701_1625e8hme.jpeg</v>
      </c>
      <c r="AY731" s="3" t="str">
        <f>HYPERLINK("https://www.google.com/maps/place/9.251745%2C-12.1639617", "9.251745,-12.1639617")</f>
        <v>9.251745,-12.1639617</v>
      </c>
    </row>
    <row r="732" ht="15.75" customHeight="1">
      <c r="A732" s="1" t="s">
        <v>3753</v>
      </c>
      <c r="B732" s="2" t="s">
        <v>47</v>
      </c>
      <c r="C732" s="1" t="s">
        <v>3754</v>
      </c>
      <c r="D732" s="1" t="s">
        <v>3754</v>
      </c>
      <c r="E732" s="1" t="s">
        <v>3755</v>
      </c>
      <c r="F732" s="1" t="s">
        <v>51</v>
      </c>
      <c r="G732" s="1">
        <v>163.0</v>
      </c>
      <c r="H732" s="1" t="s">
        <v>52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53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54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56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57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f t="shared" si="1"/>
        <v>163</v>
      </c>
      <c r="AM732" s="1">
        <v>163.0</v>
      </c>
      <c r="AN732" s="1">
        <v>175.0</v>
      </c>
      <c r="AO732" s="1">
        <v>163.0</v>
      </c>
      <c r="AP732" s="2">
        <v>11.0</v>
      </c>
      <c r="AQ732" s="1">
        <v>0.0</v>
      </c>
      <c r="AR732" s="1">
        <v>0.0</v>
      </c>
      <c r="AS732" s="1" t="s">
        <v>713</v>
      </c>
      <c r="AT732" s="3" t="str">
        <f>HYPERLINK("https://icf.clappia.com/app/GMB253374/submission/EPE67585102/ICF247370-GMB253374-440gilin00b400000000/SIG-20250701_162111p05h.jpeg", "SIG-20250701_162111p05h.jpeg")</f>
        <v>SIG-20250701_162111p05h.jpeg</v>
      </c>
      <c r="AU732" s="1" t="s">
        <v>3756</v>
      </c>
      <c r="AV732" s="3" t="str">
        <f>HYPERLINK("https://icf.clappia.com/app/GMB253374/submission/EPE67585102/ICF247370-GMB253374-3npnea04li2a00000000/SIG-20250701_1624fjemb.jpeg", "SIG-20250701_1624fjemb.jpeg")</f>
        <v>SIG-20250701_1624fjemb.jpeg</v>
      </c>
      <c r="AW732" s="1" t="s">
        <v>3757</v>
      </c>
      <c r="AX732" s="3" t="str">
        <f>HYPERLINK("https://icf.clappia.com/app/GMB253374/submission/EPE67585102/ICF247370-GMB253374-5999jc9doeo000000000/SIG-20250701_16268b4i.jpeg", "SIG-20250701_16268b4i.jpeg")</f>
        <v>SIG-20250701_16268b4i.jpeg</v>
      </c>
      <c r="AY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3758</v>
      </c>
      <c r="B733" s="2" t="s">
        <v>47</v>
      </c>
      <c r="C733" s="1" t="s">
        <v>3759</v>
      </c>
      <c r="D733" s="1" t="s">
        <v>3760</v>
      </c>
      <c r="E733" s="1" t="s">
        <v>3761</v>
      </c>
      <c r="F733" s="1" t="s">
        <v>51</v>
      </c>
      <c r="G733" s="1">
        <v>185.0</v>
      </c>
      <c r="H733" s="1" t="s">
        <v>52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53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54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56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57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f t="shared" si="1"/>
        <v>173</v>
      </c>
      <c r="AM733" s="1">
        <v>185.0</v>
      </c>
      <c r="AN733" s="1">
        <v>197.0</v>
      </c>
      <c r="AO733" s="1">
        <v>173.0</v>
      </c>
      <c r="AP733" s="2">
        <v>11.0</v>
      </c>
      <c r="AQ733" s="1">
        <v>12.0</v>
      </c>
      <c r="AR733" s="1">
        <v>12.0</v>
      </c>
      <c r="AS733" s="1" t="s">
        <v>2064</v>
      </c>
      <c r="AT733" s="3" t="str">
        <f>HYPERLINK("https://icf.clappia.com/app/GMB253374/submission/HNK66133504/ICF247370-GMB253374-4gakkfbeho7200000000/SIG-20250701_1108ob44n.jpeg", "SIG-20250701_1108ob44n.jpeg")</f>
        <v>SIG-20250701_1108ob44n.jpeg</v>
      </c>
      <c r="AU733" s="1" t="s">
        <v>3762</v>
      </c>
      <c r="AV733" s="3" t="str">
        <f>HYPERLINK("https://icf.clappia.com/app/GMB253374/submission/HNK66133504/ICF247370-GMB253374-57mkh756nnec00000000/SIG-20250701_1109ckog2.jpeg", "SIG-20250701_1109ckog2.jpeg")</f>
        <v>SIG-20250701_1109ckog2.jpeg</v>
      </c>
      <c r="AW733" s="1" t="s">
        <v>2066</v>
      </c>
      <c r="AX733" s="3" t="str">
        <f>HYPERLINK("https://icf.clappia.com/app/GMB253374/submission/HNK66133504/ICF247370-GMB253374-29lekpj51kb520000000/SIG-20250701_1111ibc78.jpeg", "SIG-20250701_1111ibc78.jpeg")</f>
        <v>SIG-20250701_1111ibc78.jpeg</v>
      </c>
      <c r="AY733" s="3" t="str">
        <f t="shared" ref="AY733:AY734" si="7">HYPERLINK("https://www.google.com/maps/place/7.8909633%2C-11.9054167", "7.8909633,-11.9054167")</f>
        <v>7.8909633,-11.9054167</v>
      </c>
    </row>
    <row r="734" ht="15.75" customHeight="1">
      <c r="A734" s="1" t="s">
        <v>3763</v>
      </c>
      <c r="B734" s="2" t="s">
        <v>47</v>
      </c>
      <c r="C734" s="1" t="s">
        <v>3764</v>
      </c>
      <c r="D734" s="1" t="s">
        <v>3760</v>
      </c>
      <c r="E734" s="1" t="s">
        <v>3765</v>
      </c>
      <c r="F734" s="1" t="s">
        <v>51</v>
      </c>
      <c r="G734" s="1">
        <v>280.0</v>
      </c>
      <c r="H734" s="1" t="s">
        <v>52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53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54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56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57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f t="shared" si="1"/>
        <v>205</v>
      </c>
      <c r="AM734" s="1">
        <v>280.0</v>
      </c>
      <c r="AN734" s="1">
        <v>292.0</v>
      </c>
      <c r="AO734" s="1">
        <v>205.0</v>
      </c>
      <c r="AP734" s="2">
        <v>11.0</v>
      </c>
      <c r="AQ734" s="1">
        <v>75.0</v>
      </c>
      <c r="AR734" s="1">
        <v>75.0</v>
      </c>
      <c r="AS734" s="1" t="s">
        <v>3766</v>
      </c>
      <c r="AT734" s="3" t="str">
        <f>HYPERLINK("https://icf.clappia.com/app/GMB253374/submission/GTU01012384/ICF247370-GMB253374-2i8eoa08dbek00000000/SIG-20250630_1304ogmj9.jpeg", "SIG-20250630_1304ogmj9.jpeg")</f>
        <v>SIG-20250630_1304ogmj9.jpeg</v>
      </c>
      <c r="AU734" s="1" t="s">
        <v>3767</v>
      </c>
      <c r="AV734" s="3" t="str">
        <f>HYPERLINK("https://icf.clappia.com/app/GMB253374/submission/GTU01012384/ICF247370-GMB253374-4p1cgk3k976e0000000/SIG-20250630_1233lj7c4.jpeg", "SIG-20250630_1233lj7c4.jpeg")</f>
        <v>SIG-20250630_1233lj7c4.jpeg</v>
      </c>
      <c r="AW734" s="1" t="s">
        <v>3768</v>
      </c>
      <c r="AX734" s="3" t="str">
        <f>HYPERLINK("https://icf.clappia.com/app/GMB253374/submission/GTU01012384/ICF247370-GMB253374-52do38epkeji00000000/SIG-20250630_12528966b.jpeg", "SIG-20250630_12528966b.jpeg")</f>
        <v>SIG-20250630_12528966b.jpeg</v>
      </c>
      <c r="AY734" s="3" t="str">
        <f t="shared" si="7"/>
        <v>7.8909633,-11.9054167</v>
      </c>
    </row>
    <row r="735" ht="15.75" customHeight="1">
      <c r="A735" s="1" t="s">
        <v>3769</v>
      </c>
      <c r="B735" s="2" t="s">
        <v>47</v>
      </c>
      <c r="C735" s="1" t="s">
        <v>3770</v>
      </c>
      <c r="D735" s="1" t="s">
        <v>3770</v>
      </c>
      <c r="E735" s="1" t="s">
        <v>3771</v>
      </c>
      <c r="F735" s="1" t="s">
        <v>51</v>
      </c>
      <c r="G735" s="1">
        <v>201.0</v>
      </c>
      <c r="H735" s="1" t="s">
        <v>52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53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54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56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57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f t="shared" si="1"/>
        <v>201</v>
      </c>
      <c r="AM735" s="1">
        <v>201.0</v>
      </c>
      <c r="AN735" s="1">
        <v>213.0</v>
      </c>
      <c r="AO735" s="1">
        <v>192.0</v>
      </c>
      <c r="AP735" s="2">
        <v>11.0</v>
      </c>
      <c r="AQ735" s="1">
        <v>9.0</v>
      </c>
      <c r="AR735" s="1">
        <v>9.0</v>
      </c>
      <c r="AS735" s="1" t="s">
        <v>1103</v>
      </c>
      <c r="AT735" s="3" t="str">
        <f>HYPERLINK("https://icf.clappia.com/app/GMB253374/submission/NAT45868700/ICF247370-GMB253374-2g3c79icofba00000000/SIG-20250701_1613djoj2.jpeg", "SIG-20250701_1613djoj2.jpeg")</f>
        <v>SIG-20250701_1613djoj2.jpeg</v>
      </c>
      <c r="AU735" s="1" t="s">
        <v>3772</v>
      </c>
      <c r="AV735" s="3" t="str">
        <f>HYPERLINK("https://icf.clappia.com/app/GMB253374/submission/NAT45868700/ICF247370-GMB253374-1l4lccj9p2nok0000000/SIG-20250701_16171abhoj.jpeg", "SIG-20250701_16171abhoj.jpeg")</f>
        <v>SIG-20250701_16171abhoj.jpeg</v>
      </c>
      <c r="AW735" s="1" t="s">
        <v>1105</v>
      </c>
      <c r="AX735" s="3" t="str">
        <f>HYPERLINK("https://icf.clappia.com/app/GMB253374/submission/NAT45868700/ICF247370-GMB253374-62pp6mh0i5d600000000/SIG-20250701_1618d0id6.jpeg", "SIG-20250701_1618d0id6.jpeg")</f>
        <v>SIG-20250701_1618d0id6.jpeg</v>
      </c>
      <c r="AY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3773</v>
      </c>
      <c r="B736" s="2" t="s">
        <v>47</v>
      </c>
      <c r="C736" s="1" t="s">
        <v>3774</v>
      </c>
      <c r="D736" s="1" t="s">
        <v>3775</v>
      </c>
      <c r="E736" s="1" t="s">
        <v>3776</v>
      </c>
      <c r="F736" s="1" t="s">
        <v>51</v>
      </c>
      <c r="G736" s="1">
        <v>200.0</v>
      </c>
      <c r="H736" s="1" t="s">
        <v>52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53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54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56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57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f t="shared" si="1"/>
        <v>204</v>
      </c>
      <c r="AM736" s="1">
        <v>200.0</v>
      </c>
      <c r="AN736" s="1">
        <v>212.0</v>
      </c>
      <c r="AO736" s="1">
        <v>168.0</v>
      </c>
      <c r="AP736" s="2">
        <v>11.0</v>
      </c>
      <c r="AQ736" s="1">
        <v>32.0</v>
      </c>
      <c r="AR736" s="1">
        <v>32.0</v>
      </c>
      <c r="AS736" s="1" t="s">
        <v>3777</v>
      </c>
      <c r="AT736" s="3" t="str">
        <f>HYPERLINK("https://icf.clappia.com/app/GMB253374/submission/CGR84328187/ICF247370-GMB253374-5a3949ngeae400000000/SIG-20250701_1603b7nck.jpeg", "SIG-20250701_1603b7nck.jpeg")</f>
        <v>SIG-20250701_1603b7nck.jpeg</v>
      </c>
      <c r="AU736" s="1" t="s">
        <v>3778</v>
      </c>
      <c r="AV736" s="3" t="str">
        <f>HYPERLINK("https://icf.clappia.com/app/GMB253374/submission/CGR84328187/ICF247370-GMB253374-564la0moegnm00000000/SIG-20250701_1603c8p4f.jpeg", "SIG-20250701_1603c8p4f.jpeg")</f>
        <v>SIG-20250701_1603c8p4f.jpeg</v>
      </c>
      <c r="AW736" s="1" t="s">
        <v>3779</v>
      </c>
      <c r="AX736" s="3" t="str">
        <f>HYPERLINK("https://icf.clappia.com/app/GMB253374/submission/CGR84328187/ICF247370-GMB253374-494am5ba09k600000000/SIG-20250701_160410n5f2.jpeg", "SIG-20250701_160410n5f2.jpeg")</f>
        <v>SIG-20250701_160410n5f2.jpeg</v>
      </c>
      <c r="AY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3780</v>
      </c>
      <c r="B737" s="2" t="s">
        <v>47</v>
      </c>
      <c r="C737" s="1" t="s">
        <v>3781</v>
      </c>
      <c r="D737" s="1" t="s">
        <v>3781</v>
      </c>
      <c r="E737" s="1" t="s">
        <v>3782</v>
      </c>
      <c r="F737" s="1" t="s">
        <v>51</v>
      </c>
      <c r="G737" s="1">
        <v>150.0</v>
      </c>
      <c r="H737" s="1" t="s">
        <v>52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53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54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56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57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f t="shared" si="1"/>
        <v>126</v>
      </c>
      <c r="AM737" s="1">
        <v>150.0</v>
      </c>
      <c r="AN737" s="1">
        <v>162.0</v>
      </c>
      <c r="AO737" s="1">
        <v>126.0</v>
      </c>
      <c r="AP737" s="2">
        <v>11.0</v>
      </c>
      <c r="AQ737" s="1">
        <v>24.0</v>
      </c>
      <c r="AR737" s="1">
        <v>24.0</v>
      </c>
      <c r="AS737" s="1" t="s">
        <v>2515</v>
      </c>
      <c r="AT737" s="3" t="str">
        <f>HYPERLINK("https://icf.clappia.com/app/GMB253374/submission/AQI59889991/ICF247370-GMB253374-3p13i4fjh5n800000000/SIG-20250701_14313k42m.jpeg", "SIG-20250701_14313k42m.jpeg")</f>
        <v>SIG-20250701_14313k42m.jpeg</v>
      </c>
      <c r="AU737" s="1" t="s">
        <v>2534</v>
      </c>
      <c r="AV737" s="3" t="str">
        <f>HYPERLINK("https://icf.clappia.com/app/GMB253374/submission/AQI59889991/ICF247370-GMB253374-2nofckpi3c0g00000000/SIG-20250701_1614dhog3.jpeg", "SIG-20250701_1614dhog3.jpeg")</f>
        <v>SIG-20250701_1614dhog3.jpeg</v>
      </c>
      <c r="AW737" s="1" t="s">
        <v>3783</v>
      </c>
      <c r="AX737" s="3" t="str">
        <f>HYPERLINK("https://icf.clappia.com/app/GMB253374/submission/AQI59889991/ICF247370-GMB253374-2185hp3gac5f60000000/SIG-20250701_1614dep0k.jpeg", "SIG-20250701_1614dep0k.jpeg")</f>
        <v>SIG-20250701_1614dep0k.jpeg</v>
      </c>
      <c r="AY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3784</v>
      </c>
      <c r="B738" s="2" t="s">
        <v>47</v>
      </c>
      <c r="C738" s="1" t="s">
        <v>3785</v>
      </c>
      <c r="D738" s="1" t="s">
        <v>3785</v>
      </c>
      <c r="E738" s="1" t="s">
        <v>3786</v>
      </c>
      <c r="F738" s="1" t="s">
        <v>51</v>
      </c>
      <c r="G738" s="1">
        <v>145.0</v>
      </c>
      <c r="H738" s="1" t="s">
        <v>52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53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54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56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57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f t="shared" si="1"/>
        <v>145</v>
      </c>
      <c r="AM738" s="1">
        <v>145.0</v>
      </c>
      <c r="AN738" s="1">
        <v>157.0</v>
      </c>
      <c r="AO738" s="1">
        <v>145.0</v>
      </c>
      <c r="AP738" s="2">
        <v>11.0</v>
      </c>
      <c r="AQ738" s="1">
        <v>0.0</v>
      </c>
      <c r="AR738" s="1">
        <v>0.0</v>
      </c>
      <c r="AS738" s="1" t="s">
        <v>2316</v>
      </c>
      <c r="AT738" s="3" t="str">
        <f>HYPERLINK("https://icf.clappia.com/app/GMB253374/submission/KBL37140543/ICF247370-GMB253374-3bkblb111ok400000000/SIG-20250701_1559nii0n.jpeg", "SIG-20250701_1559nii0n.jpeg")</f>
        <v>SIG-20250701_1559nii0n.jpeg</v>
      </c>
      <c r="AU738" s="1" t="s">
        <v>2317</v>
      </c>
      <c r="AV738" s="3" t="str">
        <f>HYPERLINK("https://icf.clappia.com/app/GMB253374/submission/KBL37140543/ICF247370-GMB253374-48d85p493j9c00000000/SIG-20250701_155918dci1.jpeg", "SIG-20250701_155918dci1.jpeg")</f>
        <v>SIG-20250701_155918dci1.jpeg</v>
      </c>
      <c r="AW738" s="1" t="s">
        <v>3787</v>
      </c>
      <c r="AX738" s="3" t="str">
        <f>HYPERLINK("https://icf.clappia.com/app/GMB253374/submission/KBL37140543/ICF247370-GMB253374-k0me0h0koin20000000/SIG-20250701_16001aa8jp.jpeg", "SIG-20250701_16001aa8jp.jpeg")</f>
        <v>SIG-20250701_16001aa8jp.jpeg</v>
      </c>
      <c r="AY738" s="3" t="str">
        <f>HYPERLINK("https://www.google.com/maps/place/7.907985%2C-11.50592", "7.907985,-11.50592")</f>
        <v>7.907985,-11.50592</v>
      </c>
    </row>
    <row r="739" ht="15.75" customHeight="1">
      <c r="A739" s="1" t="s">
        <v>3788</v>
      </c>
      <c r="B739" s="2" t="s">
        <v>47</v>
      </c>
      <c r="C739" s="1" t="s">
        <v>3789</v>
      </c>
      <c r="D739" s="1" t="s">
        <v>3790</v>
      </c>
      <c r="E739" s="1" t="s">
        <v>3791</v>
      </c>
      <c r="F739" s="1" t="s">
        <v>51</v>
      </c>
      <c r="G739" s="1">
        <v>157.0</v>
      </c>
      <c r="H739" s="1" t="s">
        <v>52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53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54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56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57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f t="shared" si="1"/>
        <v>157</v>
      </c>
      <c r="AM739" s="1">
        <v>157.0</v>
      </c>
      <c r="AN739" s="1">
        <v>169.0</v>
      </c>
      <c r="AO739" s="1">
        <v>157.0</v>
      </c>
      <c r="AP739" s="2">
        <v>11.0</v>
      </c>
      <c r="AQ739" s="1">
        <v>0.0</v>
      </c>
      <c r="AR739" s="1">
        <v>0.0</v>
      </c>
      <c r="AS739" s="1" t="s">
        <v>2270</v>
      </c>
      <c r="AT739" s="3" t="str">
        <f>HYPERLINK("https://icf.clappia.com/app/GMB253374/submission/BPD60449155/ICF247370-GMB253374-4dp6l5choemk00000000/SIG-20250701_103410h3b4.jpeg", "SIG-20250701_103410h3b4.jpeg")</f>
        <v>SIG-20250701_103410h3b4.jpeg</v>
      </c>
      <c r="AU739" s="1" t="s">
        <v>2271</v>
      </c>
      <c r="AV739" s="3" t="str">
        <f>HYPERLINK("https://icf.clappia.com/app/GMB253374/submission/BPD60449155/ICF247370-GMB253374-22582jieohjio0000000/SIG-20250701_1035afp9g.jpeg", "SIG-20250701_1035afp9g.jpeg")</f>
        <v>SIG-20250701_1035afp9g.jpeg</v>
      </c>
      <c r="AW739" s="1" t="s">
        <v>3792</v>
      </c>
      <c r="AX739" s="3" t="str">
        <f>HYPERLINK("https://icf.clappia.com/app/GMB253374/submission/BPD60449155/ICF247370-GMB253374-542p13875ki000000000/SIG-20250701_103519aej.jpeg", "SIG-20250701_103519aej.jpeg")</f>
        <v>SIG-20250701_103519aej.jpeg</v>
      </c>
      <c r="AY739" s="3" t="str">
        <f>HYPERLINK("https://www.google.com/maps/place/7.763185%2C-11.474515", "7.763185,-11.474515")</f>
        <v>7.763185,-11.474515</v>
      </c>
    </row>
    <row r="740" ht="15.75" customHeight="1">
      <c r="A740" s="1" t="s">
        <v>3793</v>
      </c>
      <c r="B740" s="2" t="s">
        <v>47</v>
      </c>
      <c r="C740" s="1" t="s">
        <v>3794</v>
      </c>
      <c r="D740" s="1" t="s">
        <v>3794</v>
      </c>
      <c r="E740" s="1" t="s">
        <v>3795</v>
      </c>
      <c r="F740" s="1" t="s">
        <v>51</v>
      </c>
      <c r="G740" s="1">
        <v>183.0</v>
      </c>
      <c r="H740" s="1" t="s">
        <v>52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53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54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56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57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f t="shared" si="1"/>
        <v>173</v>
      </c>
      <c r="AM740" s="1">
        <v>183.0</v>
      </c>
      <c r="AN740" s="1">
        <v>195.0</v>
      </c>
      <c r="AO740" s="1">
        <v>173.0</v>
      </c>
      <c r="AP740" s="2">
        <v>11.0</v>
      </c>
      <c r="AQ740" s="1">
        <v>10.0</v>
      </c>
      <c r="AR740" s="1">
        <v>10.0</v>
      </c>
      <c r="AS740" s="1" t="s">
        <v>3796</v>
      </c>
      <c r="AT740" s="3" t="str">
        <f>HYPERLINK("https://icf.clappia.com/app/GMB253374/submission/QBG69993649/ICF247370-GMB253374-4f9aggjbn0co00000000/SIG-20250701_1554fm6k7.jpeg", "SIG-20250701_1554fm6k7.jpeg")</f>
        <v>SIG-20250701_1554fm6k7.jpeg</v>
      </c>
      <c r="AU740" s="1" t="s">
        <v>668</v>
      </c>
      <c r="AV740" s="3" t="str">
        <f>HYPERLINK("https://icf.clappia.com/app/GMB253374/submission/QBG69993649/ICF247370-GMB253374-k7k95np1dl580000000/SIG-20250701_1555d01m.jpeg", "SIG-20250701_1555d01m.jpeg")</f>
        <v>SIG-20250701_1555d01m.jpeg</v>
      </c>
      <c r="AW740" s="1" t="s">
        <v>669</v>
      </c>
      <c r="AX740" s="3" t="str">
        <f>HYPERLINK("https://icf.clappia.com/app/GMB253374/submission/QBG69993649/ICF247370-GMB253374-2k0nk3f7bcka0000000/SIG-20250701_155660n1e.jpeg", "SIG-20250701_155660n1e.jpeg")</f>
        <v>SIG-20250701_155660n1e.jpeg</v>
      </c>
      <c r="AY740" s="3" t="str">
        <f>HYPERLINK("https://www.google.com/maps/place/7.968652%2C-11.7273371", "7.968652,-11.7273371")</f>
        <v>7.968652,-11.7273371</v>
      </c>
    </row>
    <row r="741" ht="15.75" customHeight="1">
      <c r="A741" s="1" t="s">
        <v>3797</v>
      </c>
      <c r="B741" s="2" t="s">
        <v>47</v>
      </c>
      <c r="C741" s="1" t="s">
        <v>69</v>
      </c>
      <c r="D741" s="1" t="s">
        <v>69</v>
      </c>
      <c r="E741" s="1" t="s">
        <v>3798</v>
      </c>
      <c r="F741" s="1" t="s">
        <v>72</v>
      </c>
      <c r="G741" s="1">
        <v>169.0</v>
      </c>
      <c r="H741" s="1" t="s">
        <v>52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53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54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56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57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f t="shared" si="1"/>
        <v>169</v>
      </c>
      <c r="AM741" s="1">
        <v>169.0</v>
      </c>
      <c r="AN741" s="1">
        <v>181.0</v>
      </c>
      <c r="AO741" s="1">
        <v>149.0</v>
      </c>
      <c r="AP741" s="2">
        <v>11.0</v>
      </c>
      <c r="AQ741" s="1">
        <v>20.0</v>
      </c>
      <c r="AR741" s="1">
        <v>20.0</v>
      </c>
      <c r="AS741" s="1" t="s">
        <v>3799</v>
      </c>
      <c r="AT741" s="3" t="str">
        <f>HYPERLINK("https://icf.clappia.com/app/GMB253374/submission/DRH80968453/ICF247370-GMB253374-pm16gd7afb5a0000000/SIG-20250701_1553o31m7.jpeg", "SIG-20250701_1553o31m7.jpeg")</f>
        <v>SIG-20250701_1553o31m7.jpeg</v>
      </c>
      <c r="AU741" s="1" t="s">
        <v>3800</v>
      </c>
      <c r="AV741" s="3" t="str">
        <f>HYPERLINK("https://icf.clappia.com/app/GMB253374/submission/DRH80968453/ICF247370-GMB253374-28f9gaoa2g50i0000000/SIG-20250701_1554lea93.jpeg", "SIG-20250701_1554lea93.jpeg")</f>
        <v>SIG-20250701_1554lea93.jpeg</v>
      </c>
      <c r="AW741" s="1" t="s">
        <v>1691</v>
      </c>
      <c r="AX741" s="3" t="str">
        <f>HYPERLINK("https://icf.clappia.com/app/GMB253374/submission/DRH80968453/ICF247370-GMB253374-302cfp33igo200000000/SIG-20250701_1555ad28p.jpeg", "SIG-20250701_1555ad28p.jpeg")</f>
        <v>SIG-20250701_1555ad28p.jpeg</v>
      </c>
      <c r="AY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3801</v>
      </c>
      <c r="B742" s="2" t="s">
        <v>47</v>
      </c>
      <c r="C742" s="1" t="s">
        <v>3802</v>
      </c>
      <c r="D742" s="1" t="s">
        <v>3802</v>
      </c>
      <c r="E742" s="1" t="s">
        <v>3803</v>
      </c>
      <c r="F742" s="1" t="s">
        <v>51</v>
      </c>
      <c r="G742" s="1">
        <v>300.0</v>
      </c>
      <c r="H742" s="1" t="s">
        <v>52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53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54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56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57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f t="shared" si="1"/>
        <v>286</v>
      </c>
      <c r="AM742" s="1">
        <v>300.0</v>
      </c>
      <c r="AN742" s="1">
        <v>312.0</v>
      </c>
      <c r="AO742" s="1">
        <v>260.0</v>
      </c>
      <c r="AP742" s="2">
        <v>11.0</v>
      </c>
      <c r="AQ742" s="1">
        <v>40.0</v>
      </c>
      <c r="AR742" s="1">
        <v>40.0</v>
      </c>
      <c r="AS742" s="1" t="s">
        <v>3804</v>
      </c>
      <c r="AT742" s="3" t="str">
        <f>HYPERLINK("https://icf.clappia.com/app/GMB253374/submission/ZYT74001905/ICF247370-GMB253374-1lpa7608m7hl20000000/SIG-20250701_154718a37m.jpeg", "SIG-20250701_154718a37m.jpeg")</f>
        <v>SIG-20250701_154718a37m.jpeg</v>
      </c>
      <c r="AU742" s="1" t="s">
        <v>894</v>
      </c>
      <c r="AV742" s="3" t="str">
        <f>HYPERLINK("https://icf.clappia.com/app/GMB253374/submission/ZYT74001905/ICF247370-GMB253374-3haiplk1f32400000000/SIG-20250701_15487c4hl.jpeg", "SIG-20250701_15487c4hl.jpeg")</f>
        <v>SIG-20250701_15487c4hl.jpeg</v>
      </c>
      <c r="AW742" s="1" t="s">
        <v>3805</v>
      </c>
      <c r="AX742" s="3" t="str">
        <f>HYPERLINK("https://icf.clappia.com/app/GMB253374/submission/ZYT74001905/ICF247370-GMB253374-1kd5dl469cfpa0000000/SIG-20250701_154914ik49.jpeg", "SIG-20250701_154914ik49.jpeg")</f>
        <v>SIG-20250701_154914ik49.jpeg</v>
      </c>
      <c r="AY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3806</v>
      </c>
      <c r="B743" s="2" t="s">
        <v>47</v>
      </c>
      <c r="C743" s="1" t="s">
        <v>3807</v>
      </c>
      <c r="D743" s="1" t="s">
        <v>3808</v>
      </c>
      <c r="E743" s="1" t="s">
        <v>3809</v>
      </c>
      <c r="F743" s="1" t="s">
        <v>51</v>
      </c>
      <c r="G743" s="1">
        <v>100.0</v>
      </c>
      <c r="H743" s="1" t="s">
        <v>52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53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54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56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57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f t="shared" si="1"/>
        <v>79</v>
      </c>
      <c r="AM743" s="1">
        <v>100.0</v>
      </c>
      <c r="AN743" s="1">
        <v>112.0</v>
      </c>
      <c r="AO743" s="1">
        <v>74.0</v>
      </c>
      <c r="AP743" s="2">
        <v>11.0</v>
      </c>
      <c r="AQ743" s="1">
        <v>26.0</v>
      </c>
      <c r="AR743" s="1">
        <v>26.0</v>
      </c>
      <c r="AS743" s="1" t="s">
        <v>953</v>
      </c>
      <c r="AT743" s="3" t="str">
        <f>HYPERLINK("https://icf.clappia.com/app/GMB253374/submission/WER68526425/ICF247370-GMB253374-1kihopdg76l0c0000000/SIG-20250701_1517kg4d8.jpeg", "SIG-20250701_1517kg4d8.jpeg")</f>
        <v>SIG-20250701_1517kg4d8.jpeg</v>
      </c>
      <c r="AU743" s="1" t="s">
        <v>954</v>
      </c>
      <c r="AV743" s="3" t="str">
        <f>HYPERLINK("https://icf.clappia.com/app/GMB253374/submission/WER68526425/ICF247370-GMB253374-5dp3mllp2oca00000000/SIG-20250701_1518ckf14.jpeg", "SIG-20250701_1518ckf14.jpeg")</f>
        <v>SIG-20250701_1518ckf14.jpeg</v>
      </c>
      <c r="AW743" s="1" t="s">
        <v>955</v>
      </c>
      <c r="AX743" s="3" t="str">
        <f>HYPERLINK("https://icf.clappia.com/app/GMB253374/submission/WER68526425/ICF247370-GMB253374-2hepjce0i7la00000000/SIG-20250701_1519196pjk.jpeg", "SIG-20250701_1519196pjk.jpeg")</f>
        <v>SIG-20250701_1519196pjk.jpeg</v>
      </c>
      <c r="AY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3810</v>
      </c>
      <c r="B744" s="2" t="s">
        <v>47</v>
      </c>
      <c r="C744" s="1" t="s">
        <v>3811</v>
      </c>
      <c r="D744" s="1" t="s">
        <v>3811</v>
      </c>
      <c r="E744" s="1" t="s">
        <v>3812</v>
      </c>
      <c r="F744" s="1" t="s">
        <v>51</v>
      </c>
      <c r="G744" s="1">
        <v>100.0</v>
      </c>
      <c r="H744" s="1" t="s">
        <v>52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53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54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56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57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f t="shared" si="1"/>
        <v>77</v>
      </c>
      <c r="AM744" s="1">
        <v>100.0</v>
      </c>
      <c r="AN744" s="1">
        <v>112.0</v>
      </c>
      <c r="AO744" s="1">
        <v>74.0</v>
      </c>
      <c r="AP744" s="2">
        <v>11.0</v>
      </c>
      <c r="AQ744" s="1">
        <v>26.0</v>
      </c>
      <c r="AR744" s="1">
        <v>26.0</v>
      </c>
      <c r="AS744" s="1" t="s">
        <v>3813</v>
      </c>
      <c r="AT744" s="3" t="str">
        <f>HYPERLINK("https://icf.clappia.com/app/GMB253374/submission/SZU89300289/ICF247370-GMB253374-33f4jdml6f3c00000000/SIG-20250701_154615ice2.jpeg", "SIG-20250701_154615ice2.jpeg")</f>
        <v>SIG-20250701_154615ice2.jpeg</v>
      </c>
      <c r="AU744" s="1" t="s">
        <v>3814</v>
      </c>
      <c r="AV744" s="3" t="str">
        <f>HYPERLINK("https://icf.clappia.com/app/GMB253374/submission/SZU89300289/ICF247370-GMB253374-4fffk7c464ko00000000/SIG-20250701_15453f7c.jpeg", "SIG-20250701_15453f7c.jpeg")</f>
        <v>SIG-20250701_15453f7c.jpeg</v>
      </c>
      <c r="AW744" s="1" t="s">
        <v>3815</v>
      </c>
      <c r="AX744" s="3" t="str">
        <f>HYPERLINK("https://icf.clappia.com/app/GMB253374/submission/SZU89300289/ICF247370-GMB253374-40g1el4mldo600000000/SIG-20250701_1545p6e4g.jpeg", "SIG-20250701_1545p6e4g.jpeg")</f>
        <v>SIG-20250701_1545p6e4g.jpeg</v>
      </c>
      <c r="AY744" s="3" t="str">
        <f>HYPERLINK("https://www.google.com/maps/place/9.1688592%2C-12.01488", "9.1688592,-12.01488")</f>
        <v>9.1688592,-12.01488</v>
      </c>
    </row>
    <row r="745" ht="15.75" customHeight="1">
      <c r="A745" s="1" t="s">
        <v>3816</v>
      </c>
      <c r="B745" s="2" t="s">
        <v>47</v>
      </c>
      <c r="C745" s="1" t="s">
        <v>3811</v>
      </c>
      <c r="D745" s="1" t="s">
        <v>3811</v>
      </c>
      <c r="E745" s="1" t="s">
        <v>3817</v>
      </c>
      <c r="F745" s="1" t="s">
        <v>51</v>
      </c>
      <c r="G745" s="1">
        <v>200.0</v>
      </c>
      <c r="H745" s="1" t="s">
        <v>52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53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54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56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57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f t="shared" si="1"/>
        <v>200</v>
      </c>
      <c r="AM745" s="1">
        <v>200.0</v>
      </c>
      <c r="AN745" s="1">
        <v>212.0</v>
      </c>
      <c r="AO745" s="1">
        <v>193.0</v>
      </c>
      <c r="AP745" s="2">
        <v>11.0</v>
      </c>
      <c r="AQ745" s="1">
        <v>7.0</v>
      </c>
      <c r="AR745" s="1">
        <v>7.0</v>
      </c>
      <c r="AS745" s="1" t="s">
        <v>2566</v>
      </c>
      <c r="AT745" s="3" t="str">
        <f>HYPERLINK("https://icf.clappia.com/app/GMB253374/submission/DUQ98023176/ICF247370-GMB253374-3mg8m6050jka00000000/SIG-20250701_142719fpn1.jpeg", "SIG-20250701_142719fpn1.jpeg")</f>
        <v>SIG-20250701_142719fpn1.jpeg</v>
      </c>
      <c r="AU745" s="1" t="s">
        <v>2565</v>
      </c>
      <c r="AV745" s="3" t="str">
        <f>HYPERLINK("https://icf.clappia.com/app/GMB253374/submission/DUQ98023176/ICF247370-GMB253374-4dbh1782lh1i00000000/SIG-20250701_14291450hc.jpeg", "SIG-20250701_14291450hc.jpeg")</f>
        <v>SIG-20250701_14291450hc.jpeg</v>
      </c>
      <c r="AW745" s="1" t="s">
        <v>2567</v>
      </c>
      <c r="AX745" s="3" t="str">
        <f>HYPERLINK("https://icf.clappia.com/app/GMB253374/submission/DUQ98023176/ICF247370-GMB253374-80ddghdk04io0000000/SIG-20250701_14294nae1.jpeg", "SIG-20250701_14294nae1.jpeg")</f>
        <v>SIG-20250701_14294nae1.jpeg</v>
      </c>
      <c r="AY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3818</v>
      </c>
      <c r="B746" s="2" t="s">
        <v>47</v>
      </c>
      <c r="C746" s="1" t="s">
        <v>3819</v>
      </c>
      <c r="D746" s="1" t="s">
        <v>3811</v>
      </c>
      <c r="E746" s="1" t="s">
        <v>3820</v>
      </c>
      <c r="F746" s="1" t="s">
        <v>51</v>
      </c>
      <c r="G746" s="1">
        <v>79.0</v>
      </c>
      <c r="H746" s="1" t="s">
        <v>52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53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54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56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57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f t="shared" si="1"/>
        <v>79</v>
      </c>
      <c r="AM746" s="1">
        <v>79.0</v>
      </c>
      <c r="AN746" s="1">
        <v>91.0</v>
      </c>
      <c r="AO746" s="1">
        <v>69.0</v>
      </c>
      <c r="AP746" s="2">
        <v>11.0</v>
      </c>
      <c r="AQ746" s="1">
        <v>10.0</v>
      </c>
      <c r="AR746" s="1">
        <v>10.0</v>
      </c>
      <c r="AS746" s="1" t="s">
        <v>2050</v>
      </c>
      <c r="AT746" s="3" t="str">
        <f>HYPERLINK("https://icf.clappia.com/app/GMB253374/submission/UYK17473243/ICF247370-GMB253374-2kb67a8fg53a00000000/SIG-20250701_1144g9m67.jpeg", "SIG-20250701_1144g9m67.jpeg")</f>
        <v>SIG-20250701_1144g9m67.jpeg</v>
      </c>
      <c r="AU746" s="1" t="s">
        <v>3821</v>
      </c>
      <c r="AV746" s="3" t="str">
        <f>HYPERLINK("https://icf.clappia.com/app/GMB253374/submission/UYK17473243/ICF247370-GMB253374-16p9e7pbinip60000000/SIG-20250701_1146i2phj.jpeg", "SIG-20250701_1146i2phj.jpeg")</f>
        <v>SIG-20250701_1146i2phj.jpeg</v>
      </c>
      <c r="AW746" s="1" t="s">
        <v>2052</v>
      </c>
      <c r="AX746" s="3" t="str">
        <f>HYPERLINK("https://icf.clappia.com/app/GMB253374/submission/UYK17473243/ICF247370-GMB253374-3l509d65h2bm00000000/SIG-20250701_114613163i.jpeg", "SIG-20250701_114613163i.jpeg")</f>
        <v>SIG-20250701_114613163i.jpeg</v>
      </c>
      <c r="AY746" s="3" t="str">
        <f>HYPERLINK("https://www.google.com/maps/place/7.8919317%2C-11.97771", "7.8919317,-11.97771")</f>
        <v>7.8919317,-11.97771</v>
      </c>
    </row>
    <row r="747" ht="15.75" customHeight="1">
      <c r="A747" s="1" t="s">
        <v>3822</v>
      </c>
      <c r="B747" s="2" t="s">
        <v>47</v>
      </c>
      <c r="C747" s="1" t="s">
        <v>3823</v>
      </c>
      <c r="D747" s="1" t="s">
        <v>3811</v>
      </c>
      <c r="E747" s="1" t="s">
        <v>3824</v>
      </c>
      <c r="F747" s="1" t="s">
        <v>51</v>
      </c>
      <c r="G747" s="1">
        <v>128.0</v>
      </c>
      <c r="H747" s="1" t="s">
        <v>52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53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54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56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57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f t="shared" si="1"/>
        <v>128</v>
      </c>
      <c r="AM747" s="1">
        <v>128.0</v>
      </c>
      <c r="AN747" s="1">
        <v>140.0</v>
      </c>
      <c r="AO747" s="1">
        <v>117.0</v>
      </c>
      <c r="AP747" s="2">
        <v>11.0</v>
      </c>
      <c r="AQ747" s="1">
        <v>11.0</v>
      </c>
      <c r="AR747" s="1">
        <v>11.0</v>
      </c>
      <c r="AS747" s="1" t="s">
        <v>2050</v>
      </c>
      <c r="AT747" s="3" t="str">
        <f>HYPERLINK("https://icf.clappia.com/app/GMB253374/submission/CJJ48486402/ICF247370-GMB253374-49b6ba0n62p200000000/SIG-20250630_1229105po6.jpeg", "SIG-20250630_1229105po6.jpeg")</f>
        <v>SIG-20250630_1229105po6.jpeg</v>
      </c>
      <c r="AU747" s="1" t="s">
        <v>3821</v>
      </c>
      <c r="AV747" s="3" t="str">
        <f>HYPERLINK("https://icf.clappia.com/app/GMB253374/submission/CJJ48486402/ICF247370-GMB253374-1fcego37350a40000000/SIG-20250630_1230hokln.jpeg", "SIG-20250630_1230hokln.jpeg")</f>
        <v>SIG-20250630_1230hokln.jpeg</v>
      </c>
      <c r="AW747" s="1" t="s">
        <v>3825</v>
      </c>
      <c r="AX747" s="3" t="str">
        <f>HYPERLINK("https://icf.clappia.com/app/GMB253374/submission/CJJ48486402/ICF247370-GMB253374-5p757n2fb92o00000000/SIG-20250630_122010ipb7.jpeg", "SIG-20250630_122010ipb7.jpeg")</f>
        <v>SIG-20250630_122010ipb7.jpeg</v>
      </c>
      <c r="AY747" s="3" t="str">
        <f>HYPERLINK("https://www.google.com/maps/place/7.88982%2C-11.9031717", "7.88982,-11.9031717")</f>
        <v>7.88982,-11.9031717</v>
      </c>
    </row>
    <row r="748" ht="15.75" customHeight="1">
      <c r="A748" s="1" t="s">
        <v>3826</v>
      </c>
      <c r="B748" s="2" t="s">
        <v>47</v>
      </c>
      <c r="C748" s="1" t="s">
        <v>3827</v>
      </c>
      <c r="D748" s="1" t="s">
        <v>3827</v>
      </c>
      <c r="E748" s="1" t="s">
        <v>3828</v>
      </c>
      <c r="F748" s="1" t="s">
        <v>51</v>
      </c>
      <c r="G748" s="1">
        <v>42.0</v>
      </c>
      <c r="H748" s="1" t="s">
        <v>52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53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54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56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57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f t="shared" si="1"/>
        <v>42</v>
      </c>
      <c r="AM748" s="1">
        <v>42.0</v>
      </c>
      <c r="AN748" s="1">
        <v>54.0</v>
      </c>
      <c r="AO748" s="1">
        <v>42.0</v>
      </c>
      <c r="AP748" s="2">
        <v>11.0</v>
      </c>
      <c r="AQ748" s="1">
        <v>0.0</v>
      </c>
      <c r="AR748" s="1">
        <v>0.0</v>
      </c>
      <c r="AS748" s="1" t="s">
        <v>1900</v>
      </c>
      <c r="AT748" s="3" t="str">
        <f>HYPERLINK("https://icf.clappia.com/app/GMB253374/submission/IAU18123895/ICF247370-GMB253374-2c7m7dja7m2800000000/SIG-20250701_1415c45ph.jpeg", "SIG-20250701_1415c45ph.jpeg")</f>
        <v>SIG-20250701_1415c45ph.jpeg</v>
      </c>
      <c r="AU748" s="1" t="s">
        <v>1901</v>
      </c>
      <c r="AV748" s="3" t="str">
        <f>HYPERLINK("https://icf.clappia.com/app/GMB253374/submission/IAU18123895/ICF247370-GMB253374-43378mo6420e00000000/SIG-20250701_141615153k.jpeg", "SIG-20250701_141615153k.jpeg")</f>
        <v>SIG-20250701_141615153k.jpeg</v>
      </c>
      <c r="AW748" s="1" t="s">
        <v>1902</v>
      </c>
      <c r="AX748" s="3" t="str">
        <f>HYPERLINK("https://icf.clappia.com/app/GMB253374/submission/IAU18123895/ICF247370-GMB253374-49eg15kel07e00000000/SIG-20250701_1416k14c.jpeg", "SIG-20250701_1416k14c.jpeg")</f>
        <v>SIG-20250701_1416k14c.jpeg</v>
      </c>
      <c r="AY748" s="3" t="str">
        <f>HYPERLINK("https://www.google.com/maps/place/7.634435%2C-11.6728133", "7.634435,-11.6728133")</f>
        <v>7.634435,-11.6728133</v>
      </c>
    </row>
    <row r="749" ht="15.75" customHeight="1">
      <c r="A749" s="1" t="s">
        <v>3829</v>
      </c>
      <c r="B749" s="2" t="s">
        <v>47</v>
      </c>
      <c r="C749" s="1" t="s">
        <v>3830</v>
      </c>
      <c r="D749" s="1" t="s">
        <v>3831</v>
      </c>
      <c r="E749" s="1" t="s">
        <v>3832</v>
      </c>
      <c r="F749" s="1" t="s">
        <v>51</v>
      </c>
      <c r="G749" s="1">
        <v>100.0</v>
      </c>
      <c r="H749" s="1" t="s">
        <v>52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53</v>
      </c>
      <c r="O749" s="1">
        <v>14.0</v>
      </c>
      <c r="P749" s="1">
        <v>11.0</v>
      </c>
      <c r="Q749" s="1">
        <v>11.0</v>
      </c>
      <c r="R749" s="1" t="s">
        <v>3833</v>
      </c>
      <c r="S749" s="1" t="s">
        <v>3833</v>
      </c>
      <c r="T749" s="1" t="s">
        <v>54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56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57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f t="shared" si="1"/>
        <v>52</v>
      </c>
      <c r="AM749" s="1">
        <v>100.0</v>
      </c>
      <c r="AN749" s="1">
        <v>112.0</v>
      </c>
      <c r="AO749" s="1">
        <v>52.0</v>
      </c>
      <c r="AP749" s="2">
        <v>11.0</v>
      </c>
      <c r="AQ749" s="1">
        <v>48.0</v>
      </c>
      <c r="AR749" s="1">
        <v>48.0</v>
      </c>
      <c r="AS749" s="1" t="s">
        <v>3834</v>
      </c>
      <c r="AT749" s="3" t="str">
        <f>HYPERLINK("https://icf.clappia.com/app/GMB253374/submission/OZF39733145/ICF247370-GMB253374-2foap4phnkb600000000/SIG-20250630_15248jb3a.jpeg", "SIG-20250630_15248jb3a.jpeg")</f>
        <v>SIG-20250630_15248jb3a.jpeg</v>
      </c>
      <c r="AU749" s="1" t="s">
        <v>3239</v>
      </c>
      <c r="AV749" s="3" t="str">
        <f>HYPERLINK("https://icf.clappia.com/app/GMB253374/submission/OZF39733145/ICF247370-GMB253374-2dknm74e30i800000000/SIG-20250630_151619a5ed.jpeg", "SIG-20250630_151619a5ed.jpeg")</f>
        <v>SIG-20250630_151619a5ed.jpeg</v>
      </c>
      <c r="AW749" s="1" t="s">
        <v>3240</v>
      </c>
      <c r="AX749" s="3" t="str">
        <f>HYPERLINK("https://icf.clappia.com/app/GMB253374/submission/OZF39733145/ICF247370-GMB253374-1akh815p7p6co0000000/SIG-20250630_1526pe1l4.jpeg", "SIG-20250630_1526pe1l4.jpeg")</f>
        <v>SIG-20250630_1526pe1l4.jpeg</v>
      </c>
      <c r="AY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3835</v>
      </c>
      <c r="B750" s="2" t="s">
        <v>47</v>
      </c>
      <c r="C750" s="1" t="s">
        <v>3836</v>
      </c>
      <c r="D750" s="1" t="s">
        <v>3836</v>
      </c>
      <c r="E750" s="1" t="s">
        <v>3837</v>
      </c>
      <c r="F750" s="1" t="s">
        <v>51</v>
      </c>
      <c r="G750" s="1">
        <v>150.0</v>
      </c>
      <c r="H750" s="1" t="s">
        <v>52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53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54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56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57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f t="shared" si="1"/>
        <v>100</v>
      </c>
      <c r="AM750" s="1">
        <v>150.0</v>
      </c>
      <c r="AN750" s="1">
        <v>162.0</v>
      </c>
      <c r="AO750" s="1">
        <v>100.0</v>
      </c>
      <c r="AP750" s="2">
        <v>11.0</v>
      </c>
      <c r="AQ750" s="1">
        <v>50.0</v>
      </c>
      <c r="AR750" s="1">
        <v>50.0</v>
      </c>
      <c r="AS750" s="1" t="s">
        <v>2676</v>
      </c>
      <c r="AT750" s="3" t="str">
        <f>HYPERLINK("https://icf.clappia.com/app/GMB253374/submission/OLZ55133975/ICF247370-GMB253374-3p4gpihnne1400000000/SIG-20250701_153040oog.jpeg", "SIG-20250701_153040oog.jpeg")</f>
        <v>SIG-20250701_153040oog.jpeg</v>
      </c>
      <c r="AU750" s="1" t="s">
        <v>2677</v>
      </c>
      <c r="AV750" s="3" t="str">
        <f>HYPERLINK("https://icf.clappia.com/app/GMB253374/submission/OLZ55133975/ICF247370-GMB253374-3kmm6n63ifl200000000/SIG-20250701_1530gm13j.jpeg", "SIG-20250701_1530gm13j.jpeg")</f>
        <v>SIG-20250701_1530gm13j.jpeg</v>
      </c>
      <c r="AW750" s="1" t="s">
        <v>2678</v>
      </c>
      <c r="AX750" s="3" t="str">
        <f>HYPERLINK("https://icf.clappia.com/app/GMB253374/submission/OLZ55133975/ICF247370-GMB253374-1feli7f1g49kk0000000/SIG-20250701_153111im50.jpeg", "SIG-20250701_153111im50.jpeg")</f>
        <v>SIG-20250701_153111im50.jpeg</v>
      </c>
      <c r="AY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3838</v>
      </c>
      <c r="B751" s="2" t="s">
        <v>47</v>
      </c>
      <c r="C751" s="1" t="s">
        <v>3836</v>
      </c>
      <c r="D751" s="1" t="s">
        <v>3836</v>
      </c>
      <c r="E751" s="1" t="s">
        <v>3839</v>
      </c>
      <c r="F751" s="1" t="s">
        <v>51</v>
      </c>
      <c r="G751" s="1">
        <v>190.0</v>
      </c>
      <c r="H751" s="1" t="s">
        <v>52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53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54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56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57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f t="shared" si="1"/>
        <v>225</v>
      </c>
      <c r="AM751" s="1">
        <v>190.0</v>
      </c>
      <c r="AN751" s="1">
        <v>202.0</v>
      </c>
      <c r="AO751" s="1">
        <v>110.0</v>
      </c>
      <c r="AP751" s="2">
        <v>11.0</v>
      </c>
      <c r="AQ751" s="1">
        <v>80.0</v>
      </c>
      <c r="AR751" s="1">
        <v>80.0</v>
      </c>
      <c r="AS751" s="1" t="s">
        <v>3840</v>
      </c>
      <c r="AT751" s="3" t="str">
        <f>HYPERLINK("https://icf.clappia.com/app/GMB253374/submission/WRE78644089/ICF247370-GMB253374-33206739e2ji00000000/SIG-20250701_1337i6ip2.jpeg", "SIG-20250701_1337i6ip2.jpeg")</f>
        <v>SIG-20250701_1337i6ip2.jpeg</v>
      </c>
      <c r="AU751" s="1" t="s">
        <v>2423</v>
      </c>
      <c r="AV751" s="3" t="str">
        <f>HYPERLINK("https://icf.clappia.com/app/GMB253374/submission/WRE78644089/ICF247370-GMB253374-4dkgn71738l000000000/SIG-20250701_1337fk5c7.jpeg", "SIG-20250701_1337fk5c7.jpeg")</f>
        <v>SIG-20250701_1337fk5c7.jpeg</v>
      </c>
      <c r="AW751" s="1" t="s">
        <v>2424</v>
      </c>
      <c r="AX751" s="3" t="str">
        <f>HYPERLINK("https://icf.clappia.com/app/GMB253374/submission/WRE78644089/ICF247370-GMB253374-4n26d77bcbm400000000/SIG-20250701_133717ho64.jpeg", "SIG-20250701_133717ho64.jpeg")</f>
        <v>SIG-20250701_133717ho64.jpeg</v>
      </c>
      <c r="AY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3841</v>
      </c>
      <c r="B752" s="2" t="s">
        <v>47</v>
      </c>
      <c r="C752" s="1" t="s">
        <v>3842</v>
      </c>
      <c r="D752" s="1" t="s">
        <v>3842</v>
      </c>
      <c r="E752" s="1" t="s">
        <v>3843</v>
      </c>
      <c r="F752" s="1" t="s">
        <v>51</v>
      </c>
      <c r="G752" s="1">
        <v>43.0</v>
      </c>
      <c r="H752" s="1" t="s">
        <v>52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53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54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56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57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f t="shared" si="1"/>
        <v>43</v>
      </c>
      <c r="AM752" s="1">
        <v>43.0</v>
      </c>
      <c r="AN752" s="1">
        <v>55.0</v>
      </c>
      <c r="AO752" s="1">
        <v>43.0</v>
      </c>
      <c r="AP752" s="2">
        <v>11.0</v>
      </c>
      <c r="AQ752" s="1">
        <v>0.0</v>
      </c>
      <c r="AR752" s="1">
        <v>0.0</v>
      </c>
      <c r="AS752" s="1" t="s">
        <v>1329</v>
      </c>
      <c r="AT752" s="3" t="str">
        <f>HYPERLINK("https://icf.clappia.com/app/GMB253374/submission/BRT77597493/ICF247370-GMB253374-5cibdj9p8bkk00000000/SIG-20250701_151754h53.jpeg", "SIG-20250701_151754h53.jpeg")</f>
        <v>SIG-20250701_151754h53.jpeg</v>
      </c>
      <c r="AU752" s="1" t="s">
        <v>1303</v>
      </c>
      <c r="AV752" s="3" t="str">
        <f>HYPERLINK("https://icf.clappia.com/app/GMB253374/submission/BRT77597493/ICF247370-GMB253374-4m34o003c9e200000000/SIG-20250701_152210082m.jpeg", "SIG-20250701_152210082m.jpeg")</f>
        <v>SIG-20250701_152210082m.jpeg</v>
      </c>
      <c r="AW752" s="1" t="s">
        <v>1304</v>
      </c>
      <c r="AX752" s="3" t="str">
        <f>HYPERLINK("https://icf.clappia.com/app/GMB253374/submission/BRT77597493/ICF247370-GMB253374-3gfna84n8kd200000000/SIG-20250701_1519k7llh.jpeg", "SIG-20250701_1519k7llh.jpeg")</f>
        <v>SIG-20250701_1519k7llh.jpeg</v>
      </c>
      <c r="AY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3844</v>
      </c>
      <c r="B753" s="2" t="s">
        <v>47</v>
      </c>
      <c r="C753" s="1" t="s">
        <v>3845</v>
      </c>
      <c r="D753" s="1" t="s">
        <v>3845</v>
      </c>
      <c r="E753" s="1" t="s">
        <v>3846</v>
      </c>
      <c r="F753" s="1" t="s">
        <v>51</v>
      </c>
      <c r="G753" s="1">
        <v>200.0</v>
      </c>
      <c r="H753" s="1" t="s">
        <v>52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53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54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56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57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f t="shared" si="1"/>
        <v>197</v>
      </c>
      <c r="AM753" s="1">
        <v>200.0</v>
      </c>
      <c r="AN753" s="1">
        <v>212.0</v>
      </c>
      <c r="AO753" s="1">
        <v>187.0</v>
      </c>
      <c r="AP753" s="2">
        <v>11.0</v>
      </c>
      <c r="AQ753" s="1">
        <v>13.0</v>
      </c>
      <c r="AR753" s="1">
        <v>13.0</v>
      </c>
      <c r="AS753" s="1" t="s">
        <v>3847</v>
      </c>
      <c r="AT753" s="3" t="str">
        <f>HYPERLINK("https://icf.clappia.com/app/GMB253374/submission/PVF47288466/ICF247370-GMB253374-63lk0jei14jm00000000/SIG-20250701_0942l41g5.jpeg", "SIG-20250701_0942l41g5.jpeg")</f>
        <v>SIG-20250701_0942l41g5.jpeg</v>
      </c>
      <c r="AU753" s="1" t="s">
        <v>3848</v>
      </c>
      <c r="AV753" s="3" t="str">
        <f>HYPERLINK("https://icf.clappia.com/app/GMB253374/submission/PVF47288466/ICF247370-GMB253374-3mnc1f5fm59200000000/SIG-20250701_094214ne65.jpeg", "SIG-20250701_094214ne65.jpeg")</f>
        <v>SIG-20250701_094214ne65.jpeg</v>
      </c>
      <c r="AW753" s="1" t="s">
        <v>2935</v>
      </c>
      <c r="AX753" s="3" t="str">
        <f>HYPERLINK("https://icf.clappia.com/app/GMB253374/submission/PVF47288466/ICF247370-GMB253374-59i8a5m3a7gk00000000/SIG-20250701_0942e48cd.jpeg", "SIG-20250701_0942e48cd.jpeg")</f>
        <v>SIG-20250701_0942e48cd.jpeg</v>
      </c>
      <c r="AY753" s="3" t="str">
        <f>HYPERLINK("https://www.google.com/maps/place/8.238075%2C-11.69092", "8.238075,-11.69092")</f>
        <v>8.238075,-11.69092</v>
      </c>
    </row>
    <row r="754" ht="15.75" customHeight="1">
      <c r="A754" s="1" t="s">
        <v>3849</v>
      </c>
      <c r="B754" s="2" t="s">
        <v>47</v>
      </c>
      <c r="C754" s="1" t="s">
        <v>3850</v>
      </c>
      <c r="D754" s="1" t="s">
        <v>3850</v>
      </c>
      <c r="E754" s="1" t="s">
        <v>3851</v>
      </c>
      <c r="F754" s="1" t="s">
        <v>51</v>
      </c>
      <c r="G754" s="1">
        <v>250.0</v>
      </c>
      <c r="H754" s="1" t="s">
        <v>52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53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54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56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57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f t="shared" si="1"/>
        <v>67</v>
      </c>
      <c r="AM754" s="1">
        <v>250.0</v>
      </c>
      <c r="AN754" s="1">
        <v>262.0</v>
      </c>
      <c r="AO754" s="1">
        <v>52.0</v>
      </c>
      <c r="AP754" s="2">
        <v>11.0</v>
      </c>
      <c r="AQ754" s="1">
        <v>198.0</v>
      </c>
      <c r="AR754" s="1">
        <v>198.0</v>
      </c>
      <c r="AS754" s="1" t="s">
        <v>3106</v>
      </c>
      <c r="AT754" s="3" t="str">
        <f>HYPERLINK("https://icf.clappia.com/app/GMB253374/submission/WNV63369790/ICF247370-GMB253374-3ebjjo542okg00000000/SIG-20250701_1515lg7ik.jpeg", "SIG-20250701_1515lg7ik.jpeg")</f>
        <v>SIG-20250701_1515lg7ik.jpeg</v>
      </c>
      <c r="AU754" s="1" t="s">
        <v>3107</v>
      </c>
      <c r="AV754" s="3" t="str">
        <f>HYPERLINK("https://icf.clappia.com/app/GMB253374/submission/WNV63369790/ICF247370-GMB253374-63cghdnhi2gk0000000/SIG-20250701_151664ka9.jpeg", "SIG-20250701_151664ka9.jpeg")</f>
        <v>SIG-20250701_151664ka9.jpeg</v>
      </c>
      <c r="AW754" s="1" t="s">
        <v>3852</v>
      </c>
      <c r="AX754" s="3" t="str">
        <f>HYPERLINK("https://icf.clappia.com/app/GMB253374/submission/WNV63369790/ICF247370-GMB253374-4n5gjll2027g00000000/SIG-20250701_151724ml5.jpeg", "SIG-20250701_151724ml5.jpeg")</f>
        <v>SIG-20250701_151724ml5.jpeg</v>
      </c>
      <c r="AY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3853</v>
      </c>
      <c r="B755" s="2" t="s">
        <v>47</v>
      </c>
      <c r="C755" s="1" t="s">
        <v>3854</v>
      </c>
      <c r="D755" s="1" t="s">
        <v>3855</v>
      </c>
      <c r="E755" s="1" t="s">
        <v>3856</v>
      </c>
      <c r="F755" s="1" t="s">
        <v>51</v>
      </c>
      <c r="G755" s="1">
        <v>142.0</v>
      </c>
      <c r="H755" s="1" t="s">
        <v>52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53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54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56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57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f t="shared" si="1"/>
        <v>142</v>
      </c>
      <c r="AM755" s="1">
        <v>142.0</v>
      </c>
      <c r="AN755" s="1">
        <v>154.0</v>
      </c>
      <c r="AO755" s="1">
        <v>142.0</v>
      </c>
      <c r="AP755" s="2">
        <v>11.0</v>
      </c>
      <c r="AQ755" s="1">
        <v>0.0</v>
      </c>
      <c r="AR755" s="1">
        <v>0.0</v>
      </c>
      <c r="AS755" s="1" t="s">
        <v>3857</v>
      </c>
      <c r="AT755" s="3" t="str">
        <f>HYPERLINK("https://icf.clappia.com/app/GMB253374/submission/TWD79133876/ICF247370-GMB253374-5j4lacb0h16e00000000/SIG-20250701_1314nicf2.jpeg", "SIG-20250701_1314nicf2.jpeg")</f>
        <v>SIG-20250701_1314nicf2.jpeg</v>
      </c>
      <c r="AU755" s="1" t="s">
        <v>3858</v>
      </c>
      <c r="AV755" s="3" t="str">
        <f>HYPERLINK("https://icf.clappia.com/app/GMB253374/submission/TWD79133876/ICF247370-GMB253374-31pg6483epji00000000/SIG-20250701_14571a2dk8.jpeg", "SIG-20250701_14571a2dk8.jpeg")</f>
        <v>SIG-20250701_14571a2dk8.jpeg</v>
      </c>
      <c r="AW755" s="1" t="s">
        <v>3859</v>
      </c>
      <c r="AX755" s="3" t="str">
        <f>HYPERLINK("https://icf.clappia.com/app/GMB253374/submission/TWD79133876/ICF247370-GMB253374-4oa0cobficc000000000/SIG-20250701_1457cknnf.jpeg", "SIG-20250701_1457cknnf.jpeg")</f>
        <v>SIG-20250701_1457cknnf.jpeg</v>
      </c>
      <c r="AY755" s="5" t="s">
        <v>3860</v>
      </c>
    </row>
    <row r="756" ht="15.75" customHeight="1">
      <c r="A756" s="1" t="s">
        <v>3861</v>
      </c>
      <c r="B756" s="2" t="s">
        <v>47</v>
      </c>
      <c r="C756" s="1" t="s">
        <v>2635</v>
      </c>
      <c r="D756" s="1" t="s">
        <v>3855</v>
      </c>
      <c r="E756" s="1" t="s">
        <v>3862</v>
      </c>
      <c r="F756" s="1" t="s">
        <v>51</v>
      </c>
      <c r="G756" s="1">
        <v>207.0</v>
      </c>
      <c r="H756" s="1" t="s">
        <v>52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53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54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56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57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f t="shared" si="1"/>
        <v>208</v>
      </c>
      <c r="AM756" s="1">
        <v>207.0</v>
      </c>
      <c r="AN756" s="1">
        <v>219.0</v>
      </c>
      <c r="AO756" s="1">
        <v>207.0</v>
      </c>
      <c r="AP756" s="2">
        <v>11.0</v>
      </c>
      <c r="AQ756" s="1">
        <v>0.0</v>
      </c>
      <c r="AR756" s="1">
        <v>0.0</v>
      </c>
      <c r="AS756" s="1" t="s">
        <v>3857</v>
      </c>
      <c r="AT756" s="3" t="str">
        <f>HYPERLINK("https://icf.clappia.com/app/GMB253374/submission/PAW42121511/ICF247370-GMB253374-5lafmnf5hdim00000000/SIG-20250630_154012hl9j.jpeg", "SIG-20250630_154012hl9j.jpeg")</f>
        <v>SIG-20250630_154012hl9j.jpeg</v>
      </c>
      <c r="AU756" s="1" t="s">
        <v>55</v>
      </c>
      <c r="AV756" s="3" t="str">
        <f>HYPERLINK("https://icf.clappia.com/app/GMB253374/submission/PAW42121511/ICF247370-GMB253374-4bofg8g809ek00000000/SIG-20250630_15401626p8.jpeg", "SIG-20250630_15401626p8.jpeg")</f>
        <v>SIG-20250630_15401626p8.jpeg</v>
      </c>
      <c r="AW756" s="1" t="s">
        <v>55</v>
      </c>
      <c r="AX756" s="3" t="str">
        <f>HYPERLINK("https://icf.clappia.com/app/GMB253374/submission/PAW42121511/ICF247370-GMB253374-68hppf3knm4g00000000/SIG-20250630_1540c8c06.jpeg", "SIG-20250630_1540c8c06.jpeg")</f>
        <v>SIG-20250630_1540c8c06.jpeg</v>
      </c>
      <c r="AY756" s="5" t="s">
        <v>3860</v>
      </c>
    </row>
    <row r="757" ht="15.75" customHeight="1">
      <c r="A757" s="1" t="s">
        <v>3863</v>
      </c>
      <c r="B757" s="2" t="s">
        <v>47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52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53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54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56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57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f t="shared" si="1"/>
        <v>112</v>
      </c>
      <c r="AM757" s="1">
        <v>112.0</v>
      </c>
      <c r="AN757" s="1">
        <v>124.0</v>
      </c>
      <c r="AO757" s="1">
        <v>112.0</v>
      </c>
      <c r="AP757" s="2">
        <v>11.0</v>
      </c>
      <c r="AQ757" s="1">
        <v>0.0</v>
      </c>
      <c r="AR757" s="1">
        <v>0.0</v>
      </c>
      <c r="AS757" s="1" t="s">
        <v>3866</v>
      </c>
      <c r="AT757" s="3" t="str">
        <f>HYPERLINK("https://icf.clappia.com/app/GMB253374/submission/LUT94013675/ICF247370-GMB253374-3al4ih25naa800000000/SIG-20250701_1517b3gcn.jpeg", "SIG-20250701_1517b3gcn.jpeg")</f>
        <v>SIG-20250701_1517b3gcn.jpeg</v>
      </c>
      <c r="AU757" s="1" t="s">
        <v>3867</v>
      </c>
      <c r="AV757" s="3" t="str">
        <f>HYPERLINK("https://icf.clappia.com/app/GMB253374/submission/LUT94013675/ICF247370-GMB253374-7d83bak4k0c40000000/SIG-20250701_1517e78pk.jpeg", "SIG-20250701_1517e78pk.jpeg")</f>
        <v>SIG-20250701_1517e78pk.jpeg</v>
      </c>
      <c r="AW757" s="1" t="s">
        <v>3868</v>
      </c>
      <c r="AX757" s="3" t="str">
        <f>HYPERLINK("https://icf.clappia.com/app/GMB253374/submission/LUT94013675/ICF247370-GMB253374-aoj6jg39dm5e0000000/SIG-20250701_1518cmj43.jpeg", "SIG-20250701_1518cmj43.jpeg")</f>
        <v>SIG-20250701_1518cmj43.jpeg</v>
      </c>
      <c r="AY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2" t="s">
        <v>47</v>
      </c>
      <c r="C758" s="1" t="s">
        <v>3870</v>
      </c>
      <c r="D758" s="1" t="s">
        <v>3864</v>
      </c>
      <c r="E758" s="1" t="s">
        <v>3871</v>
      </c>
      <c r="F758" s="1" t="s">
        <v>51</v>
      </c>
      <c r="G758" s="1">
        <v>342.0</v>
      </c>
      <c r="H758" s="1" t="s">
        <v>52</v>
      </c>
      <c r="I758" s="1" t="s">
        <v>55</v>
      </c>
      <c r="J758" s="1" t="s">
        <v>55</v>
      </c>
      <c r="K758" s="1" t="s">
        <v>55</v>
      </c>
      <c r="L758" s="1" t="s">
        <v>55</v>
      </c>
      <c r="M758" s="1" t="s">
        <v>55</v>
      </c>
      <c r="N758" s="1" t="s">
        <v>53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54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56</v>
      </c>
      <c r="AA758" s="1">
        <v>200.0</v>
      </c>
      <c r="AB758" s="1">
        <v>200.0</v>
      </c>
      <c r="AC758" s="1">
        <v>180.0</v>
      </c>
      <c r="AD758" s="1" t="s">
        <v>55</v>
      </c>
      <c r="AE758" s="1" t="s">
        <v>55</v>
      </c>
      <c r="AF758" s="1" t="s">
        <v>57</v>
      </c>
      <c r="AG758" s="1">
        <v>182.0</v>
      </c>
      <c r="AH758" s="1">
        <v>182.0</v>
      </c>
      <c r="AI758" s="1">
        <v>158.0</v>
      </c>
      <c r="AJ758" s="1" t="s">
        <v>55</v>
      </c>
      <c r="AK758" s="1" t="s">
        <v>55</v>
      </c>
      <c r="AL758" s="1">
        <f t="shared" si="1"/>
        <v>382</v>
      </c>
      <c r="AM758" s="1">
        <v>342.0</v>
      </c>
      <c r="AN758" s="1">
        <v>354.0</v>
      </c>
      <c r="AO758" s="1">
        <v>338.0</v>
      </c>
      <c r="AP758" s="2">
        <v>11.0</v>
      </c>
      <c r="AQ758" s="1">
        <v>4.0</v>
      </c>
      <c r="AR758" s="1">
        <v>4.0</v>
      </c>
      <c r="AS758" s="1" t="s">
        <v>3081</v>
      </c>
      <c r="AT758" s="3" t="str">
        <f>HYPERLINK("https://icf.clappia.com/app/GMB253374/submission/ISI64219772/ICF247370-GMB253374-3me3ee2j9mgo00000000/SIG-20250701_15161o6co.jpeg", "SIG-20250701_15161o6co.jpeg")</f>
        <v>SIG-20250701_15161o6co.jpeg</v>
      </c>
      <c r="AU758" s="1" t="s">
        <v>3082</v>
      </c>
      <c r="AV758" s="3" t="str">
        <f>HYPERLINK("https://icf.clappia.com/app/GMB253374/submission/ISI64219772/ICF247370-GMB253374-4ck85en443io00000000/SIG-20250701_15165dh65.jpeg", "SIG-20250701_15165dh65.jpeg")</f>
        <v>SIG-20250701_15165dh65.jpeg</v>
      </c>
      <c r="AW758" s="1" t="s">
        <v>3872</v>
      </c>
      <c r="AX758" s="3" t="str">
        <f>HYPERLINK("https://icf.clappia.com/app/GMB253374/submission/ISI64219772/ICF247370-GMB253374-1ge97aiglfh360000000/SIG-20250701_1516fphfj.jpeg", "SIG-20250701_1516fphfj.jpeg")</f>
        <v>SIG-20250701_1516fphfj.jpeg</v>
      </c>
      <c r="AY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2" t="s">
        <v>47</v>
      </c>
      <c r="C759" s="1" t="s">
        <v>3864</v>
      </c>
      <c r="D759" s="1" t="s">
        <v>3864</v>
      </c>
      <c r="E759" s="1" t="s">
        <v>3874</v>
      </c>
      <c r="F759" s="1" t="s">
        <v>51</v>
      </c>
      <c r="G759" s="1">
        <v>200.0</v>
      </c>
      <c r="H759" s="1" t="s">
        <v>52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53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54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56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57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f t="shared" si="1"/>
        <v>191</v>
      </c>
      <c r="AM759" s="1">
        <v>200.0</v>
      </c>
      <c r="AN759" s="1">
        <v>212.0</v>
      </c>
      <c r="AO759" s="1">
        <v>187.0</v>
      </c>
      <c r="AP759" s="2">
        <v>11.0</v>
      </c>
      <c r="AQ759" s="1">
        <v>13.0</v>
      </c>
      <c r="AR759" s="1">
        <v>13.0</v>
      </c>
      <c r="AS759" s="1" t="s">
        <v>2740</v>
      </c>
      <c r="AT759" s="3" t="str">
        <f>HYPERLINK("https://icf.clappia.com/app/GMB253374/submission/DLA71494277/ICF247370-GMB253374-41lfd4d74cl20000000/SIG-20250701_1510al9pn.jpeg", "SIG-20250701_1510al9pn.jpeg")</f>
        <v>SIG-20250701_1510al9pn.jpeg</v>
      </c>
      <c r="AU759" s="1" t="s">
        <v>3875</v>
      </c>
      <c r="AV759" s="3" t="str">
        <f>HYPERLINK("https://icf.clappia.com/app/GMB253374/submission/DLA71494277/ICF247370-GMB253374-da6ofi530jeo0000000/SIG-20250701_151145fko.jpeg", "SIG-20250701_151145fko.jpeg")</f>
        <v>SIG-20250701_151145fko.jpeg</v>
      </c>
      <c r="AW759" s="1" t="s">
        <v>3876</v>
      </c>
      <c r="AX759" s="3" t="str">
        <f>HYPERLINK("https://icf.clappia.com/app/GMB253374/submission/DLA71494277/ICF247370-GMB253374-32i7d5436o4c00000000/SIG-20250701_1511j8doo.jpeg", "SIG-20250701_1511j8doo.jpeg")</f>
        <v>SIG-20250701_1511j8doo.jpeg</v>
      </c>
      <c r="AY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2" t="s">
        <v>47</v>
      </c>
      <c r="C760" s="1" t="s">
        <v>3008</v>
      </c>
      <c r="D760" s="1" t="s">
        <v>3008</v>
      </c>
      <c r="E760" s="1" t="s">
        <v>3878</v>
      </c>
      <c r="F760" s="1" t="s">
        <v>51</v>
      </c>
      <c r="G760" s="1">
        <v>442.0</v>
      </c>
      <c r="H760" s="1" t="s">
        <v>52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53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54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56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57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f t="shared" si="1"/>
        <v>429</v>
      </c>
      <c r="AM760" s="1">
        <v>442.0</v>
      </c>
      <c r="AN760" s="1">
        <v>454.0</v>
      </c>
      <c r="AO760" s="1">
        <v>350.0</v>
      </c>
      <c r="AP760" s="2">
        <v>11.0</v>
      </c>
      <c r="AQ760" s="1">
        <v>92.0</v>
      </c>
      <c r="AR760" s="1">
        <v>92.0</v>
      </c>
      <c r="AS760" s="1" t="s">
        <v>3879</v>
      </c>
      <c r="AT760" s="3" t="str">
        <f>HYPERLINK("https://icf.clappia.com/app/GMB253374/submission/FHT49082043/ICF247370-GMB253374-481ecklpegj600000000/SIG-20250701_1509m08c3.jpeg", "SIG-20250701_1509m08c3.jpeg")</f>
        <v>SIG-20250701_1509m08c3.jpeg</v>
      </c>
      <c r="AU760" s="1" t="s">
        <v>3880</v>
      </c>
      <c r="AV760" s="3" t="str">
        <f>HYPERLINK("https://icf.clappia.com/app/GMB253374/submission/FHT49082043/ICF247370-GMB253374-2n4594eadg3i00000000/SIG-20250701_14573l4jn.jpeg", "SIG-20250701_14573l4jn.jpeg")</f>
        <v>SIG-20250701_14573l4jn.jpeg</v>
      </c>
      <c r="AW760" s="1" t="s">
        <v>3881</v>
      </c>
      <c r="AX760" s="3" t="str">
        <f>HYPERLINK("https://icf.clappia.com/app/GMB253374/submission/FHT49082043/ICF247370-GMB253374-40ilgllm98em00000000/SIG-20250701_14591l1mc.jpeg", "SIG-20250701_14591l1mc.jpeg")</f>
        <v>SIG-20250701_14591l1mc.jpeg</v>
      </c>
      <c r="AY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2" t="s">
        <v>47</v>
      </c>
      <c r="C761" s="1" t="s">
        <v>3883</v>
      </c>
      <c r="D761" s="1" t="s">
        <v>3883</v>
      </c>
      <c r="E761" s="1" t="s">
        <v>3884</v>
      </c>
      <c r="F761" s="1" t="s">
        <v>51</v>
      </c>
      <c r="G761" s="1">
        <v>638.0</v>
      </c>
      <c r="H761" s="1" t="s">
        <v>52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53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54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56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57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f t="shared" si="1"/>
        <v>672</v>
      </c>
      <c r="AM761" s="1">
        <v>638.0</v>
      </c>
      <c r="AN761" s="1">
        <v>650.0</v>
      </c>
      <c r="AO761" s="1">
        <v>638.0</v>
      </c>
      <c r="AP761" s="2">
        <v>11.0</v>
      </c>
      <c r="AQ761" s="1">
        <v>0.0</v>
      </c>
      <c r="AR761" s="1">
        <v>0.0</v>
      </c>
      <c r="AS761" s="1" t="s">
        <v>3209</v>
      </c>
      <c r="AT761" s="3" t="str">
        <f>HYPERLINK("https://icf.clappia.com/app/GMB253374/submission/GTP05388304/ICF247370-GMB253374-68k12bg99dok00000000/SIG-20250701_15093ae9e.jpeg", "SIG-20250701_15093ae9e.jpeg")</f>
        <v>SIG-20250701_15093ae9e.jpeg</v>
      </c>
      <c r="AU761" s="1" t="s">
        <v>3210</v>
      </c>
      <c r="AV761" s="3" t="str">
        <f>HYPERLINK("https://icf.clappia.com/app/GMB253374/submission/GTP05388304/ICF247370-GMB253374-3dib06mb32ei00000000/SIG-20250701_151010kj55.jpeg", "SIG-20250701_151010kj55.jpeg")</f>
        <v>SIG-20250701_151010kj55.jpeg</v>
      </c>
      <c r="AW761" s="1" t="s">
        <v>3885</v>
      </c>
      <c r="AX761" s="3" t="str">
        <f>HYPERLINK("https://icf.clappia.com/app/GMB253374/submission/GTP05388304/ICF247370-GMB253374-52g173978agi00000000/SIG-20250701_1511mjokc.jpeg", "SIG-20250701_1511mjokc.jpeg")</f>
        <v>SIG-20250701_1511mjokc.jpeg</v>
      </c>
      <c r="AY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2" t="s">
        <v>47</v>
      </c>
      <c r="C762" s="1" t="s">
        <v>3887</v>
      </c>
      <c r="D762" s="1" t="s">
        <v>3887</v>
      </c>
      <c r="E762" s="1" t="s">
        <v>3888</v>
      </c>
      <c r="F762" s="1" t="s">
        <v>51</v>
      </c>
      <c r="G762" s="1">
        <v>100.0</v>
      </c>
      <c r="H762" s="1" t="s">
        <v>52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53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54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56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57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f t="shared" si="1"/>
        <v>104</v>
      </c>
      <c r="AM762" s="1">
        <v>100.0</v>
      </c>
      <c r="AN762" s="1">
        <v>112.0</v>
      </c>
      <c r="AO762" s="1">
        <v>78.0</v>
      </c>
      <c r="AP762" s="2">
        <v>11.0</v>
      </c>
      <c r="AQ762" s="1">
        <v>22.0</v>
      </c>
      <c r="AR762" s="1">
        <v>22.0</v>
      </c>
      <c r="AS762" s="1" t="s">
        <v>1702</v>
      </c>
      <c r="AT762" s="3" t="str">
        <f>HYPERLINK("https://icf.clappia.com/app/GMB253374/submission/EXH44027270/ICF247370-GMB253374-1jb0jn10158mc0000000/SIG-20250701_1115m61he.jpeg", "SIG-20250701_1115m61he.jpeg")</f>
        <v>SIG-20250701_1115m61he.jpeg</v>
      </c>
      <c r="AU762" s="1" t="s">
        <v>1703</v>
      </c>
      <c r="AV762" s="3" t="str">
        <f>HYPERLINK("https://icf.clappia.com/app/GMB253374/submission/EXH44027270/ICF247370-GMB253374-37k1383i63bi00000000/SIG-20250701_1116i1a08.jpeg", "SIG-20250701_1116i1a08.jpeg")</f>
        <v>SIG-20250701_1116i1a08.jpeg</v>
      </c>
      <c r="AW762" s="1" t="s">
        <v>3371</v>
      </c>
      <c r="AX762" s="3" t="str">
        <f>HYPERLINK("https://icf.clappia.com/app/GMB253374/submission/EXH44027270/ICF247370-GMB253374-4ifk286h33aa00000000/SIG-20250701_11173nkmp.jpeg", "SIG-20250701_11173nkmp.jpeg")</f>
        <v>SIG-20250701_11173nkmp.jpeg</v>
      </c>
      <c r="AY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2" t="s">
        <v>47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52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53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54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56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57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f t="shared" si="1"/>
        <v>230</v>
      </c>
      <c r="AM763" s="1">
        <v>230.0</v>
      </c>
      <c r="AN763" s="1">
        <v>242.0</v>
      </c>
      <c r="AO763" s="1">
        <v>230.0</v>
      </c>
      <c r="AP763" s="2">
        <v>11.0</v>
      </c>
      <c r="AQ763" s="1">
        <v>0.0</v>
      </c>
      <c r="AR763" s="1">
        <v>0.0</v>
      </c>
      <c r="AS763" s="1" t="s">
        <v>3375</v>
      </c>
      <c r="AT763" s="3" t="str">
        <f>HYPERLINK("https://icf.clappia.com/app/GMB253374/submission/SGD19586650/ICF247370-GMB253374-40fbfj16324600000000/SIG-20250701_15076hi7d.jpeg", "SIG-20250701_15076hi7d.jpeg")</f>
        <v>SIG-20250701_15076hi7d.jpeg</v>
      </c>
      <c r="AU763" s="1" t="s">
        <v>3376</v>
      </c>
      <c r="AV763" s="3" t="str">
        <f>HYPERLINK("https://icf.clappia.com/app/GMB253374/submission/SGD19586650/ICF247370-GMB253374-1cb29oi36jnio0000000/SIG-20250701_1508gdbjk.jpeg", "SIG-20250701_1508gdbjk.jpeg")</f>
        <v>SIG-20250701_1508gdbjk.jpeg</v>
      </c>
      <c r="AW763" s="1" t="s">
        <v>3891</v>
      </c>
      <c r="AX763" s="3" t="str">
        <f>HYPERLINK("https://icf.clappia.com/app/GMB253374/submission/SGD19586650/ICF247370-GMB253374-3463jakpgkca00000000/SIG-20250701_15065bikb.jpeg", "SIG-20250701_15065bikb.jpeg")</f>
        <v>SIG-20250701_15065bikb.jpeg</v>
      </c>
      <c r="AY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2" t="s">
        <v>47</v>
      </c>
      <c r="C764" s="1" t="s">
        <v>3893</v>
      </c>
      <c r="D764" s="1" t="s">
        <v>3893</v>
      </c>
      <c r="E764" s="1" t="s">
        <v>3894</v>
      </c>
      <c r="F764" s="1" t="s">
        <v>51</v>
      </c>
      <c r="G764" s="1">
        <v>150.0</v>
      </c>
      <c r="H764" s="1" t="s">
        <v>52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53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54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56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57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f t="shared" si="1"/>
        <v>167</v>
      </c>
      <c r="AM764" s="1">
        <v>150.0</v>
      </c>
      <c r="AN764" s="1">
        <v>162.0</v>
      </c>
      <c r="AO764" s="1">
        <v>140.0</v>
      </c>
      <c r="AP764" s="2">
        <v>11.0</v>
      </c>
      <c r="AQ764" s="1">
        <v>10.0</v>
      </c>
      <c r="AR764" s="1">
        <v>10.0</v>
      </c>
      <c r="AS764" s="1" t="s">
        <v>3895</v>
      </c>
      <c r="AT764" s="3" t="str">
        <f>HYPERLINK("https://icf.clappia.com/app/GMB253374/submission/YHX78589534/ICF247370-GMB253374-5p0neg8hk9ig00000000/SIG-20250701_1506897gh.jpeg", "SIG-20250701_1506897gh.jpeg")</f>
        <v>SIG-20250701_1506897gh.jpeg</v>
      </c>
      <c r="AU764" s="1" t="s">
        <v>3896</v>
      </c>
      <c r="AV764" s="3" t="str">
        <f>HYPERLINK("https://icf.clappia.com/app/GMB253374/submission/YHX78589534/ICF247370-GMB253374-40i9m8bc871600000000/SIG-20250701_15073hkj.jpeg", "SIG-20250701_15073hkj.jpeg")</f>
        <v>SIG-20250701_15073hkj.jpeg</v>
      </c>
      <c r="AW764" s="1" t="s">
        <v>3897</v>
      </c>
      <c r="AX764" s="3" t="str">
        <f>HYPERLINK("https://icf.clappia.com/app/GMB253374/submission/YHX78589534/ICF247370-GMB253374-49ge2j05ioe200000000/SIG-20250701_1508h5208.jpeg", "SIG-20250701_1508h5208.jpeg")</f>
        <v>SIG-20250701_1508h5208.jpeg</v>
      </c>
      <c r="AY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2" t="s">
        <v>47</v>
      </c>
      <c r="C765" s="1" t="s">
        <v>3899</v>
      </c>
      <c r="D765" s="1" t="s">
        <v>3899</v>
      </c>
      <c r="E765" s="1" t="s">
        <v>3900</v>
      </c>
      <c r="F765" s="1" t="s">
        <v>51</v>
      </c>
      <c r="G765" s="1">
        <v>270.0</v>
      </c>
      <c r="H765" s="1" t="s">
        <v>52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53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54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56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57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f t="shared" si="1"/>
        <v>270</v>
      </c>
      <c r="AM765" s="1">
        <v>270.0</v>
      </c>
      <c r="AN765" s="1">
        <v>282.0</v>
      </c>
      <c r="AO765" s="1">
        <v>262.0</v>
      </c>
      <c r="AP765" s="2">
        <v>11.0</v>
      </c>
      <c r="AQ765" s="1">
        <v>8.0</v>
      </c>
      <c r="AR765" s="1">
        <v>8.0</v>
      </c>
      <c r="AS765" s="1" t="s">
        <v>3813</v>
      </c>
      <c r="AT765" s="3" t="str">
        <f>HYPERLINK("https://icf.clappia.com/app/GMB253374/submission/KDJ29706514/ICF247370-GMB253374-9inccpd39g1i0000000/SIG-20250701_1503iboae.jpeg", "SIG-20250701_1503iboae.jpeg")</f>
        <v>SIG-20250701_1503iboae.jpeg</v>
      </c>
      <c r="AU765" s="1" t="s">
        <v>3815</v>
      </c>
      <c r="AV765" s="3" t="str">
        <f>HYPERLINK("https://icf.clappia.com/app/GMB253374/submission/KDJ29706514/ICF247370-GMB253374-ama5b0dnbmpc0000000/SIG-20250701_1502faobj.jpeg", "SIG-20250701_1502faobj.jpeg")</f>
        <v>SIG-20250701_1502faobj.jpeg</v>
      </c>
      <c r="AW765" s="1" t="s">
        <v>3901</v>
      </c>
      <c r="AX765" s="3" t="str">
        <f>HYPERLINK("https://icf.clappia.com/app/GMB253374/submission/KDJ29706514/ICF247370-GMB253374-51f2h2la4pme00000000/SIG-20250701_1502191pkh.jpeg", "SIG-20250701_1502191pkh.jpeg")</f>
        <v>SIG-20250701_1502191pkh.jpeg</v>
      </c>
      <c r="AY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2" t="s">
        <v>47</v>
      </c>
      <c r="C766" s="1" t="s">
        <v>3903</v>
      </c>
      <c r="D766" s="1" t="s">
        <v>3903</v>
      </c>
      <c r="E766" s="1" t="s">
        <v>3904</v>
      </c>
      <c r="F766" s="1" t="s">
        <v>51</v>
      </c>
      <c r="G766" s="1">
        <v>150.0</v>
      </c>
      <c r="H766" s="1" t="s">
        <v>52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53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54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56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57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f t="shared" si="1"/>
        <v>164</v>
      </c>
      <c r="AM766" s="1">
        <v>150.0</v>
      </c>
      <c r="AN766" s="1">
        <v>162.0</v>
      </c>
      <c r="AO766" s="1">
        <v>73.0</v>
      </c>
      <c r="AP766" s="2">
        <v>11.0</v>
      </c>
      <c r="AQ766" s="1">
        <v>77.0</v>
      </c>
      <c r="AR766" s="1">
        <v>77.0</v>
      </c>
      <c r="AS766" s="1" t="s">
        <v>2693</v>
      </c>
      <c r="AT766" s="3" t="str">
        <f>HYPERLINK("https://icf.clappia.com/app/GMB253374/submission/CKO62016824/ICF247370-GMB253374-2hmgbj79pbnk00000000/SIG-20250701_1446km2cl.jpeg", "SIG-20250701_1446km2cl.jpeg")</f>
        <v>SIG-20250701_1446km2cl.jpeg</v>
      </c>
      <c r="AU766" s="1" t="s">
        <v>2694</v>
      </c>
      <c r="AV766" s="3" t="str">
        <f>HYPERLINK("https://icf.clappia.com/app/GMB253374/submission/CKO62016824/ICF247370-GMB253374-5k4ip5ie63pa00000000/SIG-20250701_1447bcp7.jpeg", "SIG-20250701_1447bcp7.jpeg")</f>
        <v>SIG-20250701_1447bcp7.jpeg</v>
      </c>
      <c r="AW766" s="1" t="s">
        <v>2695</v>
      </c>
      <c r="AX766" s="3" t="str">
        <f>HYPERLINK("https://icf.clappia.com/app/GMB253374/submission/CKO62016824/ICF247370-GMB253374-27nm46b47b3nm0000000/SIG-20250701_144914n33b.jpeg", "SIG-20250701_144914n33b.jpeg")</f>
        <v>SIG-20250701_144914n33b.jpeg</v>
      </c>
      <c r="AY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2" t="s">
        <v>47</v>
      </c>
      <c r="C767" s="1" t="s">
        <v>3854</v>
      </c>
      <c r="D767" s="1" t="s">
        <v>3906</v>
      </c>
      <c r="E767" s="1" t="s">
        <v>3907</v>
      </c>
      <c r="F767" s="1" t="s">
        <v>51</v>
      </c>
      <c r="G767" s="1">
        <v>139.0</v>
      </c>
      <c r="H767" s="1" t="s">
        <v>52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53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54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56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57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f t="shared" si="1"/>
        <v>98</v>
      </c>
      <c r="AM767" s="1">
        <v>139.0</v>
      </c>
      <c r="AN767" s="1">
        <v>151.0</v>
      </c>
      <c r="AO767" s="1">
        <v>89.0</v>
      </c>
      <c r="AP767" s="2">
        <v>11.0</v>
      </c>
      <c r="AQ767" s="1">
        <v>50.0</v>
      </c>
      <c r="AR767" s="1">
        <v>50.0</v>
      </c>
      <c r="AS767" s="1" t="s">
        <v>3185</v>
      </c>
      <c r="AT767" s="3" t="str">
        <f>HYPERLINK("https://icf.clappia.com/app/GMB253374/submission/MFY61050367/ICF247370-GMB253374-5afl1g4jp5h600000000/SIG-20250701_122480agf.jpeg", "SIG-20250701_122480agf.jpeg")</f>
        <v>SIG-20250701_122480agf.jpeg</v>
      </c>
      <c r="AU767" s="1" t="s">
        <v>3186</v>
      </c>
      <c r="AV767" s="3" t="str">
        <f>HYPERLINK("https://icf.clappia.com/app/GMB253374/submission/MFY61050367/ICF247370-GMB253374-350m83c80gnm00000000/SIG-20250701_122416b27i.jpeg", "SIG-20250701_122416b27i.jpeg")</f>
        <v>SIG-20250701_122416b27i.jpeg</v>
      </c>
      <c r="AW767" s="1" t="s">
        <v>3187</v>
      </c>
      <c r="AX767" s="3" t="str">
        <f>HYPERLINK("https://icf.clappia.com/app/GMB253374/submission/MFY61050367/ICF247370-GMB253374-13i29k26297m00000000/SIG-20250701_122515kch.jpeg", "SIG-20250701_122515kch.jpeg")</f>
        <v>SIG-20250701_122515kch.jpeg</v>
      </c>
      <c r="AY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2" t="s">
        <v>47</v>
      </c>
      <c r="C768" s="1" t="s">
        <v>3854</v>
      </c>
      <c r="D768" s="1" t="s">
        <v>3854</v>
      </c>
      <c r="E768" s="1" t="s">
        <v>3909</v>
      </c>
      <c r="F768" s="1" t="s">
        <v>51</v>
      </c>
      <c r="G768" s="1">
        <v>61.0</v>
      </c>
      <c r="H768" s="1" t="s">
        <v>52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53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54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56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57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f t="shared" si="1"/>
        <v>61</v>
      </c>
      <c r="AM768" s="1">
        <v>61.0</v>
      </c>
      <c r="AN768" s="1">
        <v>73.0</v>
      </c>
      <c r="AO768" s="1">
        <v>52.0</v>
      </c>
      <c r="AP768" s="2">
        <v>11.0</v>
      </c>
      <c r="AQ768" s="1">
        <v>9.0</v>
      </c>
      <c r="AR768" s="1">
        <v>9.0</v>
      </c>
      <c r="AS768" s="1" t="s">
        <v>3075</v>
      </c>
      <c r="AT768" s="3" t="str">
        <f>HYPERLINK("https://icf.clappia.com/app/GMB253374/submission/FXQ52181225/ICF247370-GMB253374-1mnmk0kc1faac0000000/SIG-20250701_144512g22k.jpeg", "SIG-20250701_144512g22k.jpeg")</f>
        <v>SIG-20250701_144512g22k.jpeg</v>
      </c>
      <c r="AU768" s="1" t="s">
        <v>3910</v>
      </c>
      <c r="AV768" s="3" t="str">
        <f>HYPERLINK("https://icf.clappia.com/app/GMB253374/submission/FXQ52181225/ICF247370-GMB253374-36gm5h7n22k400000000/SIG-20250701_1446ckko0.jpeg", "SIG-20250701_1446ckko0.jpeg")</f>
        <v>SIG-20250701_1446ckko0.jpeg</v>
      </c>
      <c r="AW768" s="1" t="s">
        <v>3077</v>
      </c>
      <c r="AX768" s="3" t="str">
        <f>HYPERLINK("https://icf.clappia.com/app/GMB253374/submission/FXQ52181225/ICF247370-GMB253374-20bbgg9hhc5280000000/SIG-20250701_1446el72l.jpeg", "SIG-20250701_1446el72l.jpeg")</f>
        <v>SIG-20250701_1446el72l.jpeg</v>
      </c>
      <c r="AY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2" t="s">
        <v>47</v>
      </c>
      <c r="C769" s="1" t="s">
        <v>3912</v>
      </c>
      <c r="D769" s="1" t="s">
        <v>3912</v>
      </c>
      <c r="E769" s="1" t="s">
        <v>3913</v>
      </c>
      <c r="F769" s="1" t="s">
        <v>51</v>
      </c>
      <c r="G769" s="1">
        <v>100.0</v>
      </c>
      <c r="H769" s="1" t="s">
        <v>52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53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54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56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57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f t="shared" si="1"/>
        <v>86</v>
      </c>
      <c r="AM769" s="1">
        <v>100.0</v>
      </c>
      <c r="AN769" s="1">
        <v>112.0</v>
      </c>
      <c r="AO769" s="1">
        <v>86.0</v>
      </c>
      <c r="AP769" s="2">
        <v>11.0</v>
      </c>
      <c r="AQ769" s="1">
        <v>14.0</v>
      </c>
      <c r="AR769" s="1">
        <v>14.0</v>
      </c>
      <c r="AS769" s="1" t="s">
        <v>1550</v>
      </c>
      <c r="AT769" s="3" t="str">
        <f>HYPERLINK("https://icf.clappia.com/app/GMB253374/submission/DOL87228310/ICF247370-GMB253374-31bdne29ip8o00000000/SIG-20250701_1450m5cpa.jpeg", "SIG-20250701_1450m5cpa.jpeg")</f>
        <v>SIG-20250701_1450m5cpa.jpeg</v>
      </c>
      <c r="AU769" s="1" t="s">
        <v>3914</v>
      </c>
      <c r="AV769" s="3" t="str">
        <f>HYPERLINK("https://icf.clappia.com/app/GMB253374/submission/DOL87228310/ICF247370-GMB253374-5694gjh2ffkg00000000/SIG-20250701_145423eb5.jpeg", "SIG-20250701_145423eb5.jpeg")</f>
        <v>SIG-20250701_145423eb5.jpeg</v>
      </c>
      <c r="AW769" s="1" t="s">
        <v>1552</v>
      </c>
      <c r="AX769" s="3" t="str">
        <f>HYPERLINK("https://icf.clappia.com/app/GMB253374/submission/DOL87228310/ICF247370-GMB253374-3kg69e4g49j400000000/SIG-20250701_1455180jij.jpeg", "SIG-20250701_1455180jij.jpeg")</f>
        <v>SIG-20250701_1455180jij.jpeg</v>
      </c>
      <c r="AY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2" t="s">
        <v>47</v>
      </c>
      <c r="C770" s="1" t="s">
        <v>3912</v>
      </c>
      <c r="D770" s="1" t="s">
        <v>3912</v>
      </c>
      <c r="E770" s="1" t="s">
        <v>3916</v>
      </c>
      <c r="F770" s="1" t="s">
        <v>51</v>
      </c>
      <c r="G770" s="1">
        <v>260.0</v>
      </c>
      <c r="H770" s="1" t="s">
        <v>52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53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54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56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57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f t="shared" si="1"/>
        <v>260</v>
      </c>
      <c r="AM770" s="1">
        <v>260.0</v>
      </c>
      <c r="AN770" s="1">
        <v>272.0</v>
      </c>
      <c r="AO770" s="1">
        <v>253.0</v>
      </c>
      <c r="AP770" s="2">
        <v>11.0</v>
      </c>
      <c r="AQ770" s="1">
        <v>7.0</v>
      </c>
      <c r="AR770" s="1">
        <v>7.0</v>
      </c>
      <c r="AS770" s="1" t="s">
        <v>3917</v>
      </c>
      <c r="AT770" s="3" t="str">
        <f>HYPERLINK("https://icf.clappia.com/app/GMB253374/submission/TZX09931820/ICF247370-GMB253374-4n3791fd31j600000000/SIG-20250701_1455findh.jpeg", "SIG-20250701_1455findh.jpeg")</f>
        <v>SIG-20250701_1455findh.jpeg</v>
      </c>
      <c r="AU770" s="1" t="s">
        <v>3216</v>
      </c>
      <c r="AV770" s="3" t="str">
        <f>HYPERLINK("https://icf.clappia.com/app/GMB253374/submission/TZX09931820/ICF247370-GMB253374-3464jcaghe0e00000000/SIG-20250701_1454bom80.jpeg", "SIG-20250701_1454bom80.jpeg")</f>
        <v>SIG-20250701_1454bom80.jpeg</v>
      </c>
      <c r="AW770" s="1" t="s">
        <v>3215</v>
      </c>
      <c r="AX770" s="3" t="str">
        <f>HYPERLINK("https://icf.clappia.com/app/GMB253374/submission/TZX09931820/ICF247370-GMB253374-135ld223o95360000000/SIG-20250701_1455h2cdl.jpeg", "SIG-20250701_1455h2cdl.jpeg")</f>
        <v>SIG-20250701_1455h2cdl.jpeg</v>
      </c>
      <c r="AY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2" t="s">
        <v>47</v>
      </c>
      <c r="C771" s="1" t="s">
        <v>3919</v>
      </c>
      <c r="D771" s="1" t="s">
        <v>3919</v>
      </c>
      <c r="E771" s="1" t="s">
        <v>3920</v>
      </c>
      <c r="F771" s="1" t="s">
        <v>51</v>
      </c>
      <c r="G771" s="1">
        <v>99.0</v>
      </c>
      <c r="H771" s="1" t="s">
        <v>52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53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54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56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57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f t="shared" si="1"/>
        <v>208</v>
      </c>
      <c r="AM771" s="1">
        <v>99.0</v>
      </c>
      <c r="AN771" s="1">
        <v>111.0</v>
      </c>
      <c r="AO771" s="1">
        <v>65.0</v>
      </c>
      <c r="AP771" s="2">
        <v>11.0</v>
      </c>
      <c r="AQ771" s="1">
        <v>34.0</v>
      </c>
      <c r="AR771" s="1">
        <v>34.0</v>
      </c>
      <c r="AS771" s="1" t="s">
        <v>3921</v>
      </c>
      <c r="AT771" s="3" t="str">
        <f>HYPERLINK("https://icf.clappia.com/app/GMB253374/submission/MHY28373592/ICF247370-GMB253374-2a173fom02doi0000000/SIG-20250701_143514goh3.jpeg", "SIG-20250701_143514goh3.jpeg")</f>
        <v>SIG-20250701_143514goh3.jpeg</v>
      </c>
      <c r="AU771" s="1" t="s">
        <v>3922</v>
      </c>
      <c r="AV771" s="3" t="str">
        <f>HYPERLINK("https://icf.clappia.com/app/GMB253374/submission/MHY28373592/ICF247370-GMB253374-13262n9pen2mk0000000/SIG-20250701_143613jbh1.jpeg", "SIG-20250701_143613jbh1.jpeg")</f>
        <v>SIG-20250701_143613jbh1.jpeg</v>
      </c>
      <c r="AW771" s="1" t="s">
        <v>3923</v>
      </c>
      <c r="AX771" s="3" t="str">
        <f>HYPERLINK("https://icf.clappia.com/app/GMB253374/submission/MHY28373592/ICF247370-GMB253374-22koj1i3e8ck80000000/SIG-20250701_143714h11k.jpeg", "SIG-20250701_143714h11k.jpeg")</f>
        <v>SIG-20250701_143714h11k.jpeg</v>
      </c>
      <c r="AY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2" t="s">
        <v>47</v>
      </c>
      <c r="C772" s="1" t="s">
        <v>3925</v>
      </c>
      <c r="D772" s="1" t="s">
        <v>3926</v>
      </c>
      <c r="E772" s="1" t="s">
        <v>3927</v>
      </c>
      <c r="F772" s="1" t="s">
        <v>51</v>
      </c>
      <c r="G772" s="1">
        <v>113.0</v>
      </c>
      <c r="H772" s="1" t="s">
        <v>52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53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54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56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57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f t="shared" si="1"/>
        <v>136</v>
      </c>
      <c r="AM772" s="1">
        <v>113.0</v>
      </c>
      <c r="AN772" s="1">
        <v>125.0</v>
      </c>
      <c r="AO772" s="1">
        <v>113.0</v>
      </c>
      <c r="AP772" s="2">
        <v>11.0</v>
      </c>
      <c r="AQ772" s="1">
        <v>0.0</v>
      </c>
      <c r="AR772" s="1">
        <v>0.0</v>
      </c>
      <c r="AS772" s="1" t="s">
        <v>2817</v>
      </c>
      <c r="AT772" s="3" t="str">
        <f>HYPERLINK("https://icf.clappia.com/app/GMB253374/submission/ORU51585275/ICF247370-GMB253374-4kmj8med0n1m00000000/SIG-20250701_1248382jh.jpeg", "SIG-20250701_1248382jh.jpeg")</f>
        <v>SIG-20250701_1248382jh.jpeg</v>
      </c>
      <c r="AU772" s="1" t="s">
        <v>55</v>
      </c>
      <c r="AV772" s="3" t="str">
        <f>HYPERLINK("https://icf.clappia.com/app/GMB253374/submission/ORU51585275/ICF247370-GMB253374-3nbp065c41480000000/SIG-20250701_12466jjgd.jpeg", "SIG-20250701_12466jjgd.jpeg")</f>
        <v>SIG-20250701_12466jjgd.jpeg</v>
      </c>
      <c r="AW772" s="1" t="s">
        <v>55</v>
      </c>
      <c r="AX772" s="3" t="str">
        <f>HYPERLINK("https://icf.clappia.com/app/GMB253374/submission/ORU51585275/ICF247370-GMB253374-674kmfcbg6fm00000000/SIG-20250701_12477d80a.jpeg", "SIG-20250701_12477d80a.jpeg")</f>
        <v>SIG-20250701_12477d80a.jpeg</v>
      </c>
      <c r="AY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2" t="s">
        <v>47</v>
      </c>
      <c r="C773" s="1" t="s">
        <v>3926</v>
      </c>
      <c r="D773" s="1" t="s">
        <v>3926</v>
      </c>
      <c r="E773" s="1" t="s">
        <v>3929</v>
      </c>
      <c r="F773" s="1" t="s">
        <v>51</v>
      </c>
      <c r="G773" s="1">
        <v>174.0</v>
      </c>
      <c r="H773" s="1" t="s">
        <v>52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53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54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56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57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f t="shared" si="1"/>
        <v>174</v>
      </c>
      <c r="AM773" s="1">
        <v>174.0</v>
      </c>
      <c r="AN773" s="1">
        <v>186.0</v>
      </c>
      <c r="AO773" s="1">
        <v>112.0</v>
      </c>
      <c r="AP773" s="2">
        <v>11.0</v>
      </c>
      <c r="AQ773" s="1">
        <v>62.0</v>
      </c>
      <c r="AR773" s="1">
        <v>62.0</v>
      </c>
      <c r="AS773" s="1" t="s">
        <v>100</v>
      </c>
      <c r="AT773" s="3" t="str">
        <f>HYPERLINK("https://icf.clappia.com/app/GMB253374/submission/QGG46917844/ICF247370-GMB253374-4gc77ima4blg00000000/SIG-20250701_14484enj6.jpeg", "SIG-20250701_14484enj6.jpeg")</f>
        <v>SIG-20250701_14484enj6.jpeg</v>
      </c>
      <c r="AU773" s="1" t="s">
        <v>101</v>
      </c>
      <c r="AV773" s="3" t="str">
        <f>HYPERLINK("https://icf.clappia.com/app/GMB253374/submission/QGG46917844/ICF247370-GMB253374-4gklk8pje6co00000000/SIG-20250701_1448b8keh.jpeg", "SIG-20250701_1448b8keh.jpeg")</f>
        <v>SIG-20250701_1448b8keh.jpeg</v>
      </c>
      <c r="AW773" s="1" t="s">
        <v>102</v>
      </c>
      <c r="AX773" s="3" t="str">
        <f>HYPERLINK("https://icf.clappia.com/app/GMB253374/submission/QGG46917844/ICF247370-GMB253374-2il2h3mpcl4m00000000/SIG-20250701_1449g0i8c.jpeg", "SIG-20250701_1449g0i8c.jpeg")</f>
        <v>SIG-20250701_1449g0i8c.jpeg</v>
      </c>
      <c r="AY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2" t="s">
        <v>47</v>
      </c>
      <c r="C774" s="1" t="s">
        <v>3925</v>
      </c>
      <c r="D774" s="1" t="s">
        <v>3926</v>
      </c>
      <c r="E774" s="1" t="s">
        <v>3931</v>
      </c>
      <c r="F774" s="1" t="s">
        <v>51</v>
      </c>
      <c r="G774" s="1">
        <v>74.0</v>
      </c>
      <c r="H774" s="1" t="s">
        <v>52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53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54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56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57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f t="shared" si="1"/>
        <v>74</v>
      </c>
      <c r="AM774" s="1">
        <v>74.0</v>
      </c>
      <c r="AN774" s="1">
        <v>86.0</v>
      </c>
      <c r="AO774" s="1">
        <v>72.0</v>
      </c>
      <c r="AP774" s="2">
        <v>11.0</v>
      </c>
      <c r="AQ774" s="1">
        <v>2.0</v>
      </c>
      <c r="AR774" s="1">
        <v>2.0</v>
      </c>
      <c r="AS774" s="1" t="s">
        <v>58</v>
      </c>
      <c r="AT774" s="3" t="str">
        <f>HYPERLINK("https://icf.clappia.com/app/GMB253374/submission/LEY99957824/ICF247370-GMB253374-39jp0ai52jm200000000/SIG-20250701_1231n8i7i.jpeg", "SIG-20250701_1231n8i7i.jpeg")</f>
        <v>SIG-20250701_1231n8i7i.jpeg</v>
      </c>
      <c r="AU774" s="1" t="s">
        <v>3932</v>
      </c>
      <c r="AV774" s="3" t="str">
        <f>HYPERLINK("https://icf.clappia.com/app/GMB253374/submission/LEY99957824/ICF247370-GMB253374-22dfiabko0ona0000000/SIG-20250701_123112ja36.jpeg", "SIG-20250701_123112ja36.jpeg")</f>
        <v>SIG-20250701_123112ja36.jpeg</v>
      </c>
      <c r="AW774" s="1" t="s">
        <v>3933</v>
      </c>
      <c r="AX774" s="3" t="str">
        <f>HYPERLINK("https://icf.clappia.com/app/GMB253374/submission/LEY99957824/ICF247370-GMB253374-1c4j1eaoj132o0000000/SIG-20250701_1232166fp4.jpeg", "SIG-20250701_1232166fp4.jpeg")</f>
        <v>SIG-20250701_1232166fp4.jpeg</v>
      </c>
      <c r="AY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2" t="s">
        <v>47</v>
      </c>
      <c r="C775" s="1" t="s">
        <v>3925</v>
      </c>
      <c r="D775" s="1" t="s">
        <v>3925</v>
      </c>
      <c r="E775" s="1" t="s">
        <v>3935</v>
      </c>
      <c r="F775" s="1" t="s">
        <v>51</v>
      </c>
      <c r="G775" s="1">
        <v>162.0</v>
      </c>
      <c r="H775" s="1" t="s">
        <v>52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53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54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56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57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f t="shared" si="1"/>
        <v>143</v>
      </c>
      <c r="AM775" s="1">
        <v>162.0</v>
      </c>
      <c r="AN775" s="1">
        <v>174.0</v>
      </c>
      <c r="AO775" s="1">
        <v>140.0</v>
      </c>
      <c r="AP775" s="2">
        <v>11.0</v>
      </c>
      <c r="AQ775" s="1">
        <v>22.0</v>
      </c>
      <c r="AR775" s="1">
        <v>22.0</v>
      </c>
      <c r="AS775" s="1" t="s">
        <v>3936</v>
      </c>
      <c r="AT775" s="3" t="str">
        <f>HYPERLINK("https://icf.clappia.com/app/GMB253374/submission/CHY76854567/ICF247370-GMB253374-n02l9nnac2a40000000/SIG-20250701_1442o031g.jpeg", "SIG-20250701_1442o031g.jpeg")</f>
        <v>SIG-20250701_1442o031g.jpeg</v>
      </c>
      <c r="AU775" s="1" t="s">
        <v>2715</v>
      </c>
      <c r="AV775" s="3" t="str">
        <f>HYPERLINK("https://icf.clappia.com/app/GMB253374/submission/CHY76854567/ICF247370-GMB253374-ffg43nn6jk5k0000000/SIG-20250701_1303keei6.jpeg", "SIG-20250701_1303keei6.jpeg")</f>
        <v>SIG-20250701_1303keei6.jpeg</v>
      </c>
      <c r="AW775" s="1" t="s">
        <v>712</v>
      </c>
      <c r="AX775" s="3" t="str">
        <f>HYPERLINK("https://icf.clappia.com/app/GMB253374/submission/CHY76854567/ICF247370-GMB253374-2gb6g7jl0ofi00000000/SIG-20250701_1447180j7.jpeg", "SIG-20250701_1447180j7.jpeg")</f>
        <v>SIG-20250701_1447180j7.jpeg</v>
      </c>
      <c r="AY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2" t="s">
        <v>47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52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53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54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56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57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f t="shared" si="1"/>
        <v>84</v>
      </c>
      <c r="AM776" s="1">
        <v>84.0</v>
      </c>
      <c r="AN776" s="1">
        <v>96.0</v>
      </c>
      <c r="AO776" s="1">
        <v>79.0</v>
      </c>
      <c r="AP776" s="2">
        <v>11.0</v>
      </c>
      <c r="AQ776" s="1">
        <v>5.0</v>
      </c>
      <c r="AR776" s="1">
        <v>5.0</v>
      </c>
      <c r="AS776" s="1" t="s">
        <v>2059</v>
      </c>
      <c r="AT776" s="3" t="str">
        <f>HYPERLINK("https://icf.clappia.com/app/GMB253374/submission/WEE47238490/ICF247370-GMB253374-1pbggim1dna6k0000000/SIG-20250701_103818gl5j.jpeg", "SIG-20250701_103818gl5j.jpeg")</f>
        <v>SIG-20250701_103818gl5j.jpeg</v>
      </c>
      <c r="AU776" s="1" t="s">
        <v>3940</v>
      </c>
      <c r="AV776" s="3" t="str">
        <f>HYPERLINK("https://icf.clappia.com/app/GMB253374/submission/WEE47238490/ICF247370-GMB253374-420g2486mo1800000000/SIG-20250701_1057pcb6d.jpeg", "SIG-20250701_1057pcb6d.jpeg")</f>
        <v>SIG-20250701_1057pcb6d.jpeg</v>
      </c>
      <c r="AW776" s="1" t="s">
        <v>2468</v>
      </c>
      <c r="AX776" s="3" t="str">
        <f>HYPERLINK("https://icf.clappia.com/app/GMB253374/submission/WEE47238490/ICF247370-GMB253374-4aaj92hhb8bc00000000/SIG-20250701_1037ffed7.jpeg", "SIG-20250701_1037ffed7.jpeg")</f>
        <v>SIG-20250701_1037ffed7.jpeg</v>
      </c>
      <c r="AY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2" t="s">
        <v>47</v>
      </c>
      <c r="C777" s="1" t="s">
        <v>3938</v>
      </c>
      <c r="D777" s="1" t="s">
        <v>3938</v>
      </c>
      <c r="E777" s="1" t="s">
        <v>3942</v>
      </c>
      <c r="F777" s="1" t="s">
        <v>51</v>
      </c>
      <c r="G777" s="1">
        <v>232.0</v>
      </c>
      <c r="H777" s="1" t="s">
        <v>52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53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54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56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57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f t="shared" si="1"/>
        <v>205</v>
      </c>
      <c r="AM777" s="1">
        <v>232.0</v>
      </c>
      <c r="AN777" s="1">
        <v>244.0</v>
      </c>
      <c r="AO777" s="1">
        <v>92.0</v>
      </c>
      <c r="AP777" s="2">
        <v>11.0</v>
      </c>
      <c r="AQ777" s="1">
        <v>140.0</v>
      </c>
      <c r="AR777" s="1">
        <v>140.0</v>
      </c>
      <c r="AS777" s="1" t="s">
        <v>1810</v>
      </c>
      <c r="AT777" s="3" t="str">
        <f>HYPERLINK("https://icf.clappia.com/app/GMB253374/submission/OIX20717634/ICF247370-GMB253374-4hkj7hao7alc00000000/SIG-20250701_1442omblo.jpeg", "SIG-20250701_1442omblo.jpeg")</f>
        <v>SIG-20250701_1442omblo.jpeg</v>
      </c>
      <c r="AU777" s="1" t="s">
        <v>1811</v>
      </c>
      <c r="AV777" s="3" t="str">
        <f>HYPERLINK("https://icf.clappia.com/app/GMB253374/submission/OIX20717634/ICF247370-GMB253374-518dpm52lia800000000/SIG-20250701_1445h2j23.jpeg", "SIG-20250701_1445h2j23.jpeg")</f>
        <v>SIG-20250701_1445h2j23.jpeg</v>
      </c>
      <c r="AW777" s="1" t="s">
        <v>1812</v>
      </c>
      <c r="AX777" s="3" t="str">
        <f>HYPERLINK("https://icf.clappia.com/app/GMB253374/submission/OIX20717634/ICF247370-GMB253374-265icnkjmf98e0000000/SIG-20250701_1443ib0bl.jpeg", "SIG-20250701_1443ib0bl.jpeg")</f>
        <v>SIG-20250701_1443ib0bl.jpeg</v>
      </c>
      <c r="AY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2" t="s">
        <v>47</v>
      </c>
      <c r="C778" s="1" t="s">
        <v>3944</v>
      </c>
      <c r="D778" s="1" t="s">
        <v>3944</v>
      </c>
      <c r="E778" s="1" t="s">
        <v>3945</v>
      </c>
      <c r="F778" s="1" t="s">
        <v>51</v>
      </c>
      <c r="G778" s="1">
        <v>196.0</v>
      </c>
      <c r="H778" s="1" t="s">
        <v>52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53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54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56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57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f t="shared" si="1"/>
        <v>116</v>
      </c>
      <c r="AM778" s="1">
        <v>196.0</v>
      </c>
      <c r="AN778" s="1">
        <v>208.0</v>
      </c>
      <c r="AO778" s="1">
        <v>108.0</v>
      </c>
      <c r="AP778" s="2">
        <v>11.0</v>
      </c>
      <c r="AQ778" s="1">
        <v>88.0</v>
      </c>
      <c r="AR778" s="1">
        <v>88.0</v>
      </c>
      <c r="AS778" s="1" t="s">
        <v>2521</v>
      </c>
      <c r="AT778" s="3" t="str">
        <f>HYPERLINK("https://icf.clappia.com/app/GMB253374/submission/DMR35106964/ICF247370-GMB253374-4cm3fl85b6f800000000/SIG-20250701_143914e3cc.jpeg", "SIG-20250701_143914e3cc.jpeg")</f>
        <v>SIG-20250701_143914e3cc.jpeg</v>
      </c>
      <c r="AU778" s="1" t="s">
        <v>2522</v>
      </c>
      <c r="AV778" s="3" t="str">
        <f>HYPERLINK("https://icf.clappia.com/app/GMB253374/submission/DMR35106964/ICF247370-GMB253374-94ndnc2g4lo00000000/SIG-20250701_14399b984.jpeg", "SIG-20250701_14399b984.jpeg")</f>
        <v>SIG-20250701_14399b984.jpeg</v>
      </c>
      <c r="AW778" s="1" t="s">
        <v>2523</v>
      </c>
      <c r="AX778" s="3" t="str">
        <f>HYPERLINK("https://icf.clappia.com/app/GMB253374/submission/DMR35106964/ICF247370-GMB253374-55ba6d6gi80c00000000/SIG-20250701_1440k1pda.jpeg", "SIG-20250701_1440k1pda.jpeg")</f>
        <v>SIG-20250701_1440k1pda.jpeg</v>
      </c>
      <c r="AY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2" t="s">
        <v>47</v>
      </c>
      <c r="C779" s="1" t="s">
        <v>3947</v>
      </c>
      <c r="D779" s="1" t="s">
        <v>3947</v>
      </c>
      <c r="E779" s="1" t="s">
        <v>3948</v>
      </c>
      <c r="F779" s="1" t="s">
        <v>51</v>
      </c>
      <c r="G779" s="1">
        <v>310.0</v>
      </c>
      <c r="H779" s="1" t="s">
        <v>52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53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54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56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57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f t="shared" si="1"/>
        <v>310</v>
      </c>
      <c r="AM779" s="1">
        <v>310.0</v>
      </c>
      <c r="AN779" s="1">
        <v>322.0</v>
      </c>
      <c r="AO779" s="1">
        <v>268.0</v>
      </c>
      <c r="AP779" s="2">
        <v>11.0</v>
      </c>
      <c r="AQ779" s="1">
        <v>42.0</v>
      </c>
      <c r="AR779" s="1">
        <v>42.0</v>
      </c>
      <c r="AS779" s="1" t="s">
        <v>3684</v>
      </c>
      <c r="AT779" s="3" t="str">
        <f>HYPERLINK("https://icf.clappia.com/app/GMB253374/submission/JJN10363706/ICF247370-GMB253374-1m7ipdcjbjoja0000000/SIG-20250701_143313m52g.jpeg", "SIG-20250701_143313m52g.jpeg")</f>
        <v>SIG-20250701_143313m52g.jpeg</v>
      </c>
      <c r="AU779" s="1" t="s">
        <v>3685</v>
      </c>
      <c r="AV779" s="3" t="str">
        <f>HYPERLINK("https://icf.clappia.com/app/GMB253374/submission/JJN10363706/ICF247370-GMB253374-1a8272g666mfi0000000/SIG-20250701_14333i10a.jpeg", "SIG-20250701_14333i10a.jpeg")</f>
        <v>SIG-20250701_14333i10a.jpeg</v>
      </c>
      <c r="AW779" s="1" t="s">
        <v>3686</v>
      </c>
      <c r="AX779" s="3" t="str">
        <f>HYPERLINK("https://icf.clappia.com/app/GMB253374/submission/JJN10363706/ICF247370-GMB253374-25dld07nh8p5a0000000/SIG-20250701_1434lbkm9.jpeg", "SIG-20250701_1434lbkm9.jpeg")</f>
        <v>SIG-20250701_1434lbkm9.jpeg</v>
      </c>
      <c r="AY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2" t="s">
        <v>47</v>
      </c>
      <c r="C780" s="1" t="s">
        <v>3947</v>
      </c>
      <c r="D780" s="1" t="s">
        <v>3947</v>
      </c>
      <c r="E780" s="1" t="s">
        <v>3950</v>
      </c>
      <c r="F780" s="1" t="s">
        <v>51</v>
      </c>
      <c r="G780" s="1">
        <v>250.0</v>
      </c>
      <c r="H780" s="1" t="s">
        <v>52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53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54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56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57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f t="shared" si="1"/>
        <v>229</v>
      </c>
      <c r="AM780" s="1">
        <v>250.0</v>
      </c>
      <c r="AN780" s="1">
        <v>262.0</v>
      </c>
      <c r="AO780" s="1">
        <v>221.0</v>
      </c>
      <c r="AP780" s="2">
        <v>11.0</v>
      </c>
      <c r="AQ780" s="1">
        <v>29.0</v>
      </c>
      <c r="AR780" s="1">
        <v>29.0</v>
      </c>
      <c r="AS780" s="1" t="s">
        <v>3951</v>
      </c>
      <c r="AT780" s="3" t="str">
        <f>HYPERLINK("https://icf.clappia.com/app/GMB253374/submission/JBP93306959/ICF247370-GMB253374-4be31i3l4hpo0000000/SIG-20250701_13381g19j.jpeg", "SIG-20250701_13381g19j.jpeg")</f>
        <v>SIG-20250701_13381g19j.jpeg</v>
      </c>
      <c r="AU780" s="1" t="s">
        <v>3952</v>
      </c>
      <c r="AV780" s="3" t="str">
        <f>HYPERLINK("https://icf.clappia.com/app/GMB253374/submission/JBP93306959/ICF247370-GMB253374-15o1m9i7k4fe80000000/SIG-20250701_1234b6fko.jpeg", "SIG-20250701_1234b6fko.jpeg")</f>
        <v>SIG-20250701_1234b6fko.jpeg</v>
      </c>
      <c r="AW780" s="1" t="s">
        <v>3953</v>
      </c>
      <c r="AX780" s="3" t="str">
        <f>HYPERLINK("https://icf.clappia.com/app/GMB253374/submission/JBP93306959/ICF247370-GMB253374-25nm5mf67ogac0000000/SIG-20250701_1338e9pp7.jpeg", "SIG-20250701_1338e9pp7.jpeg")</f>
        <v>SIG-20250701_1338e9pp7.jpeg</v>
      </c>
      <c r="AY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2" t="s">
        <v>47</v>
      </c>
      <c r="C781" s="1" t="s">
        <v>3955</v>
      </c>
      <c r="D781" s="1" t="s">
        <v>3955</v>
      </c>
      <c r="E781" s="1" t="s">
        <v>3956</v>
      </c>
      <c r="F781" s="1" t="s">
        <v>51</v>
      </c>
      <c r="G781" s="1">
        <v>450.0</v>
      </c>
      <c r="H781" s="1" t="s">
        <v>52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53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54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56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57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f t="shared" si="1"/>
        <v>445</v>
      </c>
      <c r="AM781" s="1">
        <v>450.0</v>
      </c>
      <c r="AN781" s="1">
        <v>462.0</v>
      </c>
      <c r="AO781" s="1">
        <v>424.0</v>
      </c>
      <c r="AP781" s="2">
        <v>11.0</v>
      </c>
      <c r="AQ781" s="1">
        <v>26.0</v>
      </c>
      <c r="AR781" s="1">
        <v>26.0</v>
      </c>
      <c r="AS781" s="1" t="s">
        <v>100</v>
      </c>
      <c r="AT781" s="3" t="str">
        <f>HYPERLINK("https://icf.clappia.com/app/GMB253374/submission/ZHT89184387/ICF247370-GMB253374-14mjgbn6p1j6g0000000/SIG-20250701_141314cf8j.jpeg", "SIG-20250701_141314cf8j.jpeg")</f>
        <v>SIG-20250701_141314cf8j.jpeg</v>
      </c>
      <c r="AU781" s="1" t="s">
        <v>3957</v>
      </c>
      <c r="AV781" s="3" t="str">
        <f>HYPERLINK("https://icf.clappia.com/app/GMB253374/submission/ZHT89184387/ICF247370-GMB253374-5kg5gddn022400000000/SIG-20250701_141415j97n.jpeg", "SIG-20250701_141415j97n.jpeg")</f>
        <v>SIG-20250701_141415j97n.jpeg</v>
      </c>
      <c r="AW781" s="1" t="s">
        <v>3958</v>
      </c>
      <c r="AX781" s="3" t="str">
        <f>HYPERLINK("https://icf.clappia.com/app/GMB253374/submission/ZHT89184387/ICF247370-GMB253374-ndamc363l3eg0000000/SIG-20250701_1415150i43.jpeg", "SIG-20250701_1415150i43.jpeg")</f>
        <v>SIG-20250701_1415150i43.jpeg</v>
      </c>
      <c r="AY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2" t="s">
        <v>47</v>
      </c>
      <c r="C782" s="1" t="s">
        <v>3955</v>
      </c>
      <c r="D782" s="1" t="s">
        <v>3955</v>
      </c>
      <c r="E782" s="1" t="s">
        <v>3960</v>
      </c>
      <c r="F782" s="1" t="s">
        <v>51</v>
      </c>
      <c r="G782" s="1">
        <v>140.0</v>
      </c>
      <c r="H782" s="1" t="s">
        <v>52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53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54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56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57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f t="shared" si="1"/>
        <v>131</v>
      </c>
      <c r="AM782" s="1">
        <v>140.0</v>
      </c>
      <c r="AN782" s="1">
        <v>152.0</v>
      </c>
      <c r="AO782" s="1">
        <v>121.0</v>
      </c>
      <c r="AP782" s="2">
        <v>11.0</v>
      </c>
      <c r="AQ782" s="1">
        <v>19.0</v>
      </c>
      <c r="AR782" s="1">
        <v>19.0</v>
      </c>
      <c r="AS782" s="1" t="s">
        <v>2070</v>
      </c>
      <c r="AT782" s="3" t="str">
        <f>HYPERLINK("https://icf.clappia.com/app/GMB253374/submission/RLN50140199/ICF247370-GMB253374-4lmf73ij9n5c00000000/SIG-20250701_1424lego1.jpeg", "SIG-20250701_1424lego1.jpeg")</f>
        <v>SIG-20250701_1424lego1.jpeg</v>
      </c>
      <c r="AU782" s="1" t="s">
        <v>3961</v>
      </c>
      <c r="AV782" s="3" t="str">
        <f>HYPERLINK("https://icf.clappia.com/app/GMB253374/submission/RLN50140199/ICF247370-GMB253374-4kl7am0l4p6k00000000/SIG-20250701_1426kfh10.jpeg", "SIG-20250701_1426kfh10.jpeg")</f>
        <v>SIG-20250701_1426kfh10.jpeg</v>
      </c>
      <c r="AW782" s="1" t="s">
        <v>2072</v>
      </c>
      <c r="AX782" s="3" t="str">
        <f>HYPERLINK("https://icf.clappia.com/app/GMB253374/submission/RLN50140199/ICF247370-GMB253374-66j022483ce800000000/SIG-20250701_1427l044g.jpeg", "SIG-20250701_1427l044g.jpeg")</f>
        <v>SIG-20250701_1427l044g.jpeg</v>
      </c>
      <c r="AY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2" t="s">
        <v>47</v>
      </c>
      <c r="C783" s="1" t="s">
        <v>117</v>
      </c>
      <c r="D783" s="1" t="s">
        <v>117</v>
      </c>
      <c r="E783" s="1" t="s">
        <v>3963</v>
      </c>
      <c r="F783" s="1" t="s">
        <v>51</v>
      </c>
      <c r="G783" s="1">
        <v>150.0</v>
      </c>
      <c r="H783" s="1" t="s">
        <v>52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53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54</v>
      </c>
      <c r="U783" s="1">
        <v>64.0</v>
      </c>
      <c r="V783" s="1">
        <v>23.0</v>
      </c>
      <c r="W783" s="1">
        <v>23.0</v>
      </c>
      <c r="X783" s="1" t="s">
        <v>55</v>
      </c>
      <c r="Y783" s="1" t="s">
        <v>55</v>
      </c>
      <c r="Z783" s="1" t="s">
        <v>56</v>
      </c>
      <c r="AA783" s="1" t="s">
        <v>55</v>
      </c>
      <c r="AB783" s="1" t="s">
        <v>55</v>
      </c>
      <c r="AC783" s="1" t="s">
        <v>55</v>
      </c>
      <c r="AD783" s="1" t="s">
        <v>55</v>
      </c>
      <c r="AE783" s="1" t="s">
        <v>55</v>
      </c>
      <c r="AF783" s="1" t="s">
        <v>57</v>
      </c>
      <c r="AG783" s="1" t="s">
        <v>55</v>
      </c>
      <c r="AH783" s="1" t="s">
        <v>55</v>
      </c>
      <c r="AI783" s="1" t="s">
        <v>55</v>
      </c>
      <c r="AJ783" s="1" t="s">
        <v>55</v>
      </c>
      <c r="AK783" s="1" t="s">
        <v>55</v>
      </c>
      <c r="AL783" s="1">
        <f t="shared" si="1"/>
        <v>191</v>
      </c>
      <c r="AM783" s="1">
        <v>150.0</v>
      </c>
      <c r="AN783" s="1">
        <v>162.0</v>
      </c>
      <c r="AO783" s="1">
        <v>150.0</v>
      </c>
      <c r="AP783" s="2">
        <v>11.0</v>
      </c>
      <c r="AQ783" s="1">
        <v>0.0</v>
      </c>
      <c r="AR783" s="1">
        <v>0.0</v>
      </c>
      <c r="AS783" s="1" t="s">
        <v>3964</v>
      </c>
      <c r="AT783" s="3" t="str">
        <f>HYPERLINK("https://icf.clappia.com/app/GMB253374/submission/QCH72376822/ICF247370-GMB253374-4ce3cfked58k00000000/SIG-20250630_1522eamei.jpeg", "SIG-20250630_1522eamei.jpeg")</f>
        <v>SIG-20250630_1522eamei.jpeg</v>
      </c>
      <c r="AU783" s="1" t="s">
        <v>3965</v>
      </c>
      <c r="AV783" s="3" t="str">
        <f>HYPERLINK("https://icf.clappia.com/app/GMB253374/submission/QCH72376822/ICF247370-GMB253374-484fiocb6h8c00000000/SIG-20250630_1526me4h7.jpeg", "SIG-20250630_1526me4h7.jpeg")</f>
        <v>SIG-20250630_1526me4h7.jpeg</v>
      </c>
      <c r="AW783" s="1" t="s">
        <v>3966</v>
      </c>
      <c r="AX783" s="3" t="str">
        <f>HYPERLINK("https://icf.clappia.com/app/GMB253374/submission/QCH72376822/ICF247370-GMB253374-36hi9cha162400000000/SIG-20250630_15221ahlo.jpeg", "SIG-20250630_15221ahlo.jpeg")</f>
        <v>SIG-20250630_15221ahlo.jpeg</v>
      </c>
      <c r="AY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2" t="s">
        <v>47</v>
      </c>
      <c r="C784" s="1" t="s">
        <v>3968</v>
      </c>
      <c r="D784" s="1" t="s">
        <v>3968</v>
      </c>
      <c r="E784" s="4" t="s">
        <v>3969</v>
      </c>
      <c r="F784" s="1" t="s">
        <v>51</v>
      </c>
      <c r="G784" s="1">
        <v>60.0</v>
      </c>
      <c r="H784" s="1" t="s">
        <v>52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53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54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56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57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f t="shared" si="1"/>
        <v>37</v>
      </c>
      <c r="AM784" s="1">
        <v>60.0</v>
      </c>
      <c r="AN784" s="1">
        <v>72.0</v>
      </c>
      <c r="AO784" s="1">
        <v>37.0</v>
      </c>
      <c r="AP784" s="2">
        <v>11.0</v>
      </c>
      <c r="AQ784" s="1">
        <v>23.0</v>
      </c>
      <c r="AR784" s="1">
        <v>23.0</v>
      </c>
      <c r="AS784" s="1" t="s">
        <v>3970</v>
      </c>
      <c r="AT784" s="3" t="str">
        <f>HYPERLINK("https://icf.clappia.com/app/GMB253374/submission/UPC49246463/ICF247370-GMB253374-628k1ik1576000000000/SIG-20250701_1423np2f5.jpeg", "SIG-20250701_1423np2f5.jpeg")</f>
        <v>SIG-20250701_1423np2f5.jpeg</v>
      </c>
      <c r="AU784" s="1" t="s">
        <v>3971</v>
      </c>
      <c r="AV784" s="3" t="str">
        <f>HYPERLINK("https://icf.clappia.com/app/GMB253374/submission/UPC49246463/ICF247370-GMB253374-on93bfbb422k0000000/SIG-20250701_142416fbln.jpeg", "SIG-20250701_142416fbln.jpeg")</f>
        <v>SIG-20250701_142416fbln.jpeg</v>
      </c>
      <c r="AW784" s="1" t="s">
        <v>3972</v>
      </c>
      <c r="AX784" s="3" t="str">
        <f>HYPERLINK("https://icf.clappia.com/app/GMB253374/submission/UPC49246463/ICF247370-GMB253374-1djap1hlh7bck0000000/SIG-20250701_1424gbo6.jpeg", "SIG-20250701_1424gbo6.jpeg")</f>
        <v>SIG-20250701_1424gbo6.jpeg</v>
      </c>
      <c r="AY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2" t="s">
        <v>47</v>
      </c>
      <c r="C785" s="1" t="s">
        <v>3968</v>
      </c>
      <c r="D785" s="1" t="s">
        <v>3968</v>
      </c>
      <c r="E785" s="1" t="s">
        <v>3974</v>
      </c>
      <c r="F785" s="1" t="s">
        <v>51</v>
      </c>
      <c r="G785" s="1">
        <v>127.0</v>
      </c>
      <c r="H785" s="1" t="s">
        <v>52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53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54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56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57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f t="shared" si="1"/>
        <v>236</v>
      </c>
      <c r="AM785" s="1">
        <v>127.0</v>
      </c>
      <c r="AN785" s="1">
        <v>139.0</v>
      </c>
      <c r="AO785" s="1">
        <v>100.0</v>
      </c>
      <c r="AP785" s="2">
        <v>11.0</v>
      </c>
      <c r="AQ785" s="1">
        <v>27.0</v>
      </c>
      <c r="AR785" s="1">
        <v>27.0</v>
      </c>
      <c r="AS785" s="1" t="s">
        <v>2613</v>
      </c>
      <c r="AT785" s="3" t="str">
        <f>HYPERLINK("https://icf.clappia.com/app/GMB253374/submission/XZL08594366/ICF247370-GMB253374-2if2poddccig00000000/SIG-20250701_1421112p3n.jpeg", "SIG-20250701_1421112p3n.jpeg")</f>
        <v>SIG-20250701_1421112p3n.jpeg</v>
      </c>
      <c r="AU785" s="1" t="s">
        <v>3975</v>
      </c>
      <c r="AV785" s="3" t="str">
        <f>HYPERLINK("https://icf.clappia.com/app/GMB253374/submission/XZL08594366/ICF247370-GMB253374-dmi19afa3mm40000000/SIG-20250701_142313gppa.jpeg", "SIG-20250701_142313gppa.jpeg")</f>
        <v>SIG-20250701_142313gppa.jpeg</v>
      </c>
      <c r="AW785" s="1" t="s">
        <v>2615</v>
      </c>
      <c r="AX785" s="3" t="str">
        <f>HYPERLINK("https://icf.clappia.com/app/GMB253374/submission/XZL08594366/ICF247370-GMB253374-3jmfilbo2ma600000000/SIG-20250701_142371fpj.jpeg", "SIG-20250701_142371fpj.jpeg")</f>
        <v>SIG-20250701_142371fpj.jpeg</v>
      </c>
      <c r="AY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2" t="s">
        <v>47</v>
      </c>
      <c r="C786" s="1" t="s">
        <v>3968</v>
      </c>
      <c r="D786" s="1" t="s">
        <v>3968</v>
      </c>
      <c r="E786" s="1" t="s">
        <v>3977</v>
      </c>
      <c r="F786" s="1" t="s">
        <v>51</v>
      </c>
      <c r="G786" s="1">
        <v>145.0</v>
      </c>
      <c r="H786" s="1" t="s">
        <v>52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53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54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56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57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f t="shared" si="1"/>
        <v>145</v>
      </c>
      <c r="AM786" s="1">
        <v>145.0</v>
      </c>
      <c r="AN786" s="1">
        <v>157.0</v>
      </c>
      <c r="AO786" s="1">
        <v>138.0</v>
      </c>
      <c r="AP786" s="2">
        <v>11.0</v>
      </c>
      <c r="AQ786" s="1">
        <v>7.0</v>
      </c>
      <c r="AR786" s="1">
        <v>7.0</v>
      </c>
      <c r="AS786" s="1" t="s">
        <v>1481</v>
      </c>
      <c r="AT786" s="3" t="str">
        <f>HYPERLINK("https://icf.clappia.com/app/GMB253374/submission/HZP11065098/ICF247370-GMB253374-2noek7215jni00000000/SIG-20250701_1421156ifg.jpeg", "SIG-20250701_1421156ifg.jpeg")</f>
        <v>SIG-20250701_1421156ifg.jpeg</v>
      </c>
      <c r="AU786" s="1" t="s">
        <v>1482</v>
      </c>
      <c r="AV786" s="3" t="str">
        <f>HYPERLINK("https://icf.clappia.com/app/GMB253374/submission/HZP11065098/ICF247370-GMB253374-37llan8l0j7c00000000/SIG-20250701_1423k62fc.jpeg", "SIG-20250701_1423k62fc.jpeg")</f>
        <v>SIG-20250701_1423k62fc.jpeg</v>
      </c>
      <c r="AW786" s="1" t="s">
        <v>3978</v>
      </c>
      <c r="AX786" s="3" t="str">
        <f>HYPERLINK("https://icf.clappia.com/app/GMB253374/submission/HZP11065098/ICF247370-GMB253374-376fffh82k2c00000000/SIG-20250701_1423c0c34.jpeg", "SIG-20250701_1423c0c34.jpeg")</f>
        <v>SIG-20250701_1423c0c34.jpeg</v>
      </c>
      <c r="AY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2" t="s">
        <v>47</v>
      </c>
      <c r="C787" s="1" t="s">
        <v>3980</v>
      </c>
      <c r="D787" s="1" t="s">
        <v>3980</v>
      </c>
      <c r="E787" s="1" t="s">
        <v>3981</v>
      </c>
      <c r="F787" s="1" t="s">
        <v>51</v>
      </c>
      <c r="G787" s="1">
        <v>179.0</v>
      </c>
      <c r="H787" s="1" t="s">
        <v>52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53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54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56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57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f t="shared" si="1"/>
        <v>163</v>
      </c>
      <c r="AM787" s="1">
        <v>179.0</v>
      </c>
      <c r="AN787" s="1">
        <v>191.0</v>
      </c>
      <c r="AO787" s="1">
        <v>163.0</v>
      </c>
      <c r="AP787" s="2">
        <v>11.0</v>
      </c>
      <c r="AQ787" s="1">
        <v>16.0</v>
      </c>
      <c r="AR787" s="1">
        <v>16.0</v>
      </c>
      <c r="AS787" s="1" t="s">
        <v>3982</v>
      </c>
      <c r="AT787" s="3" t="str">
        <f>HYPERLINK("https://icf.clappia.com/app/GMB253374/submission/NWX69209985/ICF247370-GMB253374-5ghhg64naoc400000000/SIG-20250701_14131pbjo.jpeg", "SIG-20250701_14131pbjo.jpeg")</f>
        <v>SIG-20250701_14131pbjo.jpeg</v>
      </c>
      <c r="AU787" s="1" t="s">
        <v>2608</v>
      </c>
      <c r="AV787" s="3" t="str">
        <f>HYPERLINK("https://icf.clappia.com/app/GMB253374/submission/NWX69209985/ICF247370-GMB253374-3d9pe9b2n6jc00000000/SIG-20250701_1414jdgj5.jpeg", "SIG-20250701_1414jdgj5.jpeg")</f>
        <v>SIG-20250701_1414jdgj5.jpeg</v>
      </c>
      <c r="AW787" s="1" t="s">
        <v>2619</v>
      </c>
      <c r="AX787" s="3" t="str">
        <f>HYPERLINK("https://icf.clappia.com/app/GMB253374/submission/NWX69209985/ICF247370-GMB253374-8ah6d2hn7g88000000/SIG-20250701_1419gc04a.jpeg", "SIG-20250701_1419gc04a.jpeg")</f>
        <v>SIG-20250701_1419gc04a.jpeg</v>
      </c>
      <c r="AY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2" t="s">
        <v>47</v>
      </c>
      <c r="C788" s="1" t="s">
        <v>3984</v>
      </c>
      <c r="D788" s="1" t="s">
        <v>3984</v>
      </c>
      <c r="E788" s="1" t="s">
        <v>3985</v>
      </c>
      <c r="F788" s="1" t="s">
        <v>51</v>
      </c>
      <c r="G788" s="1">
        <v>309.0</v>
      </c>
      <c r="H788" s="1" t="s">
        <v>52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53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54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56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57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f t="shared" si="1"/>
        <v>309</v>
      </c>
      <c r="AM788" s="1">
        <v>309.0</v>
      </c>
      <c r="AN788" s="1">
        <v>321.0</v>
      </c>
      <c r="AO788" s="1">
        <v>305.0</v>
      </c>
      <c r="AP788" s="2">
        <v>11.0</v>
      </c>
      <c r="AQ788" s="1">
        <v>4.0</v>
      </c>
      <c r="AR788" s="1">
        <v>4.0</v>
      </c>
      <c r="AS788" s="1" t="s">
        <v>3986</v>
      </c>
      <c r="AT788" s="3" t="str">
        <f>HYPERLINK("https://icf.clappia.com/app/GMB253374/submission/RCZ40236577/ICF247370-GMB253374-28j09moa5ncdm0000000/SIG-20250701_1353mbaee.jpeg", "SIG-20250701_1353mbaee.jpeg")</f>
        <v>SIG-20250701_1353mbaee.jpeg</v>
      </c>
      <c r="AU788" s="1" t="s">
        <v>1889</v>
      </c>
      <c r="AV788" s="3" t="str">
        <f>HYPERLINK("https://icf.clappia.com/app/GMB253374/submission/RCZ40236577/ICF247370-GMB253374-2fpgaaa7aa4c00000000/SIG-20250701_1356hbiph.jpeg", "SIG-20250701_1356hbiph.jpeg")</f>
        <v>SIG-20250701_1356hbiph.jpeg</v>
      </c>
      <c r="AW788" s="1" t="s">
        <v>3987</v>
      </c>
      <c r="AX788" s="3" t="str">
        <f>HYPERLINK("https://icf.clappia.com/app/GMB253374/submission/RCZ40236577/ICF247370-GMB253374-6707jgf5gd4c00000000/SIG-20250701_14155a4je.jpeg", "SIG-20250701_14155a4je.jpeg")</f>
        <v>SIG-20250701_14155a4je.jpeg</v>
      </c>
      <c r="AY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2" t="s">
        <v>47</v>
      </c>
      <c r="C789" s="1" t="s">
        <v>3989</v>
      </c>
      <c r="D789" s="1" t="s">
        <v>3989</v>
      </c>
      <c r="E789" s="1" t="s">
        <v>3990</v>
      </c>
      <c r="F789" s="1" t="s">
        <v>51</v>
      </c>
      <c r="G789" s="1">
        <v>250.0</v>
      </c>
      <c r="H789" s="1" t="s">
        <v>52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53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54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56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57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f t="shared" si="1"/>
        <v>260</v>
      </c>
      <c r="AM789" s="1">
        <v>250.0</v>
      </c>
      <c r="AN789" s="1">
        <v>262.0</v>
      </c>
      <c r="AO789" s="1">
        <v>224.0</v>
      </c>
      <c r="AP789" s="2">
        <v>11.0</v>
      </c>
      <c r="AQ789" s="1">
        <v>26.0</v>
      </c>
      <c r="AR789" s="1">
        <v>26.0</v>
      </c>
      <c r="AS789" s="1" t="s">
        <v>1038</v>
      </c>
      <c r="AT789" s="3" t="str">
        <f>HYPERLINK("https://icf.clappia.com/app/GMB253374/submission/EYZ08890963/ICF247370-GMB253374-eaeg6iaha9n60000000/SIG-20250630_130540e1i.jpeg", "SIG-20250630_130540e1i.jpeg")</f>
        <v>SIG-20250630_130540e1i.jpeg</v>
      </c>
      <c r="AU789" s="1" t="s">
        <v>1039</v>
      </c>
      <c r="AV789" s="3" t="str">
        <f>HYPERLINK("https://icf.clappia.com/app/GMB253374/submission/EYZ08890963/ICF247370-GMB253374-12lged6blph680000000/SIG-20250630_1304c13do.jpeg", "SIG-20250630_1304c13do.jpeg")</f>
        <v>SIG-20250630_1304c13do.jpeg</v>
      </c>
      <c r="AW789" s="1" t="s">
        <v>3991</v>
      </c>
      <c r="AX789" s="3" t="str">
        <f>HYPERLINK("https://icf.clappia.com/app/GMB253374/submission/EYZ08890963/ICF247370-GMB253374-3dd7h258eh6g00000000/SIG-20250630_130318e8a4.jpeg", "SIG-20250630_130318e8a4.jpeg")</f>
        <v>SIG-20250630_130318e8a4.jpeg</v>
      </c>
      <c r="AY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2" t="s">
        <v>47</v>
      </c>
      <c r="C790" s="1" t="s">
        <v>3993</v>
      </c>
      <c r="D790" s="1" t="s">
        <v>3993</v>
      </c>
      <c r="E790" s="1" t="s">
        <v>3994</v>
      </c>
      <c r="F790" s="1" t="s">
        <v>51</v>
      </c>
      <c r="G790" s="1">
        <v>366.0</v>
      </c>
      <c r="H790" s="1" t="s">
        <v>52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53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54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56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57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f t="shared" si="1"/>
        <v>366</v>
      </c>
      <c r="AM790" s="1">
        <v>366.0</v>
      </c>
      <c r="AN790" s="1">
        <v>378.0</v>
      </c>
      <c r="AO790" s="1">
        <v>316.0</v>
      </c>
      <c r="AP790" s="2">
        <v>11.0</v>
      </c>
      <c r="AQ790" s="1">
        <v>50.0</v>
      </c>
      <c r="AR790" s="1">
        <v>50.0</v>
      </c>
      <c r="AS790" s="1" t="s">
        <v>3800</v>
      </c>
      <c r="AT790" s="3" t="str">
        <f>HYPERLINK("https://icf.clappia.com/app/GMB253374/submission/NMI36098300/ICF247370-GMB253374-2j3k21ielhjk00000000/SIG-20250701_14169616p.jpeg", "SIG-20250701_14169616p.jpeg")</f>
        <v>SIG-20250701_14169616p.jpeg</v>
      </c>
      <c r="AU790" s="1" t="s">
        <v>3995</v>
      </c>
      <c r="AV790" s="3" t="str">
        <f>HYPERLINK("https://icf.clappia.com/app/GMB253374/submission/NMI36098300/ICF247370-GMB253374-4ec3990325c800000000/SIG-20250701_141715go4c.jpeg", "SIG-20250701_141715go4c.jpeg")</f>
        <v>SIG-20250701_141715go4c.jpeg</v>
      </c>
      <c r="AW790" s="1" t="s">
        <v>3996</v>
      </c>
      <c r="AX790" s="3" t="str">
        <f>HYPERLINK("https://icf.clappia.com/app/GMB253374/submission/NMI36098300/ICF247370-GMB253374-3l1jj804ncpi00000000/SIG-20250701_14176nhk2.jpeg", "SIG-20250701_14176nhk2.jpeg")</f>
        <v>SIG-20250701_14176nhk2.jpeg</v>
      </c>
      <c r="AY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2" t="s">
        <v>47</v>
      </c>
      <c r="C791" s="1" t="s">
        <v>3998</v>
      </c>
      <c r="D791" s="1" t="s">
        <v>3993</v>
      </c>
      <c r="E791" s="1" t="s">
        <v>3999</v>
      </c>
      <c r="F791" s="1" t="s">
        <v>51</v>
      </c>
      <c r="G791" s="1">
        <v>200.0</v>
      </c>
      <c r="H791" s="1" t="s">
        <v>52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53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54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56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57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f t="shared" si="1"/>
        <v>232</v>
      </c>
      <c r="AM791" s="1">
        <v>200.0</v>
      </c>
      <c r="AN791" s="1">
        <v>212.0</v>
      </c>
      <c r="AO791" s="1">
        <v>166.0</v>
      </c>
      <c r="AP791" s="2">
        <v>11.0</v>
      </c>
      <c r="AQ791" s="1">
        <v>34.0</v>
      </c>
      <c r="AR791" s="1">
        <v>34.0</v>
      </c>
      <c r="AS791" s="1" t="s">
        <v>4000</v>
      </c>
      <c r="AT791" s="3" t="str">
        <f>HYPERLINK("https://icf.clappia.com/app/GMB253374/submission/HJS31996133/ICF247370-GMB253374-30ieoh6dpfe200000000/SIG-20250701_130244hgj.jpeg", "SIG-20250701_130244hgj.jpeg")</f>
        <v>SIG-20250701_130244hgj.jpeg</v>
      </c>
      <c r="AU791" s="1" t="s">
        <v>4001</v>
      </c>
      <c r="AV791" s="3" t="str">
        <f>HYPERLINK("https://icf.clappia.com/app/GMB253374/submission/HJS31996133/ICF247370-GMB253374-5m7bk3lel2og00000000/SIG-20250701_1302ch0.jpeg", "SIG-20250701_1302ch0.jpeg")</f>
        <v>SIG-20250701_1302ch0.jpeg</v>
      </c>
      <c r="AW791" s="1" t="s">
        <v>4002</v>
      </c>
      <c r="AX791" s="3" t="str">
        <f>HYPERLINK("https://icf.clappia.com/app/GMB253374/submission/HJS31996133/ICF247370-GMB253374-2alebkjoichi80000000/SIG-20250701_1302ajjga.jpeg", "SIG-20250701_1302ajjga.jpeg")</f>
        <v>SIG-20250701_1302ajjga.jpeg</v>
      </c>
      <c r="AY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2" t="s">
        <v>47</v>
      </c>
      <c r="C792" s="1" t="s">
        <v>3993</v>
      </c>
      <c r="D792" s="1" t="s">
        <v>3993</v>
      </c>
      <c r="E792" s="1" t="s">
        <v>4004</v>
      </c>
      <c r="F792" s="1" t="s">
        <v>51</v>
      </c>
      <c r="G792" s="1">
        <v>228.0</v>
      </c>
      <c r="H792" s="1" t="s">
        <v>52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53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54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56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57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f t="shared" si="1"/>
        <v>228</v>
      </c>
      <c r="AM792" s="1">
        <v>228.0</v>
      </c>
      <c r="AN792" s="1">
        <v>240.0</v>
      </c>
      <c r="AO792" s="1">
        <v>145.0</v>
      </c>
      <c r="AP792" s="2">
        <v>11.0</v>
      </c>
      <c r="AQ792" s="1">
        <v>83.0</v>
      </c>
      <c r="AR792" s="1">
        <v>83.0</v>
      </c>
      <c r="AS792" s="1" t="s">
        <v>4005</v>
      </c>
      <c r="AT792" s="3" t="str">
        <f>HYPERLINK("https://icf.clappia.com/app/GMB253374/submission/VVS87610458/ICF247370-GMB253374-69lko36enne400000000/SIG-20250701_14177hbik.jpeg", "SIG-20250701_14177hbik.jpeg")</f>
        <v>SIG-20250701_14177hbik.jpeg</v>
      </c>
      <c r="AU792" s="1" t="s">
        <v>3166</v>
      </c>
      <c r="AV792" s="3" t="str">
        <f>HYPERLINK("https://icf.clappia.com/app/GMB253374/submission/VVS87610458/ICF247370-GMB253374-4b2pd18ccgfm00000000/SIG-20250701_14174edfi.jpeg", "SIG-20250701_14174edfi.jpeg")</f>
        <v>SIG-20250701_14174edfi.jpeg</v>
      </c>
      <c r="AW792" s="1" t="s">
        <v>3167</v>
      </c>
      <c r="AX792" s="3" t="str">
        <f>HYPERLINK("https://icf.clappia.com/app/GMB253374/submission/VVS87610458/ICF247370-GMB253374-3pe84hcjdnek00000000/SIG-20250701_14171aan35.jpeg", "SIG-20250701_14171aan35.jpeg")</f>
        <v>SIG-20250701_14171aan35.jpeg</v>
      </c>
      <c r="AY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2" t="s">
        <v>47</v>
      </c>
      <c r="C793" s="1" t="s">
        <v>4007</v>
      </c>
      <c r="D793" s="1" t="s">
        <v>4007</v>
      </c>
      <c r="E793" s="1" t="s">
        <v>4008</v>
      </c>
      <c r="F793" s="1" t="s">
        <v>51</v>
      </c>
      <c r="G793" s="1">
        <v>400.0</v>
      </c>
      <c r="H793" s="1" t="s">
        <v>52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53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54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56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57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f t="shared" si="1"/>
        <v>331</v>
      </c>
      <c r="AM793" s="1">
        <v>400.0</v>
      </c>
      <c r="AN793" s="1">
        <v>412.0</v>
      </c>
      <c r="AO793" s="1">
        <v>326.0</v>
      </c>
      <c r="AP793" s="2">
        <v>11.0</v>
      </c>
      <c r="AQ793" s="1">
        <v>74.0</v>
      </c>
      <c r="AR793" s="1">
        <v>74.0</v>
      </c>
      <c r="AS793" s="1" t="s">
        <v>598</v>
      </c>
      <c r="AT793" s="3" t="str">
        <f>HYPERLINK("https://icf.clappia.com/app/GMB253374/submission/LIF31121688/ICF247370-GMB253374-64l9djo0p8c800000000/SIG-20250701_1416gb2j2.jpeg", "SIG-20250701_1416gb2j2.jpeg")</f>
        <v>SIG-20250701_1416gb2j2.jpeg</v>
      </c>
      <c r="AU793" s="1" t="s">
        <v>4009</v>
      </c>
      <c r="AV793" s="3" t="str">
        <f>HYPERLINK("https://icf.clappia.com/app/GMB253374/submission/LIF31121688/ICF247370-GMB253374-636h02fcacec00000000/SIG-20250701_1416fkmgm.jpeg", "SIG-20250701_1416fkmgm.jpeg")</f>
        <v>SIG-20250701_1416fkmgm.jpeg</v>
      </c>
      <c r="AW793" s="1" t="s">
        <v>4010</v>
      </c>
      <c r="AX793" s="3" t="str">
        <f>HYPERLINK("https://icf.clappia.com/app/GMB253374/submission/LIF31121688/ICF247370-GMB253374-1egb1m0d8khn60000000/SIG-20250701_1417bkinh.jpeg", "SIG-20250701_1417bkinh.jpeg")</f>
        <v>SIG-20250701_1417bkinh.jpeg</v>
      </c>
      <c r="AY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2" t="s">
        <v>47</v>
      </c>
      <c r="C794" s="1" t="s">
        <v>4012</v>
      </c>
      <c r="D794" s="1" t="s">
        <v>4012</v>
      </c>
      <c r="E794" s="1" t="s">
        <v>4013</v>
      </c>
      <c r="F794" s="1" t="s">
        <v>51</v>
      </c>
      <c r="G794" s="1">
        <v>298.0</v>
      </c>
      <c r="H794" s="1" t="s">
        <v>52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53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54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56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57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f t="shared" si="1"/>
        <v>293</v>
      </c>
      <c r="AM794" s="1">
        <v>298.0</v>
      </c>
      <c r="AN794" s="1">
        <v>310.0</v>
      </c>
      <c r="AO794" s="1">
        <v>293.0</v>
      </c>
      <c r="AP794" s="2">
        <v>11.0</v>
      </c>
      <c r="AQ794" s="1">
        <v>5.0</v>
      </c>
      <c r="AR794" s="1">
        <v>5.0</v>
      </c>
      <c r="AS794" s="1" t="s">
        <v>4014</v>
      </c>
      <c r="AT794" s="3" t="str">
        <f>HYPERLINK("https://icf.clappia.com/app/GMB253374/submission/SVW97221115/ICF247370-GMB253374-611ikoofbhme00000000/SIG-20250701_141110c6hp.jpeg", "SIG-20250701_141110c6hp.jpeg")</f>
        <v>SIG-20250701_141110c6hp.jpeg</v>
      </c>
      <c r="AU794" s="1" t="s">
        <v>4015</v>
      </c>
      <c r="AV794" s="3" t="str">
        <f>HYPERLINK("https://icf.clappia.com/app/GMB253374/submission/SVW97221115/ICF247370-GMB253374-5605db7lng0m00000000/SIG-20250701_14121iojp.jpeg", "SIG-20250701_14121iojp.jpeg")</f>
        <v>SIG-20250701_14121iojp.jpeg</v>
      </c>
      <c r="AW794" s="1" t="s">
        <v>4016</v>
      </c>
      <c r="AX794" s="3" t="str">
        <f>HYPERLINK("https://icf.clappia.com/app/GMB253374/submission/SVW97221115/ICF247370-GMB253374-2ek0f5oggnlc00000000/SIG-20250701_1412m195g.jpeg", "SIG-20250701_1412m195g.jpeg")</f>
        <v>SIG-20250701_1412m195g.jpeg</v>
      </c>
      <c r="AY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2" t="s">
        <v>47</v>
      </c>
      <c r="C795" s="1" t="s">
        <v>4018</v>
      </c>
      <c r="D795" s="1" t="s">
        <v>4018</v>
      </c>
      <c r="E795" s="1" t="s">
        <v>4019</v>
      </c>
      <c r="F795" s="1" t="s">
        <v>51</v>
      </c>
      <c r="G795" s="1">
        <v>500.0</v>
      </c>
      <c r="H795" s="1" t="s">
        <v>52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53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54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56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57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f t="shared" si="1"/>
        <v>494</v>
      </c>
      <c r="AM795" s="1">
        <v>500.0</v>
      </c>
      <c r="AN795" s="1">
        <v>512.0</v>
      </c>
      <c r="AO795" s="1">
        <v>486.0</v>
      </c>
      <c r="AP795" s="2">
        <v>11.0</v>
      </c>
      <c r="AQ795" s="1">
        <v>14.0</v>
      </c>
      <c r="AR795" s="1">
        <v>14.0</v>
      </c>
      <c r="AS795" s="1" t="s">
        <v>4020</v>
      </c>
      <c r="AT795" s="3" t="str">
        <f>HYPERLINK("https://icf.clappia.com/app/GMB253374/submission/CAY46484892/ICF247370-GMB253374-152j60khecl180000000/SIG-20250701_1400fp5ig.jpeg", "SIG-20250701_1400fp5ig.jpeg")</f>
        <v>SIG-20250701_1400fp5ig.jpeg</v>
      </c>
      <c r="AU795" s="1" t="s">
        <v>4021</v>
      </c>
      <c r="AV795" s="3" t="str">
        <f>HYPERLINK("https://icf.clappia.com/app/GMB253374/submission/CAY46484892/ICF247370-GMB253374-4i67g78ec6mo00000000/SIG-20250701_140313jjd9.jpeg", "SIG-20250701_140313jjd9.jpeg")</f>
        <v>SIG-20250701_140313jjd9.jpeg</v>
      </c>
      <c r="AW795" s="1" t="s">
        <v>4022</v>
      </c>
      <c r="AX795" s="3" t="str">
        <f>HYPERLINK("https://icf.clappia.com/app/GMB253374/submission/CAY46484892/ICF247370-GMB253374-2kb2d2l6p2ie00000000/SIG-20250701_1401af0dk.jpeg", "SIG-20250701_1401af0dk.jpeg")</f>
        <v>SIG-20250701_1401af0dk.jpeg</v>
      </c>
      <c r="AY795" s="3" t="str">
        <f t="shared" ref="AY795:AY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2" t="s">
        <v>47</v>
      </c>
      <c r="C796" s="1" t="s">
        <v>4018</v>
      </c>
      <c r="D796" s="1" t="s">
        <v>4018</v>
      </c>
      <c r="E796" s="1" t="s">
        <v>4024</v>
      </c>
      <c r="F796" s="1" t="s">
        <v>51</v>
      </c>
      <c r="G796" s="1">
        <v>5003.0</v>
      </c>
      <c r="H796" s="1" t="s">
        <v>52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53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54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56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57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f t="shared" si="1"/>
        <v>494</v>
      </c>
      <c r="AM796" s="1">
        <v>5003.0</v>
      </c>
      <c r="AN796" s="1">
        <v>5015.0</v>
      </c>
      <c r="AO796" s="1">
        <v>486.0</v>
      </c>
      <c r="AP796" s="2">
        <v>11.0</v>
      </c>
      <c r="AQ796" s="1">
        <v>4517.0</v>
      </c>
      <c r="AR796" s="1">
        <v>4517.0</v>
      </c>
      <c r="AS796" s="1" t="s">
        <v>4025</v>
      </c>
      <c r="AT796" s="3" t="str">
        <f>HYPERLINK("https://icf.clappia.com/app/GMB253374/submission/VBP63894239/ICF247370-GMB253374-48adljb6h1k000000000/SIG-20250630_145010ok60.jpeg", "SIG-20250630_145010ok60.jpeg")</f>
        <v>SIG-20250630_145010ok60.jpeg</v>
      </c>
      <c r="AU796" s="1" t="s">
        <v>4026</v>
      </c>
      <c r="AV796" s="3" t="str">
        <f>HYPERLINK("https://icf.clappia.com/app/GMB253374/submission/VBP63894239/ICF247370-GMB253374-g8cl3llf8p600000000/SIG-20250630_1453deb5m.jpeg", "SIG-20250630_1453deb5m.jpeg")</f>
        <v>SIG-20250630_1453deb5m.jpeg</v>
      </c>
      <c r="AW796" s="1" t="s">
        <v>4027</v>
      </c>
      <c r="AX796" s="3" t="str">
        <f>HYPERLINK("https://icf.clappia.com/app/GMB253374/submission/VBP63894239/ICF247370-GMB253374-55398jfph6k400000000/SIG-20250630_1454cjo83.jpeg", "SIG-20250630_1454cjo83.jpeg")</f>
        <v>SIG-20250630_1454cjo83.jpeg</v>
      </c>
      <c r="AY796" s="3" t="str">
        <f t="shared" si="8"/>
        <v>7.9642912,-11.7205297</v>
      </c>
    </row>
    <row r="797" ht="15.75" customHeight="1">
      <c r="A797" s="1" t="s">
        <v>4028</v>
      </c>
      <c r="B797" s="2" t="s">
        <v>47</v>
      </c>
      <c r="C797" s="1" t="s">
        <v>4029</v>
      </c>
      <c r="D797" s="1" t="s">
        <v>4029</v>
      </c>
      <c r="E797" s="1" t="s">
        <v>4030</v>
      </c>
      <c r="F797" s="1" t="s">
        <v>51</v>
      </c>
      <c r="G797" s="1">
        <v>150.0</v>
      </c>
      <c r="H797" s="1" t="s">
        <v>52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53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54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56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57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f t="shared" si="1"/>
        <v>283</v>
      </c>
      <c r="AM797" s="1">
        <v>150.0</v>
      </c>
      <c r="AN797" s="1">
        <v>162.0</v>
      </c>
      <c r="AO797" s="1">
        <v>75.0</v>
      </c>
      <c r="AP797" s="2">
        <v>11.0</v>
      </c>
      <c r="AQ797" s="1">
        <v>75.0</v>
      </c>
      <c r="AR797" s="1">
        <v>75.0</v>
      </c>
      <c r="AS797" s="1" t="s">
        <v>1034</v>
      </c>
      <c r="AT797" s="3" t="str">
        <f>HYPERLINK("https://icf.clappia.com/app/GMB253374/submission/XZY29224123/ICF247370-GMB253374-48mdagp34b2i00000000/SIG-20250701_12497a497.jpeg", "SIG-20250701_12497a497.jpeg")</f>
        <v>SIG-20250701_12497a497.jpeg</v>
      </c>
      <c r="AU797" s="1" t="s">
        <v>4031</v>
      </c>
      <c r="AV797" s="3" t="str">
        <f>HYPERLINK("https://icf.clappia.com/app/GMB253374/submission/XZY29224123/ICF247370-GMB253374-28cg5g91enim40000000/SIG-20250701_125016bcoa.jpeg", "SIG-20250701_125016bcoa.jpeg")</f>
        <v>SIG-20250701_125016bcoa.jpeg</v>
      </c>
      <c r="AW797" s="1" t="s">
        <v>1032</v>
      </c>
      <c r="AX797" s="3" t="str">
        <f>HYPERLINK("https://icf.clappia.com/app/GMB253374/submission/XZY29224123/ICF247370-GMB253374-5750i4bejo8g00000000/SIG-20250701_1250176ebi.jpeg", "SIG-20250701_1250176ebi.jpeg")</f>
        <v>SIG-20250701_1250176ebi.jpeg</v>
      </c>
      <c r="AY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2" t="s">
        <v>47</v>
      </c>
      <c r="C798" s="1" t="s">
        <v>4033</v>
      </c>
      <c r="D798" s="1" t="s">
        <v>4033</v>
      </c>
      <c r="E798" s="1" t="s">
        <v>4034</v>
      </c>
      <c r="F798" s="1" t="s">
        <v>51</v>
      </c>
      <c r="G798" s="1">
        <v>450.0</v>
      </c>
      <c r="H798" s="1" t="s">
        <v>52</v>
      </c>
      <c r="I798" s="1">
        <v>221.0</v>
      </c>
      <c r="J798" s="1">
        <v>221.0</v>
      </c>
      <c r="K798" s="1">
        <v>177.0</v>
      </c>
      <c r="L798" s="1" t="s">
        <v>55</v>
      </c>
      <c r="M798" s="1" t="s">
        <v>55</v>
      </c>
      <c r="N798" s="1" t="s">
        <v>53</v>
      </c>
      <c r="O798" s="1">
        <v>137.0</v>
      </c>
      <c r="P798" s="1">
        <v>137.0</v>
      </c>
      <c r="Q798" s="1">
        <v>111.0</v>
      </c>
      <c r="R798" s="1" t="s">
        <v>55</v>
      </c>
      <c r="S798" s="1" t="s">
        <v>55</v>
      </c>
      <c r="T798" s="1" t="s">
        <v>54</v>
      </c>
      <c r="U798" s="1">
        <v>163.0</v>
      </c>
      <c r="V798" s="1">
        <v>163.0</v>
      </c>
      <c r="W798" s="1">
        <v>137.0</v>
      </c>
      <c r="X798" s="1" t="s">
        <v>55</v>
      </c>
      <c r="Y798" s="1" t="s">
        <v>55</v>
      </c>
      <c r="Z798" s="1" t="s">
        <v>56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55</v>
      </c>
      <c r="AF798" s="1" t="s">
        <v>57</v>
      </c>
      <c r="AG798" s="1" t="s">
        <v>55</v>
      </c>
      <c r="AH798" s="1" t="s">
        <v>55</v>
      </c>
      <c r="AI798" s="1" t="s">
        <v>55</v>
      </c>
      <c r="AJ798" s="1" t="s">
        <v>55</v>
      </c>
      <c r="AK798" s="1" t="s">
        <v>55</v>
      </c>
      <c r="AL798" s="1">
        <f t="shared" si="1"/>
        <v>521</v>
      </c>
      <c r="AM798" s="1">
        <v>450.0</v>
      </c>
      <c r="AN798" s="1">
        <v>462.0</v>
      </c>
      <c r="AO798" s="1">
        <v>425.0</v>
      </c>
      <c r="AP798" s="2">
        <v>11.0</v>
      </c>
      <c r="AQ798" s="1">
        <v>25.0</v>
      </c>
      <c r="AR798" s="1">
        <v>25.0</v>
      </c>
      <c r="AS798" s="1" t="s">
        <v>2245</v>
      </c>
      <c r="AT798" s="3" t="str">
        <f>HYPERLINK("https://icf.clappia.com/app/GMB253374/submission/WHN19985499/ICF247370-GMB253374-31pad4a8dnp600000000/SIG-20250701_13471831bi.jpeg", "SIG-20250701_13471831bi.jpeg")</f>
        <v>SIG-20250701_13471831bi.jpeg</v>
      </c>
      <c r="AU798" s="1" t="s">
        <v>2246</v>
      </c>
      <c r="AV798" s="3" t="str">
        <f>HYPERLINK("https://icf.clappia.com/app/GMB253374/submission/WHN19985499/ICF247370-GMB253374-2pg4iekejn7800000000/SIG-20250701_140515i5e4.jpeg", "SIG-20250701_140515i5e4.jpeg")</f>
        <v>SIG-20250701_140515i5e4.jpeg</v>
      </c>
      <c r="AW798" s="1" t="s">
        <v>4035</v>
      </c>
      <c r="AX798" s="3" t="str">
        <f>HYPERLINK("https://icf.clappia.com/app/GMB253374/submission/WHN19985499/ICF247370-GMB253374-63lc95ohmdmi00000000/SIG-20250701_1406mg0n6.jpeg", "SIG-20250701_1406mg0n6.jpeg")</f>
        <v>SIG-20250701_1406mg0n6.jpeg</v>
      </c>
      <c r="AY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2" t="s">
        <v>47</v>
      </c>
      <c r="C799" s="1" t="s">
        <v>4033</v>
      </c>
      <c r="D799" s="1" t="s">
        <v>4033</v>
      </c>
      <c r="E799" s="1" t="s">
        <v>4037</v>
      </c>
      <c r="F799" s="1" t="s">
        <v>51</v>
      </c>
      <c r="G799" s="1">
        <v>258.0</v>
      </c>
      <c r="H799" s="1" t="s">
        <v>52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53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54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56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57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f t="shared" si="1"/>
        <v>258</v>
      </c>
      <c r="AM799" s="1">
        <v>258.0</v>
      </c>
      <c r="AN799" s="1">
        <v>270.0</v>
      </c>
      <c r="AO799" s="1">
        <v>258.0</v>
      </c>
      <c r="AP799" s="2">
        <v>11.0</v>
      </c>
      <c r="AQ799" s="1">
        <v>0.0</v>
      </c>
      <c r="AR799" s="1">
        <v>0.0</v>
      </c>
      <c r="AS799" s="1" t="s">
        <v>4038</v>
      </c>
      <c r="AT799" s="3" t="str">
        <f>HYPERLINK("https://icf.clappia.com/app/GMB253374/submission/HQS48882272/ICF247370-GMB253374-6180f55odl4k00000000/SIG-20250701_1349hd0j6.jpeg", "SIG-20250701_1349hd0j6.jpeg")</f>
        <v>SIG-20250701_1349hd0j6.jpeg</v>
      </c>
      <c r="AU799" s="1" t="s">
        <v>4039</v>
      </c>
      <c r="AV799" s="3" t="str">
        <f>HYPERLINK("https://icf.clappia.com/app/GMB253374/submission/HQS48882272/ICF247370-GMB253374-2hj73hj1opoo00000000/SIG-20250701_1350mf4mb.jpeg", "SIG-20250701_1350mf4mb.jpeg")</f>
        <v>SIG-20250701_1350mf4mb.jpeg</v>
      </c>
      <c r="AW799" s="1" t="s">
        <v>4040</v>
      </c>
      <c r="AX799" s="3" t="str">
        <f>HYPERLINK("https://icf.clappia.com/app/GMB253374/submission/HQS48882272/ICF247370-GMB253374-3k1poo0mp5h800000000/SIG-20250701_1350815mn.jpeg", "SIG-20250701_1350815mn.jpeg")</f>
        <v>SIG-20250701_1350815mn.jpeg</v>
      </c>
      <c r="AY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2" t="s">
        <v>47</v>
      </c>
      <c r="C800" s="1" t="s">
        <v>4042</v>
      </c>
      <c r="D800" s="1" t="s">
        <v>4042</v>
      </c>
      <c r="E800" s="1" t="s">
        <v>4043</v>
      </c>
      <c r="F800" s="1" t="s">
        <v>51</v>
      </c>
      <c r="G800" s="1">
        <v>160.0</v>
      </c>
      <c r="H800" s="1" t="s">
        <v>52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53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54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56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57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f t="shared" si="1"/>
        <v>153</v>
      </c>
      <c r="AM800" s="1">
        <v>160.0</v>
      </c>
      <c r="AN800" s="1">
        <v>172.0</v>
      </c>
      <c r="AO800" s="1">
        <v>153.0</v>
      </c>
      <c r="AP800" s="2">
        <v>11.0</v>
      </c>
      <c r="AQ800" s="1">
        <v>7.0</v>
      </c>
      <c r="AR800" s="1">
        <v>7.0</v>
      </c>
      <c r="AS800" s="1" t="s">
        <v>1240</v>
      </c>
      <c r="AT800" s="3" t="str">
        <f>HYPERLINK("https://icf.clappia.com/app/GMB253374/submission/HOD76171841/ICF247370-GMB253374-f1h1c188oboc0000000/SIG-20250701_1018jil7c.jpeg", "SIG-20250701_1018jil7c.jpeg")</f>
        <v>SIG-20250701_1018jil7c.jpeg</v>
      </c>
      <c r="AU800" s="1" t="s">
        <v>1241</v>
      </c>
      <c r="AV800" s="3" t="str">
        <f>HYPERLINK("https://icf.clappia.com/app/GMB253374/submission/HOD76171841/ICF247370-GMB253374-27nif1mon0c2i000000/SIG-20250701_10191hg7m.jpeg", "SIG-20250701_10191hg7m.jpeg")</f>
        <v>SIG-20250701_10191hg7m.jpeg</v>
      </c>
      <c r="AW800" s="1" t="s">
        <v>1242</v>
      </c>
      <c r="AX800" s="3" t="str">
        <f>HYPERLINK("https://icf.clappia.com/app/GMB253374/submission/HOD76171841/ICF247370-GMB253374-4dng94ghag5800000000/SIG-20250701_1019k2ic9.jpeg", "SIG-20250701_1019k2ic9.jpeg")</f>
        <v>SIG-20250701_1019k2ic9.jpeg</v>
      </c>
      <c r="AY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2" t="s">
        <v>47</v>
      </c>
      <c r="C801" s="1" t="s">
        <v>4045</v>
      </c>
      <c r="D801" s="1" t="s">
        <v>4045</v>
      </c>
      <c r="E801" s="1" t="s">
        <v>4046</v>
      </c>
      <c r="F801" s="1" t="s">
        <v>51</v>
      </c>
      <c r="G801" s="1">
        <v>50.0</v>
      </c>
      <c r="H801" s="1" t="s">
        <v>52</v>
      </c>
      <c r="I801" s="1" t="s">
        <v>55</v>
      </c>
      <c r="J801" s="1" t="s">
        <v>55</v>
      </c>
      <c r="K801" s="1" t="s">
        <v>55</v>
      </c>
      <c r="L801" s="1" t="s">
        <v>55</v>
      </c>
      <c r="M801" s="1" t="s">
        <v>55</v>
      </c>
      <c r="N801" s="1" t="s">
        <v>53</v>
      </c>
      <c r="O801" s="1" t="s">
        <v>55</v>
      </c>
      <c r="P801" s="1" t="s">
        <v>55</v>
      </c>
      <c r="Q801" s="1" t="s">
        <v>55</v>
      </c>
      <c r="R801" s="1" t="s">
        <v>55</v>
      </c>
      <c r="S801" s="1" t="s">
        <v>55</v>
      </c>
      <c r="T801" s="1" t="s">
        <v>54</v>
      </c>
      <c r="U801" s="1" t="s">
        <v>55</v>
      </c>
      <c r="V801" s="1" t="s">
        <v>55</v>
      </c>
      <c r="W801" s="1" t="s">
        <v>55</v>
      </c>
      <c r="X801" s="1" t="s">
        <v>55</v>
      </c>
      <c r="Y801" s="1" t="s">
        <v>55</v>
      </c>
      <c r="Z801" s="1" t="s">
        <v>56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57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f t="shared" si="1"/>
        <v>53</v>
      </c>
      <c r="AM801" s="1">
        <v>50.0</v>
      </c>
      <c r="AN801" s="1">
        <v>62.0</v>
      </c>
      <c r="AO801" s="1">
        <v>45.0</v>
      </c>
      <c r="AP801" s="2">
        <v>11.0</v>
      </c>
      <c r="AQ801" s="1">
        <v>5.0</v>
      </c>
      <c r="AR801" s="1">
        <v>5.0</v>
      </c>
      <c r="AS801" s="1" t="s">
        <v>4047</v>
      </c>
      <c r="AT801" s="3" t="str">
        <f>HYPERLINK("https://icf.clappia.com/app/GMB253374/submission/IKX41432456/ICF247370-GMB253374-4dmkg8j00phg00000000/SIG-20250701_135941fkd.jpeg", "SIG-20250701_135941fkd.jpeg")</f>
        <v>SIG-20250701_135941fkd.jpeg</v>
      </c>
      <c r="AU801" s="1" t="s">
        <v>4048</v>
      </c>
      <c r="AV801" s="3" t="str">
        <f>HYPERLINK("https://icf.clappia.com/app/GMB253374/submission/IKX41432456/ICF247370-GMB253374-30cm1be06p1600000000/SIG-20250701_13594jm6o.jpeg", "SIG-20250701_13594jm6o.jpeg")</f>
        <v>SIG-20250701_13594jm6o.jpeg</v>
      </c>
      <c r="AW801" s="1" t="s">
        <v>4049</v>
      </c>
      <c r="AX801" s="3" t="str">
        <f>HYPERLINK("https://icf.clappia.com/app/GMB253374/submission/IKX41432456/ICF247370-GMB253374-5al3g8b7g12200000000/SIG-20250701_14001ablkp.jpeg", "SIG-20250701_14001ablkp.jpeg")</f>
        <v>SIG-20250701_14001ablkp.jpeg</v>
      </c>
      <c r="AY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2" t="s">
        <v>47</v>
      </c>
      <c r="C802" s="1" t="s">
        <v>4045</v>
      </c>
      <c r="D802" s="1" t="s">
        <v>4045</v>
      </c>
      <c r="E802" s="1" t="s">
        <v>4051</v>
      </c>
      <c r="F802" s="1" t="s">
        <v>51</v>
      </c>
      <c r="G802" s="1">
        <v>275.0</v>
      </c>
      <c r="H802" s="1" t="s">
        <v>52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53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54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56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57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f t="shared" si="1"/>
        <v>273</v>
      </c>
      <c r="AM802" s="1">
        <v>275.0</v>
      </c>
      <c r="AN802" s="1">
        <v>287.0</v>
      </c>
      <c r="AO802" s="1">
        <v>273.0</v>
      </c>
      <c r="AP802" s="2">
        <v>11.0</v>
      </c>
      <c r="AQ802" s="1">
        <v>2.0</v>
      </c>
      <c r="AR802" s="1">
        <v>2.0</v>
      </c>
      <c r="AS802" s="1" t="s">
        <v>4052</v>
      </c>
      <c r="AT802" s="3" t="str">
        <f>HYPERLINK("https://icf.clappia.com/app/GMB253374/submission/EAF64304405/ICF247370-GMB253374-4if0edhih2jm00000000/SIG-20250701_1358g7eg1.jpeg", "SIG-20250701_1358g7eg1.jpeg")</f>
        <v>SIG-20250701_1358g7eg1.jpeg</v>
      </c>
      <c r="AU802" s="1" t="s">
        <v>4053</v>
      </c>
      <c r="AV802" s="3" t="str">
        <f>HYPERLINK("https://icf.clappia.com/app/GMB253374/submission/EAF64304405/ICF247370-GMB253374-3hlljp64p89000000000/SIG-20250701_1358116ola.jpeg", "SIG-20250701_1358116ola.jpeg")</f>
        <v>SIG-20250701_1358116ola.jpeg</v>
      </c>
      <c r="AW802" s="1" t="s">
        <v>4054</v>
      </c>
      <c r="AX802" s="3" t="str">
        <f>HYPERLINK("https://icf.clappia.com/app/GMB253374/submission/EAF64304405/ICF247370-GMB253374-3pmhajckc20400000000/SIG-20250701_14015ec2j.jpeg", "SIG-20250701_14015ec2j.jpeg")</f>
        <v>SIG-20250701_14015ec2j.jpeg</v>
      </c>
      <c r="AY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2" t="s">
        <v>47</v>
      </c>
      <c r="C803" s="1" t="s">
        <v>4056</v>
      </c>
      <c r="D803" s="1" t="s">
        <v>4056</v>
      </c>
      <c r="E803" s="1" t="s">
        <v>4057</v>
      </c>
      <c r="F803" s="1" t="s">
        <v>51</v>
      </c>
      <c r="G803" s="1">
        <v>150.0</v>
      </c>
      <c r="H803" s="1" t="s">
        <v>52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53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54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56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55</v>
      </c>
      <c r="AF803" s="1" t="s">
        <v>57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f t="shared" si="1"/>
        <v>187</v>
      </c>
      <c r="AM803" s="1">
        <v>150.0</v>
      </c>
      <c r="AN803" s="1">
        <v>162.0</v>
      </c>
      <c r="AO803" s="1">
        <v>50.0</v>
      </c>
      <c r="AP803" s="2">
        <v>11.0</v>
      </c>
      <c r="AQ803" s="1">
        <v>100.0</v>
      </c>
      <c r="AR803" s="1">
        <v>100.0</v>
      </c>
      <c r="AS803" s="1" t="s">
        <v>1050</v>
      </c>
      <c r="AT803" s="3" t="str">
        <f>HYPERLINK("https://icf.clappia.com/app/GMB253374/submission/KKZ55319948/ICF247370-GMB253374-5eop1525215200000000/SIG-20250701_125767onb.jpeg", "SIG-20250701_125767onb.jpeg")</f>
        <v>SIG-20250701_125767onb.jpeg</v>
      </c>
      <c r="AU803" s="1" t="s">
        <v>1049</v>
      </c>
      <c r="AV803" s="3" t="str">
        <f>HYPERLINK("https://icf.clappia.com/app/GMB253374/submission/KKZ55319948/ICF247370-GMB253374-613pgmooiio200000000/SIG-20250701_1256kmg1.jpeg", "SIG-20250701_1256kmg1.jpeg")</f>
        <v>SIG-20250701_1256kmg1.jpeg</v>
      </c>
      <c r="AW803" s="1" t="s">
        <v>4058</v>
      </c>
      <c r="AX803" s="3" t="str">
        <f>HYPERLINK("https://icf.clappia.com/app/GMB253374/submission/KKZ55319948/ICF247370-GMB253374-1cc8g6clkh0720000000/SIG-20250701_12554cfgo.jpeg", "SIG-20250701_12554cfgo.jpeg")</f>
        <v>SIG-20250701_12554cfgo.jpeg</v>
      </c>
      <c r="AY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2" t="s">
        <v>47</v>
      </c>
      <c r="C804" s="1" t="s">
        <v>4060</v>
      </c>
      <c r="D804" s="1" t="s">
        <v>4060</v>
      </c>
      <c r="E804" s="1" t="s">
        <v>4061</v>
      </c>
      <c r="F804" s="1" t="s">
        <v>51</v>
      </c>
      <c r="G804" s="1">
        <v>130.0</v>
      </c>
      <c r="H804" s="1" t="s">
        <v>52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53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54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56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57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f t="shared" si="1"/>
        <v>130</v>
      </c>
      <c r="AM804" s="1">
        <v>130.0</v>
      </c>
      <c r="AN804" s="1">
        <v>142.0</v>
      </c>
      <c r="AO804" s="1">
        <v>130.0</v>
      </c>
      <c r="AP804" s="2">
        <v>11.0</v>
      </c>
      <c r="AQ804" s="1">
        <v>0.0</v>
      </c>
      <c r="AR804" s="1">
        <v>0.0</v>
      </c>
      <c r="AS804" s="1" t="s">
        <v>2744</v>
      </c>
      <c r="AT804" s="3" t="str">
        <f>HYPERLINK("https://icf.clappia.com/app/GMB253374/submission/TUG07260458/ICF247370-GMB253374-1d7bdk2plk28o0000000/SIG-20250701_1347pplp1.jpeg", "SIG-20250701_1347pplp1.jpeg")</f>
        <v>SIG-20250701_1347pplp1.jpeg</v>
      </c>
      <c r="AU804" s="1" t="s">
        <v>4062</v>
      </c>
      <c r="AV804" s="3" t="str">
        <f>HYPERLINK("https://icf.clappia.com/app/GMB253374/submission/TUG07260458/ICF247370-GMB253374-589c8g5fl12000000000/SIG-20250701_13471a9pif.jpeg", "SIG-20250701_13471a9pif.jpeg")</f>
        <v>SIG-20250701_13471a9pif.jpeg</v>
      </c>
      <c r="AW804" s="1" t="s">
        <v>2746</v>
      </c>
      <c r="AX804" s="3" t="str">
        <f>HYPERLINK("https://icf.clappia.com/app/GMB253374/submission/TUG07260458/ICF247370-GMB253374-l8nlokn6oelm0000000/SIG-20250701_13476p6a5.jpeg", "SIG-20250701_13476p6a5.jpeg")</f>
        <v>SIG-20250701_13476p6a5.jpeg</v>
      </c>
      <c r="AY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2" t="s">
        <v>47</v>
      </c>
      <c r="C805" s="1" t="s">
        <v>4064</v>
      </c>
      <c r="D805" s="1" t="s">
        <v>4064</v>
      </c>
      <c r="E805" s="1" t="s">
        <v>4065</v>
      </c>
      <c r="F805" s="1" t="s">
        <v>51</v>
      </c>
      <c r="G805" s="1">
        <v>212.0</v>
      </c>
      <c r="H805" s="1" t="s">
        <v>52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53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54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56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57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f t="shared" si="1"/>
        <v>227</v>
      </c>
      <c r="AM805" s="1">
        <v>212.0</v>
      </c>
      <c r="AN805" s="1">
        <v>224.0</v>
      </c>
      <c r="AO805" s="1">
        <v>212.0</v>
      </c>
      <c r="AP805" s="2">
        <v>11.0</v>
      </c>
      <c r="AQ805" s="1">
        <v>0.0</v>
      </c>
      <c r="AR805" s="1">
        <v>0.0</v>
      </c>
      <c r="AS805" s="1" t="s">
        <v>4066</v>
      </c>
      <c r="AT805" s="3" t="str">
        <f>HYPERLINK("https://icf.clappia.com/app/GMB253374/submission/PTF59759654/ICF247370-GMB253374-gfi6khn47oo80000000/SIG-20250701_0920165cc3.jpeg", "SIG-20250701_0920165cc3.jpeg")</f>
        <v>SIG-20250701_0920165cc3.jpeg</v>
      </c>
      <c r="AU805" s="1" t="s">
        <v>4067</v>
      </c>
      <c r="AV805" s="3" t="str">
        <f>HYPERLINK("https://icf.clappia.com/app/GMB253374/submission/PTF59759654/ICF247370-GMB253374-51b6l61a13he00000000/SIG-20250701_12011437jd.jpeg", "SIG-20250701_12011437jd.jpeg")</f>
        <v>SIG-20250701_12011437jd.jpeg</v>
      </c>
      <c r="AW805" s="1" t="s">
        <v>4068</v>
      </c>
      <c r="AX805" s="3" t="str">
        <f>HYPERLINK("https://icf.clappia.com/app/GMB253374/submission/PTF59759654/ICF247370-GMB253374-fik6pdjn88ek0000000/SIG-20250701_1200mfkh.jpeg", "SIG-20250701_1200mfkh.jpeg")</f>
        <v>SIG-20250701_1200mfkh.jpeg</v>
      </c>
      <c r="AY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2" t="s">
        <v>47</v>
      </c>
      <c r="C806" s="1" t="s">
        <v>4070</v>
      </c>
      <c r="D806" s="1" t="s">
        <v>4070</v>
      </c>
      <c r="E806" s="1" t="s">
        <v>4071</v>
      </c>
      <c r="F806" s="1" t="s">
        <v>51</v>
      </c>
      <c r="G806" s="1">
        <v>183.0</v>
      </c>
      <c r="H806" s="1" t="s">
        <v>52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53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54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56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57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f t="shared" si="1"/>
        <v>190</v>
      </c>
      <c r="AM806" s="1">
        <v>183.0</v>
      </c>
      <c r="AN806" s="1">
        <v>195.0</v>
      </c>
      <c r="AO806" s="1">
        <v>173.0</v>
      </c>
      <c r="AP806" s="2">
        <v>11.0</v>
      </c>
      <c r="AQ806" s="1">
        <v>10.0</v>
      </c>
      <c r="AR806" s="1">
        <v>10.0</v>
      </c>
      <c r="AS806" s="1" t="s">
        <v>1782</v>
      </c>
      <c r="AT806" s="3" t="str">
        <f>HYPERLINK("https://icf.clappia.com/app/GMB253374/submission/FQZ29092863/ICF247370-GMB253374-5j8hcehliioo00000000/SIG-20250630_181513pi4l.jpeg", "SIG-20250630_181513pi4l.jpeg")</f>
        <v>SIG-20250630_181513pi4l.jpeg</v>
      </c>
      <c r="AU806" s="1" t="s">
        <v>4072</v>
      </c>
      <c r="AV806" s="3" t="str">
        <f>HYPERLINK("https://icf.clappia.com/app/GMB253374/submission/FQZ29092863/ICF247370-GMB253374-34p7mcibn8bm00000000/SIG-20250630_18164l4c1.jpeg", "SIG-20250630_18164l4c1.jpeg")</f>
        <v>SIG-20250630_18164l4c1.jpeg</v>
      </c>
      <c r="AW806" s="1" t="s">
        <v>4073</v>
      </c>
      <c r="AX806" s="3" t="str">
        <f>HYPERLINK("https://icf.clappia.com/app/GMB253374/submission/FQZ29092863/ICF247370-GMB253374-5aah1cm9feoi00000000/SIG-20250630_182411f186.jpeg", "SIG-20250630_182411f186.jpeg")</f>
        <v>SIG-20250630_182411f186.jpeg</v>
      </c>
      <c r="AY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2" t="s">
        <v>47</v>
      </c>
      <c r="C807" s="1" t="s">
        <v>4075</v>
      </c>
      <c r="D807" s="1" t="s">
        <v>4075</v>
      </c>
      <c r="E807" s="1" t="s">
        <v>4076</v>
      </c>
      <c r="F807" s="1" t="s">
        <v>51</v>
      </c>
      <c r="G807" s="1">
        <v>100.0</v>
      </c>
      <c r="H807" s="1" t="s">
        <v>52</v>
      </c>
      <c r="I807" s="1" t="s">
        <v>55</v>
      </c>
      <c r="J807" s="1" t="s">
        <v>55</v>
      </c>
      <c r="K807" s="1" t="s">
        <v>55</v>
      </c>
      <c r="L807" s="1" t="s">
        <v>55</v>
      </c>
      <c r="M807" s="1" t="s">
        <v>55</v>
      </c>
      <c r="N807" s="1" t="s">
        <v>53</v>
      </c>
      <c r="O807" s="1" t="s">
        <v>55</v>
      </c>
      <c r="P807" s="1" t="s">
        <v>55</v>
      </c>
      <c r="Q807" s="1" t="s">
        <v>55</v>
      </c>
      <c r="R807" s="1" t="s">
        <v>55</v>
      </c>
      <c r="S807" s="1" t="s">
        <v>55</v>
      </c>
      <c r="T807" s="1" t="s">
        <v>54</v>
      </c>
      <c r="U807" s="1" t="s">
        <v>55</v>
      </c>
      <c r="V807" s="1" t="s">
        <v>55</v>
      </c>
      <c r="W807" s="1" t="s">
        <v>55</v>
      </c>
      <c r="X807" s="1" t="s">
        <v>55</v>
      </c>
      <c r="Y807" s="1" t="s">
        <v>55</v>
      </c>
      <c r="Z807" s="1" t="s">
        <v>56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57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f t="shared" si="1"/>
        <v>100</v>
      </c>
      <c r="AM807" s="1">
        <v>100.0</v>
      </c>
      <c r="AN807" s="1">
        <v>112.0</v>
      </c>
      <c r="AO807" s="1">
        <v>100.0</v>
      </c>
      <c r="AP807" s="2">
        <v>11.0</v>
      </c>
      <c r="AQ807" s="1">
        <v>0.0</v>
      </c>
      <c r="AR807" s="1">
        <v>0.0</v>
      </c>
      <c r="AS807" s="1" t="s">
        <v>4077</v>
      </c>
      <c r="AT807" s="3" t="str">
        <f>HYPERLINK("https://icf.clappia.com/app/GMB253374/submission/IDT25782609/ICF247370-GMB253374-38fj2l5p2b5000000000/SIG-20250701_1334200hd.jpeg", "SIG-20250701_1334200hd.jpeg")</f>
        <v>SIG-20250701_1334200hd.jpeg</v>
      </c>
      <c r="AU807" s="1" t="s">
        <v>828</v>
      </c>
      <c r="AV807" s="3" t="str">
        <f>HYPERLINK("https://icf.clappia.com/app/GMB253374/submission/IDT25782609/ICF247370-GMB253374-2eg3cbahal0a00000000/SIG-20250701_1335136deo.jpeg", "SIG-20250701_1335136deo.jpeg")</f>
        <v>SIG-20250701_1335136deo.jpeg</v>
      </c>
      <c r="AW807" s="1" t="s">
        <v>829</v>
      </c>
      <c r="AX807" s="3" t="str">
        <f>HYPERLINK("https://icf.clappia.com/app/GMB253374/submission/IDT25782609/ICF247370-GMB253374-37of01d0m8n400000000/SIG-20250701_1336l5jg7.jpeg", "SIG-20250701_1336l5jg7.jpeg")</f>
        <v>SIG-20250701_1336l5jg7.jpeg</v>
      </c>
      <c r="AY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2" t="s">
        <v>47</v>
      </c>
      <c r="C808" s="1" t="s">
        <v>4079</v>
      </c>
      <c r="D808" s="1" t="s">
        <v>578</v>
      </c>
      <c r="E808" s="1" t="s">
        <v>4080</v>
      </c>
      <c r="F808" s="1" t="s">
        <v>51</v>
      </c>
      <c r="G808" s="1">
        <v>266.0</v>
      </c>
      <c r="H808" s="1" t="s">
        <v>52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53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54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56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57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f t="shared" si="1"/>
        <v>266</v>
      </c>
      <c r="AM808" s="1">
        <v>266.0</v>
      </c>
      <c r="AN808" s="1">
        <v>278.0</v>
      </c>
      <c r="AO808" s="1">
        <v>266.0</v>
      </c>
      <c r="AP808" s="2">
        <v>11.0</v>
      </c>
      <c r="AQ808" s="1">
        <v>0.0</v>
      </c>
      <c r="AR808" s="1">
        <v>0.0</v>
      </c>
      <c r="AS808" s="1" t="s">
        <v>4081</v>
      </c>
      <c r="AT808" s="3" t="str">
        <f>HYPERLINK("https://icf.clappia.com/app/GMB253374/submission/QNP65120162/ICF247370-GMB253374-3b4a4ek36phk00000000/SIG-20250630_1432apfdj.jpeg", "SIG-20250630_1432apfdj.jpeg")</f>
        <v>SIG-20250630_1432apfdj.jpeg</v>
      </c>
      <c r="AU808" s="1" t="s">
        <v>4062</v>
      </c>
      <c r="AV808" s="3" t="str">
        <f>HYPERLINK("https://icf.clappia.com/app/GMB253374/submission/QNP65120162/ICF247370-GMB253374-31gf8a8319ig00000000/SIG-20250630_143314ebg9.jpeg", "SIG-20250630_143314ebg9.jpeg")</f>
        <v>SIG-20250630_143314ebg9.jpeg</v>
      </c>
      <c r="AW808" s="1" t="s">
        <v>4082</v>
      </c>
      <c r="AX808" s="3" t="str">
        <f>HYPERLINK("https://icf.clappia.com/app/GMB253374/submission/QNP65120162/ICF247370-GMB253374-199enaoho37je0000000/SIG-20250630_14349e7j5.jpeg", "SIG-20250630_14349e7j5.jpeg")</f>
        <v>SIG-20250630_14349e7j5.jpeg</v>
      </c>
      <c r="AY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2" t="s">
        <v>47</v>
      </c>
      <c r="C809" s="1" t="s">
        <v>4084</v>
      </c>
      <c r="D809" s="1" t="s">
        <v>4084</v>
      </c>
      <c r="E809" s="1" t="s">
        <v>4085</v>
      </c>
      <c r="F809" s="1" t="s">
        <v>51</v>
      </c>
      <c r="G809" s="1">
        <v>274.0</v>
      </c>
      <c r="H809" s="1" t="s">
        <v>52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53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54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56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57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f t="shared" si="1"/>
        <v>260</v>
      </c>
      <c r="AM809" s="1">
        <v>274.0</v>
      </c>
      <c r="AN809" s="1">
        <v>286.0</v>
      </c>
      <c r="AO809" s="1">
        <v>250.0</v>
      </c>
      <c r="AP809" s="2">
        <v>11.0</v>
      </c>
      <c r="AQ809" s="1">
        <v>24.0</v>
      </c>
      <c r="AR809" s="1">
        <v>24.0</v>
      </c>
      <c r="AS809" s="1" t="s">
        <v>3487</v>
      </c>
      <c r="AT809" s="3" t="str">
        <f>HYPERLINK("https://icf.clappia.com/app/GMB253374/submission/MID30833270/ICF247370-GMB253374-40oic1cafike0000000/SIG-20250701_132917kfl2.jpeg", "SIG-20250701_132917kfl2.jpeg")</f>
        <v>SIG-20250701_132917kfl2.jpeg</v>
      </c>
      <c r="AU809" s="1" t="s">
        <v>4086</v>
      </c>
      <c r="AV809" s="3" t="str">
        <f>HYPERLINK("https://icf.clappia.com/app/GMB253374/submission/MID30833270/ICF247370-GMB253374-6b3799bmc67a00000000/SIG-20250701_1331185g1i.jpeg", "SIG-20250701_1331185g1i.jpeg")</f>
        <v>SIG-20250701_1331185g1i.jpeg</v>
      </c>
      <c r="AW809" s="1" t="s">
        <v>4087</v>
      </c>
      <c r="AX809" s="3" t="str">
        <f>HYPERLINK("https://icf.clappia.com/app/GMB253374/submission/MID30833270/ICF247370-GMB253374-2j2no24jlp6m00000000/SIG-20250701_133113oig7.jpeg", "SIG-20250701_133113oig7.jpeg")</f>
        <v>SIG-20250701_133113oig7.jpeg</v>
      </c>
      <c r="AY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2" t="s">
        <v>47</v>
      </c>
      <c r="C810" s="1" t="s">
        <v>4089</v>
      </c>
      <c r="D810" s="1" t="s">
        <v>4089</v>
      </c>
      <c r="E810" s="1" t="s">
        <v>4090</v>
      </c>
      <c r="F810" s="1" t="s">
        <v>51</v>
      </c>
      <c r="G810" s="1">
        <v>198.0</v>
      </c>
      <c r="H810" s="1" t="s">
        <v>52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53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54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56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57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f t="shared" si="1"/>
        <v>255</v>
      </c>
      <c r="AM810" s="1">
        <v>198.0</v>
      </c>
      <c r="AN810" s="1">
        <v>210.0</v>
      </c>
      <c r="AO810" s="1">
        <v>198.0</v>
      </c>
      <c r="AP810" s="2">
        <v>11.0</v>
      </c>
      <c r="AQ810" s="1">
        <v>0.0</v>
      </c>
      <c r="AR810" s="1">
        <v>0.0</v>
      </c>
      <c r="AS810" s="1" t="s">
        <v>2001</v>
      </c>
      <c r="AT810" s="3" t="str">
        <f>HYPERLINK("https://icf.clappia.com/app/GMB253374/submission/KMD63552483/ICF247370-GMB253374-4dcn06dlle8k00000000/SIG-20250701_1209efm6d.jpeg", "SIG-20250701_1209efm6d.jpeg")</f>
        <v>SIG-20250701_1209efm6d.jpeg</v>
      </c>
      <c r="AU810" s="1" t="s">
        <v>2002</v>
      </c>
      <c r="AV810" s="3" t="str">
        <f>HYPERLINK("https://icf.clappia.com/app/GMB253374/submission/KMD63552483/ICF247370-GMB253374-5h4jjnb05bm600000000/SIG-20250701_1209153l43.jpeg", "SIG-20250701_1209153l43.jpeg")</f>
        <v>SIG-20250701_1209153l43.jpeg</v>
      </c>
      <c r="AW810" s="1" t="s">
        <v>3124</v>
      </c>
      <c r="AX810" s="3" t="str">
        <f>HYPERLINK("https://icf.clappia.com/app/GMB253374/submission/KMD63552483/ICF247370-GMB253374-42362apmai0m00000000/SIG-20250701_1210o291.jpeg", "SIG-20250701_1210o291.jpeg")</f>
        <v>SIG-20250701_1210o291.jpeg</v>
      </c>
      <c r="AY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2" t="s">
        <v>47</v>
      </c>
      <c r="C811" s="1" t="s">
        <v>4092</v>
      </c>
      <c r="D811" s="1" t="s">
        <v>4092</v>
      </c>
      <c r="E811" s="1" t="s">
        <v>4093</v>
      </c>
      <c r="F811" s="1" t="s">
        <v>51</v>
      </c>
      <c r="G811" s="1">
        <v>261.0</v>
      </c>
      <c r="H811" s="1" t="s">
        <v>52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53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54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56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57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f t="shared" si="1"/>
        <v>235</v>
      </c>
      <c r="AM811" s="1">
        <v>261.0</v>
      </c>
      <c r="AN811" s="1">
        <v>273.0</v>
      </c>
      <c r="AO811" s="1">
        <v>165.0</v>
      </c>
      <c r="AP811" s="2">
        <v>11.0</v>
      </c>
      <c r="AQ811" s="1">
        <v>96.0</v>
      </c>
      <c r="AR811" s="1">
        <v>96.0</v>
      </c>
      <c r="AS811" s="1" t="s">
        <v>3318</v>
      </c>
      <c r="AT811" s="3" t="str">
        <f>HYPERLINK("https://icf.clappia.com/app/GMB253374/submission/HFB43322471/ICF247370-GMB253374-3la66f374fc400000000/SIG-20250701_1328122281.jpeg", "SIG-20250701_1328122281.jpeg")</f>
        <v>SIG-20250701_1328122281.jpeg</v>
      </c>
      <c r="AU811" s="1" t="s">
        <v>3319</v>
      </c>
      <c r="AV811" s="3" t="str">
        <f>HYPERLINK("https://icf.clappia.com/app/GMB253374/submission/HFB43322471/ICF247370-GMB253374-66ohp26eblm200000000/SIG-20250701_1329dabp9.jpeg", "SIG-20250701_1329dabp9.jpeg")</f>
        <v>SIG-20250701_1329dabp9.jpeg</v>
      </c>
      <c r="AW811" s="1" t="s">
        <v>4094</v>
      </c>
      <c r="AX811" s="3" t="str">
        <f>HYPERLINK("https://icf.clappia.com/app/GMB253374/submission/HFB43322471/ICF247370-GMB253374-1ma9inem8fcc00000000/SIG-20250701_13291173gm.jpeg", "SIG-20250701_13291173gm.jpeg")</f>
        <v>SIG-20250701_13291173gm.jpeg</v>
      </c>
      <c r="AY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2" t="s">
        <v>47</v>
      </c>
      <c r="C812" s="1" t="s">
        <v>4092</v>
      </c>
      <c r="D812" s="1" t="s">
        <v>4092</v>
      </c>
      <c r="E812" s="1" t="s">
        <v>4096</v>
      </c>
      <c r="F812" s="1" t="s">
        <v>51</v>
      </c>
      <c r="G812" s="1">
        <v>350.0</v>
      </c>
      <c r="H812" s="1" t="s">
        <v>52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53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54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56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57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f t="shared" si="1"/>
        <v>383</v>
      </c>
      <c r="AM812" s="1">
        <v>350.0</v>
      </c>
      <c r="AN812" s="1">
        <v>362.0</v>
      </c>
      <c r="AO812" s="1">
        <v>313.0</v>
      </c>
      <c r="AP812" s="2">
        <v>11.0</v>
      </c>
      <c r="AQ812" s="1">
        <v>37.0</v>
      </c>
      <c r="AR812" s="1">
        <v>37.0</v>
      </c>
      <c r="AS812" s="1" t="s">
        <v>2729</v>
      </c>
      <c r="AT812" s="3" t="str">
        <f>HYPERLINK("https://icf.clappia.com/app/GMB253374/submission/RDS21701228/ICF247370-GMB253374-5n1ko1oj2m3i00000000/SIG-20250701_1328kmhg4.jpeg", "SIG-20250701_1328kmhg4.jpeg")</f>
        <v>SIG-20250701_1328kmhg4.jpeg</v>
      </c>
      <c r="AU812" s="1" t="s">
        <v>4097</v>
      </c>
      <c r="AV812" s="3" t="str">
        <f>HYPERLINK("https://icf.clappia.com/app/GMB253374/submission/RDS21701228/ICF247370-GMB253374-1p58jllb1a9oi0000000/SIG-20250701_132918e7n5.jpeg", "SIG-20250701_132918e7n5.jpeg")</f>
        <v>SIG-20250701_132918e7n5.jpeg</v>
      </c>
      <c r="AW812" s="1" t="s">
        <v>4098</v>
      </c>
      <c r="AX812" s="3" t="str">
        <f>HYPERLINK("https://icf.clappia.com/app/GMB253374/submission/RDS21701228/ICF247370-GMB253374-5n9h0pk865ae00000000/SIG-20250701_1329d3gib.jpeg", "SIG-20250701_1329d3gib.jpeg")</f>
        <v>SIG-20250701_1329d3gib.jpeg</v>
      </c>
      <c r="AY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2" t="s">
        <v>47</v>
      </c>
      <c r="C813" s="1" t="s">
        <v>411</v>
      </c>
      <c r="D813" s="1" t="s">
        <v>411</v>
      </c>
      <c r="E813" s="1" t="s">
        <v>4100</v>
      </c>
      <c r="F813" s="1" t="s">
        <v>51</v>
      </c>
      <c r="G813" s="1">
        <v>150.0</v>
      </c>
      <c r="H813" s="1" t="s">
        <v>52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53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54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56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57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f t="shared" si="1"/>
        <v>150</v>
      </c>
      <c r="AM813" s="1">
        <v>150.0</v>
      </c>
      <c r="AN813" s="1">
        <v>162.0</v>
      </c>
      <c r="AO813" s="1">
        <v>145.0</v>
      </c>
      <c r="AP813" s="2">
        <v>11.0</v>
      </c>
      <c r="AQ813" s="1">
        <v>5.0</v>
      </c>
      <c r="AR813" s="1">
        <v>5.0</v>
      </c>
      <c r="AS813" s="1" t="s">
        <v>2258</v>
      </c>
      <c r="AT813" s="3" t="str">
        <f>HYPERLINK("https://icf.clappia.com/app/GMB253374/submission/DHS42668262/ICF247370-GMB253374-57nj05ekbkkk00000000/SIG-20250701_132516njnd.jpeg", "SIG-20250701_132516njnd.jpeg")</f>
        <v>SIG-20250701_132516njnd.jpeg</v>
      </c>
      <c r="AU813" s="1" t="s">
        <v>2259</v>
      </c>
      <c r="AV813" s="3" t="str">
        <f>HYPERLINK("https://icf.clappia.com/app/GMB253374/submission/DHS42668262/ICF247370-GMB253374-4k8m53npc33m00000000/SIG-20250701_1326fed9n.jpeg", "SIG-20250701_1326fed9n.jpeg")</f>
        <v>SIG-20250701_1326fed9n.jpeg</v>
      </c>
      <c r="AW813" s="1" t="s">
        <v>2876</v>
      </c>
      <c r="AX813" s="3" t="str">
        <f>HYPERLINK("https://icf.clappia.com/app/GMB253374/submission/DHS42668262/ICF247370-GMB253374-5am547j0643m00000000/SIG-20250701_13261igib.jpeg", "SIG-20250701_13261igib.jpeg")</f>
        <v>SIG-20250701_13261igib.jpeg</v>
      </c>
      <c r="AY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2" t="s">
        <v>47</v>
      </c>
      <c r="C814" s="1" t="s">
        <v>4102</v>
      </c>
      <c r="D814" s="1" t="s">
        <v>4102</v>
      </c>
      <c r="E814" s="1" t="s">
        <v>4103</v>
      </c>
      <c r="F814" s="1" t="s">
        <v>51</v>
      </c>
      <c r="G814" s="1">
        <v>116.0</v>
      </c>
      <c r="H814" s="1" t="s">
        <v>52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53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54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56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57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f t="shared" si="1"/>
        <v>116</v>
      </c>
      <c r="AM814" s="1">
        <v>116.0</v>
      </c>
      <c r="AN814" s="1">
        <v>128.0</v>
      </c>
      <c r="AO814" s="1">
        <v>96.0</v>
      </c>
      <c r="AP814" s="2">
        <v>11.0</v>
      </c>
      <c r="AQ814" s="1">
        <v>20.0</v>
      </c>
      <c r="AR814" s="1">
        <v>20.0</v>
      </c>
      <c r="AS814" s="1" t="s">
        <v>4104</v>
      </c>
      <c r="AT814" s="3" t="str">
        <f>HYPERLINK("https://icf.clappia.com/app/GMB253374/submission/EEW20728330/ICF247370-GMB253374-3gnfna582iga00000000/SIG-20250701_1323md3ca.jpeg", "SIG-20250701_1323md3ca.jpeg")</f>
        <v>SIG-20250701_1323md3ca.jpeg</v>
      </c>
      <c r="AU814" s="1" t="s">
        <v>2226</v>
      </c>
      <c r="AV814" s="3" t="str">
        <f>HYPERLINK("https://icf.clappia.com/app/GMB253374/submission/EEW20728330/ICF247370-GMB253374-49fg3jc3m8jk00000000/SIG-20250701_1324149ldn.jpeg", "SIG-20250701_1324149ldn.jpeg")</f>
        <v>SIG-20250701_1324149ldn.jpeg</v>
      </c>
      <c r="AW814" s="1" t="s">
        <v>4105</v>
      </c>
      <c r="AX814" s="3" t="str">
        <f>HYPERLINK("https://icf.clappia.com/app/GMB253374/submission/EEW20728330/ICF247370-GMB253374-kagp4lj4ken80000000/SIG-20250701_1325gib60.jpeg", "SIG-20250701_1325gib60.jpeg")</f>
        <v>SIG-20250701_1325gib60.jpeg</v>
      </c>
      <c r="AY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2" t="s">
        <v>47</v>
      </c>
      <c r="C815" s="1" t="s">
        <v>4102</v>
      </c>
      <c r="D815" s="1" t="s">
        <v>4102</v>
      </c>
      <c r="E815" s="1" t="s">
        <v>4107</v>
      </c>
      <c r="F815" s="1" t="s">
        <v>51</v>
      </c>
      <c r="G815" s="1">
        <v>127.0</v>
      </c>
      <c r="H815" s="1" t="s">
        <v>52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53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54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56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55</v>
      </c>
      <c r="AF815" s="1" t="s">
        <v>57</v>
      </c>
      <c r="AG815" s="1" t="s">
        <v>55</v>
      </c>
      <c r="AH815" s="1" t="s">
        <v>55</v>
      </c>
      <c r="AI815" s="1" t="s">
        <v>55</v>
      </c>
      <c r="AJ815" s="1" t="s">
        <v>55</v>
      </c>
      <c r="AK815" s="1" t="s">
        <v>55</v>
      </c>
      <c r="AL815" s="1">
        <f t="shared" si="1"/>
        <v>127</v>
      </c>
      <c r="AM815" s="1">
        <v>127.0</v>
      </c>
      <c r="AN815" s="1">
        <v>139.0</v>
      </c>
      <c r="AO815" s="1">
        <v>127.0</v>
      </c>
      <c r="AP815" s="2">
        <v>11.0</v>
      </c>
      <c r="AQ815" s="1">
        <v>0.0</v>
      </c>
      <c r="AR815" s="1">
        <v>0.0</v>
      </c>
      <c r="AS815" s="1" t="s">
        <v>1945</v>
      </c>
      <c r="AT815" s="3" t="str">
        <f>HYPERLINK("https://icf.clappia.com/app/GMB253374/submission/MMJ07473587/ICF247370-GMB253374-kjbp2hhgap440000000/SIG-20250701_125019b00h.jpeg", "SIG-20250701_125019b00h.jpeg")</f>
        <v>SIG-20250701_125019b00h.jpeg</v>
      </c>
      <c r="AU815" s="1" t="s">
        <v>1946</v>
      </c>
      <c r="AV815" s="3" t="str">
        <f>HYPERLINK("https://icf.clappia.com/app/GMB253374/submission/MMJ07473587/ICF247370-GMB253374-67j3nd24l4mk00000000/SIG-20250701_1251o5io1.jpeg", "SIG-20250701_1251o5io1.jpeg")</f>
        <v>SIG-20250701_1251o5io1.jpeg</v>
      </c>
      <c r="AW815" s="1" t="s">
        <v>1947</v>
      </c>
      <c r="AX815" s="3" t="str">
        <f>HYPERLINK("https://icf.clappia.com/app/GMB253374/submission/MMJ07473587/ICF247370-GMB253374-3j1p6n4bdcng00000000/SIG-20250701_1316d7a2m.jpeg", "SIG-20250701_1316d7a2m.jpeg")</f>
        <v>SIG-20250701_1316d7a2m.jpeg</v>
      </c>
      <c r="AY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2" t="s">
        <v>47</v>
      </c>
      <c r="C816" s="1" t="s">
        <v>4109</v>
      </c>
      <c r="D816" s="1" t="s">
        <v>4109</v>
      </c>
      <c r="E816" s="1" t="s">
        <v>4110</v>
      </c>
      <c r="F816" s="1" t="s">
        <v>51</v>
      </c>
      <c r="G816" s="1">
        <v>300.0</v>
      </c>
      <c r="H816" s="1" t="s">
        <v>52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53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54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56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57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f t="shared" si="1"/>
        <v>264</v>
      </c>
      <c r="AM816" s="1">
        <v>300.0</v>
      </c>
      <c r="AN816" s="1">
        <v>312.0</v>
      </c>
      <c r="AO816" s="1">
        <v>247.0</v>
      </c>
      <c r="AP816" s="2">
        <v>11.0</v>
      </c>
      <c r="AQ816" s="1">
        <v>53.0</v>
      </c>
      <c r="AR816" s="1">
        <v>53.0</v>
      </c>
      <c r="AS816" s="1" t="s">
        <v>1286</v>
      </c>
      <c r="AT816" s="3" t="str">
        <f>HYPERLINK("https://icf.clappia.com/app/GMB253374/submission/NKF92247703/ICF247370-GMB253374-7c116h4k3jcc0000000/SIG-20250701_13171m4p2.jpeg", "SIG-20250701_13171m4p2.jpeg")</f>
        <v>SIG-20250701_13171m4p2.jpeg</v>
      </c>
      <c r="AU816" s="1" t="s">
        <v>4111</v>
      </c>
      <c r="AV816" s="3" t="str">
        <f>HYPERLINK("https://icf.clappia.com/app/GMB253374/submission/NKF92247703/ICF247370-GMB253374-62agf8bjckcc00000000/SIG-20250701_1319dao60.jpeg", "SIG-20250701_1319dao60.jpeg")</f>
        <v>SIG-20250701_1319dao60.jpeg</v>
      </c>
      <c r="AW816" s="1" t="s">
        <v>4112</v>
      </c>
      <c r="AX816" s="3" t="str">
        <f>HYPERLINK("https://icf.clappia.com/app/GMB253374/submission/NKF92247703/ICF247370-GMB253374-2cfajh6go4f400000000/SIG-20250701_1324bj2lk.jpeg", "SIG-20250701_1324bj2lk.jpeg")</f>
        <v>SIG-20250701_1324bj2lk.jpeg</v>
      </c>
      <c r="AY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2" t="s">
        <v>47</v>
      </c>
      <c r="C817" s="1" t="s">
        <v>4114</v>
      </c>
      <c r="D817" s="1" t="s">
        <v>4114</v>
      </c>
      <c r="E817" s="1" t="s">
        <v>4115</v>
      </c>
      <c r="F817" s="1" t="s">
        <v>51</v>
      </c>
      <c r="G817" s="1">
        <v>925.0</v>
      </c>
      <c r="H817" s="1" t="s">
        <v>52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53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54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56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57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f t="shared" si="1"/>
        <v>672</v>
      </c>
      <c r="AM817" s="1">
        <v>925.0</v>
      </c>
      <c r="AN817" s="1">
        <v>937.0</v>
      </c>
      <c r="AO817" s="1">
        <v>612.0</v>
      </c>
      <c r="AP817" s="2">
        <v>11.0</v>
      </c>
      <c r="AQ817" s="1">
        <v>313.0</v>
      </c>
      <c r="AR817" s="1">
        <v>313.0</v>
      </c>
      <c r="AS817" s="1" t="s">
        <v>2023</v>
      </c>
      <c r="AT817" s="3" t="str">
        <f>HYPERLINK("https://icf.clappia.com/app/GMB253374/submission/NRO19166722/ICF247370-GMB253374-53e90l2d4oic0000000/SIG-20250701_1144761g1.jpeg", "SIG-20250701_1144761g1.jpeg")</f>
        <v>SIG-20250701_1144761g1.jpeg</v>
      </c>
      <c r="AU817" s="1" t="s">
        <v>4116</v>
      </c>
      <c r="AV817" s="3" t="str">
        <f>HYPERLINK("https://icf.clappia.com/app/GMB253374/submission/NRO19166722/ICF247370-GMB253374-3056h81n7g5i00000000/SIG-20250701_11462gejh.jpeg", "SIG-20250701_11462gejh.jpeg")</f>
        <v>SIG-20250701_11462gejh.jpeg</v>
      </c>
      <c r="AW817" s="1" t="s">
        <v>2025</v>
      </c>
      <c r="AX817" s="3" t="str">
        <f>HYPERLINK("https://icf.clappia.com/app/GMB253374/submission/NRO19166722/ICF247370-GMB253374-547nf6bbg76k0000000/SIG-20250701_1237116085.jpeg", "SIG-20250701_1237116085.jpeg")</f>
        <v>SIG-20250701_1237116085.jpeg</v>
      </c>
      <c r="AY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2" t="s">
        <v>47</v>
      </c>
      <c r="C818" s="1" t="s">
        <v>4118</v>
      </c>
      <c r="D818" s="1" t="s">
        <v>4118</v>
      </c>
      <c r="E818" s="1" t="s">
        <v>4119</v>
      </c>
      <c r="F818" s="1" t="s">
        <v>51</v>
      </c>
      <c r="G818" s="1">
        <v>224.0</v>
      </c>
      <c r="H818" s="1" t="s">
        <v>52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53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54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56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57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f t="shared" si="1"/>
        <v>224</v>
      </c>
      <c r="AM818" s="1">
        <v>224.0</v>
      </c>
      <c r="AN818" s="1">
        <v>236.0</v>
      </c>
      <c r="AO818" s="1">
        <v>224.0</v>
      </c>
      <c r="AP818" s="2">
        <v>11.0</v>
      </c>
      <c r="AQ818" s="1">
        <v>0.0</v>
      </c>
      <c r="AR818" s="1">
        <v>0.0</v>
      </c>
      <c r="AS818" s="1" t="s">
        <v>2197</v>
      </c>
      <c r="AT818" s="3" t="str">
        <f>HYPERLINK("https://icf.clappia.com/app/GMB253374/submission/MEJ67389385/ICF247370-GMB253374-45eep2e0aepg00000000/SIG-20250701_132175e8.jpeg", "SIG-20250701_132175e8.jpeg")</f>
        <v>SIG-20250701_132175e8.jpeg</v>
      </c>
      <c r="AU818" s="1" t="s">
        <v>833</v>
      </c>
      <c r="AV818" s="3" t="str">
        <f>HYPERLINK("https://icf.clappia.com/app/GMB253374/submission/MEJ67389385/ICF247370-GMB253374-12jlkhel35bk40000000/SIG-20250701_1321imb8l.jpeg", "SIG-20250701_1321imb8l.jpeg")</f>
        <v>SIG-20250701_1321imb8l.jpeg</v>
      </c>
      <c r="AW818" s="1" t="s">
        <v>4120</v>
      </c>
      <c r="AX818" s="3" t="str">
        <f>HYPERLINK("https://icf.clappia.com/app/GMB253374/submission/MEJ67389385/ICF247370-GMB253374-fld7d8pompn60000000/SIG-20250701_13229jcc7.jpeg", "SIG-20250701_13229jcc7.jpeg")</f>
        <v>SIG-20250701_13229jcc7.jpeg</v>
      </c>
      <c r="AY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2" t="s">
        <v>47</v>
      </c>
      <c r="C819" s="1" t="s">
        <v>4122</v>
      </c>
      <c r="D819" s="1" t="s">
        <v>4122</v>
      </c>
      <c r="E819" s="1" t="s">
        <v>4123</v>
      </c>
      <c r="F819" s="1" t="s">
        <v>51</v>
      </c>
      <c r="G819" s="1">
        <v>450.0</v>
      </c>
      <c r="H819" s="1" t="s">
        <v>52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53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54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56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57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f t="shared" si="1"/>
        <v>437</v>
      </c>
      <c r="AM819" s="1">
        <v>450.0</v>
      </c>
      <c r="AN819" s="1">
        <v>462.0</v>
      </c>
      <c r="AO819" s="1">
        <v>437.0</v>
      </c>
      <c r="AP819" s="2">
        <v>11.0</v>
      </c>
      <c r="AQ819" s="1">
        <v>13.0</v>
      </c>
      <c r="AR819" s="1">
        <v>13.0</v>
      </c>
      <c r="AS819" s="1" t="s">
        <v>4124</v>
      </c>
      <c r="AT819" s="3" t="str">
        <f>HYPERLINK("https://icf.clappia.com/app/GMB253374/submission/BQF59155884/ICF247370-GMB253374-5leg8a0ohb6400000000/SIG-20250701_13191282ni.jpeg", "SIG-20250701_13191282ni.jpeg")</f>
        <v>SIG-20250701_13191282ni.jpeg</v>
      </c>
      <c r="AU819" s="1" t="s">
        <v>4125</v>
      </c>
      <c r="AV819" s="3" t="str">
        <f>HYPERLINK("https://icf.clappia.com/app/GMB253374/submission/BQF59155884/ICF247370-GMB253374-4mpcbgmfi4oi00000000/SIG-20250701_1320apn19.jpeg", "SIG-20250701_1320apn19.jpeg")</f>
        <v>SIG-20250701_1320apn19.jpeg</v>
      </c>
      <c r="AW819" s="1" t="s">
        <v>4126</v>
      </c>
      <c r="AX819" s="3" t="str">
        <f>HYPERLINK("https://icf.clappia.com/app/GMB253374/submission/BQF59155884/ICF247370-GMB253374-5le5o68ce4km00000000/SIG-20250701_1320ccije.jpeg", "SIG-20250701_1320ccije.jpeg")</f>
        <v>SIG-20250701_1320ccije.jpeg</v>
      </c>
      <c r="AY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2" t="s">
        <v>47</v>
      </c>
      <c r="C820" s="1" t="s">
        <v>4122</v>
      </c>
      <c r="D820" s="1" t="s">
        <v>4122</v>
      </c>
      <c r="E820" s="1" t="s">
        <v>4128</v>
      </c>
      <c r="F820" s="1" t="s">
        <v>51</v>
      </c>
      <c r="G820" s="1">
        <v>445.0</v>
      </c>
      <c r="H820" s="1" t="s">
        <v>52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53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54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56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57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f t="shared" si="1"/>
        <v>346</v>
      </c>
      <c r="AM820" s="1">
        <v>445.0</v>
      </c>
      <c r="AN820" s="1">
        <v>457.0</v>
      </c>
      <c r="AO820" s="1">
        <v>346.0</v>
      </c>
      <c r="AP820" s="2">
        <v>11.0</v>
      </c>
      <c r="AQ820" s="1">
        <v>99.0</v>
      </c>
      <c r="AR820" s="1">
        <v>99.0</v>
      </c>
      <c r="AS820" s="1" t="s">
        <v>4129</v>
      </c>
      <c r="AT820" s="3" t="str">
        <f>HYPERLINK("https://icf.clappia.com/app/GMB253374/submission/WYJ42735668/ICF247370-GMB253374-5o01j1phf8nm00000000/SIG-20250701_1312a39d9.jpeg", "SIG-20250701_1312a39d9.jpeg")</f>
        <v>SIG-20250701_1312a39d9.jpeg</v>
      </c>
      <c r="AU820" s="1" t="s">
        <v>4130</v>
      </c>
      <c r="AV820" s="3" t="str">
        <f>HYPERLINK("https://icf.clappia.com/app/GMB253374/submission/WYJ42735668/ICF247370-GMB253374-1k8jgm2bfnb0i0000000/SIG-20250701_131289ojg.jpeg", "SIG-20250701_131289ojg.jpeg")</f>
        <v>SIG-20250701_131289ojg.jpeg</v>
      </c>
      <c r="AW820" s="1" t="s">
        <v>4131</v>
      </c>
      <c r="AX820" s="3" t="str">
        <f>HYPERLINK("https://icf.clappia.com/app/GMB253374/submission/WYJ42735668/ICF247370-GMB253374-4p6inj6bc0o200000000/SIG-20250701_1313fee2a.jpeg", "SIG-20250701_1313fee2a.jpeg")</f>
        <v>SIG-20250701_1313fee2a.jpeg</v>
      </c>
      <c r="AY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2" t="s">
        <v>47</v>
      </c>
      <c r="C821" s="1" t="s">
        <v>4133</v>
      </c>
      <c r="D821" s="1" t="s">
        <v>4133</v>
      </c>
      <c r="E821" s="1" t="s">
        <v>4134</v>
      </c>
      <c r="F821" s="1" t="s">
        <v>51</v>
      </c>
      <c r="G821" s="1">
        <v>271.0</v>
      </c>
      <c r="H821" s="1" t="s">
        <v>52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53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54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56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57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f t="shared" si="1"/>
        <v>254</v>
      </c>
      <c r="AM821" s="1">
        <v>271.0</v>
      </c>
      <c r="AN821" s="1">
        <v>283.0</v>
      </c>
      <c r="AO821" s="1">
        <v>235.0</v>
      </c>
      <c r="AP821" s="2">
        <v>11.0</v>
      </c>
      <c r="AQ821" s="1">
        <v>36.0</v>
      </c>
      <c r="AR821" s="1">
        <v>36.0</v>
      </c>
      <c r="AS821" s="1" t="s">
        <v>4135</v>
      </c>
      <c r="AT821" s="3" t="str">
        <f>HYPERLINK("https://icf.clappia.com/app/GMB253374/submission/INP30202214/ICF247370-GMB253374-1cafgi69nk73m0000000/SIG-20250630_14303j0hg.jpeg", "SIG-20250630_14303j0hg.jpeg")</f>
        <v>SIG-20250630_14303j0hg.jpeg</v>
      </c>
      <c r="AU821" s="1" t="s">
        <v>4136</v>
      </c>
      <c r="AV821" s="3" t="str">
        <f>HYPERLINK("https://icf.clappia.com/app/GMB253374/submission/INP30202214/ICF247370-GMB253374-2178mneml431a0000000/SIG-20250630_1431b6ich.jpeg", "SIG-20250630_1431b6ich.jpeg")</f>
        <v>SIG-20250630_1431b6ich.jpeg</v>
      </c>
      <c r="AW821" s="1" t="s">
        <v>3335</v>
      </c>
      <c r="AX821" s="3" t="str">
        <f>HYPERLINK("https://icf.clappia.com/app/GMB253374/submission/INP30202214/ICF247370-GMB253374-jlbfnk031cdm0000000/SIG-20250630_1433pdi03.jpeg", "SIG-20250630_1433pdi03.jpeg")</f>
        <v>SIG-20250630_1433pdi03.jpeg</v>
      </c>
      <c r="AY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2" t="s">
        <v>47</v>
      </c>
      <c r="C822" s="1" t="s">
        <v>4133</v>
      </c>
      <c r="D822" s="1" t="s">
        <v>4133</v>
      </c>
      <c r="E822" s="1" t="s">
        <v>4138</v>
      </c>
      <c r="F822" s="1" t="s">
        <v>51</v>
      </c>
      <c r="G822" s="1">
        <v>192.0</v>
      </c>
      <c r="H822" s="1" t="s">
        <v>52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53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54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56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57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f t="shared" si="1"/>
        <v>163</v>
      </c>
      <c r="AM822" s="1">
        <v>192.0</v>
      </c>
      <c r="AN822" s="1">
        <v>204.0</v>
      </c>
      <c r="AO822" s="1">
        <v>155.0</v>
      </c>
      <c r="AP822" s="2">
        <v>11.0</v>
      </c>
      <c r="AQ822" s="1">
        <v>37.0</v>
      </c>
      <c r="AR822" s="1">
        <v>37.0</v>
      </c>
      <c r="AS822" s="1" t="s">
        <v>2806</v>
      </c>
      <c r="AT822" s="3" t="str">
        <f>HYPERLINK("https://icf.clappia.com/app/GMB253374/submission/PGJ54075389/ICF247370-GMB253374-5aofdofa7hck0000000/SIG-20250701_1318b6p21.jpeg", "SIG-20250701_1318b6p21.jpeg")</f>
        <v>SIG-20250701_1318b6p21.jpeg</v>
      </c>
      <c r="AU822" s="1" t="s">
        <v>4139</v>
      </c>
      <c r="AV822" s="3" t="str">
        <f>HYPERLINK("https://icf.clappia.com/app/GMB253374/submission/PGJ54075389/ICF247370-GMB253374-3201m0dl2d8400000000/SIG-20250701_1318c2okn.jpeg", "SIG-20250701_1318c2okn.jpeg")</f>
        <v>SIG-20250701_1318c2okn.jpeg</v>
      </c>
      <c r="AW822" s="1" t="s">
        <v>4140</v>
      </c>
      <c r="AX822" s="3" t="str">
        <f>HYPERLINK("https://icf.clappia.com/app/GMB253374/submission/PGJ54075389/ICF247370-GMB253374-4hhakff97ihc00000000/SIG-20250701_131914lhdj.jpeg", "SIG-20250701_131914lhdj.jpeg")</f>
        <v>SIG-20250701_131914lhdj.jpeg</v>
      </c>
      <c r="AY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2" t="s">
        <v>47</v>
      </c>
      <c r="C823" s="1" t="s">
        <v>4142</v>
      </c>
      <c r="D823" s="1" t="s">
        <v>4133</v>
      </c>
      <c r="E823" s="1" t="s">
        <v>4143</v>
      </c>
      <c r="F823" s="1" t="s">
        <v>51</v>
      </c>
      <c r="G823" s="1">
        <v>168.0</v>
      </c>
      <c r="H823" s="1" t="s">
        <v>52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53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54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56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57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f t="shared" si="1"/>
        <v>168</v>
      </c>
      <c r="AM823" s="1">
        <v>168.0</v>
      </c>
      <c r="AN823" s="1">
        <v>180.0</v>
      </c>
      <c r="AO823" s="1">
        <v>159.0</v>
      </c>
      <c r="AP823" s="2">
        <v>11.0</v>
      </c>
      <c r="AQ823" s="1">
        <v>9.0</v>
      </c>
      <c r="AR823" s="1">
        <v>9.0</v>
      </c>
      <c r="AS823" s="1" t="s">
        <v>2201</v>
      </c>
      <c r="AT823" s="3" t="str">
        <f>HYPERLINK("https://icf.clappia.com/app/GMB253374/submission/DIM55267781/ICF247370-GMB253374-n5j2ij1p4gmk0000000/SIG-20250701_1307fcjl2.jpeg", "SIG-20250701_1307fcjl2.jpeg")</f>
        <v>SIG-20250701_1307fcjl2.jpeg</v>
      </c>
      <c r="AU823" s="1" t="s">
        <v>2202</v>
      </c>
      <c r="AV823" s="3" t="str">
        <f>HYPERLINK("https://icf.clappia.com/app/GMB253374/submission/DIM55267781/ICF247370-GMB253374-ghdebj9ikib2000000/SIG-20250701_1319ak23m.jpeg", "SIG-20250701_1319ak23m.jpeg")</f>
        <v>SIG-20250701_1319ak23m.jpeg</v>
      </c>
      <c r="AW823" s="1" t="s">
        <v>2203</v>
      </c>
      <c r="AX823" s="3" t="str">
        <f>HYPERLINK("https://icf.clappia.com/app/GMB253374/submission/DIM55267781/ICF247370-GMB253374-3ce8ojo11cpe00000000/SIG-20250701_1319daae5.jpeg", "SIG-20250701_1319daae5.jpeg")</f>
        <v>SIG-20250701_1319daae5.jpeg</v>
      </c>
      <c r="AY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2" t="s">
        <v>47</v>
      </c>
      <c r="C824" s="1" t="s">
        <v>4145</v>
      </c>
      <c r="D824" s="1" t="s">
        <v>4145</v>
      </c>
      <c r="E824" s="1" t="s">
        <v>4146</v>
      </c>
      <c r="F824" s="1" t="s">
        <v>51</v>
      </c>
      <c r="G824" s="1">
        <v>238.0</v>
      </c>
      <c r="H824" s="1" t="s">
        <v>52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53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54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56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57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f t="shared" si="1"/>
        <v>238</v>
      </c>
      <c r="AM824" s="1">
        <v>238.0</v>
      </c>
      <c r="AN824" s="1">
        <v>250.0</v>
      </c>
      <c r="AO824" s="1">
        <v>238.0</v>
      </c>
      <c r="AP824" s="2">
        <v>11.0</v>
      </c>
      <c r="AQ824" s="1">
        <v>0.0</v>
      </c>
      <c r="AR824" s="1">
        <v>0.0</v>
      </c>
      <c r="AS824" s="1" t="s">
        <v>4147</v>
      </c>
      <c r="AT824" s="3" t="str">
        <f>HYPERLINK("https://icf.clappia.com/app/GMB253374/submission/HZZ23952395/ICF247370-GMB253374-dlhacoinbbjm0000000/SIG-20250701_1106dep6o.jpeg", "SIG-20250701_1106dep6o.jpeg")</f>
        <v>SIG-20250701_1106dep6o.jpeg</v>
      </c>
      <c r="AU824" s="1" t="s">
        <v>4148</v>
      </c>
      <c r="AV824" s="3" t="str">
        <f>HYPERLINK("https://icf.clappia.com/app/GMB253374/submission/HZZ23952395/ICF247370-GMB253374-5l66nn7oakg200000000/SIG-20250701_1107f9coe.jpeg", "SIG-20250701_1107f9coe.jpeg")</f>
        <v>SIG-20250701_1107f9coe.jpeg</v>
      </c>
      <c r="AW824" s="1" t="s">
        <v>4149</v>
      </c>
      <c r="AX824" s="3" t="str">
        <f>HYPERLINK("https://icf.clappia.com/app/GMB253374/submission/HZZ23952395/ICF247370-GMB253374-5jdbdg73dpcg00000000/SIG-20250701_112510nhj5.jpeg", "SIG-20250701_112510nhj5.jpeg")</f>
        <v>SIG-20250701_112510nhj5.jpeg</v>
      </c>
      <c r="AY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2" t="s">
        <v>47</v>
      </c>
      <c r="C825" s="1" t="s">
        <v>467</v>
      </c>
      <c r="D825" s="1" t="s">
        <v>467</v>
      </c>
      <c r="E825" s="1" t="s">
        <v>4151</v>
      </c>
      <c r="F825" s="1" t="s">
        <v>51</v>
      </c>
      <c r="G825" s="1">
        <v>287.0</v>
      </c>
      <c r="H825" s="1" t="s">
        <v>52</v>
      </c>
      <c r="I825" s="1">
        <v>57.0</v>
      </c>
      <c r="J825" s="1" t="s">
        <v>55</v>
      </c>
      <c r="K825" s="1" t="s">
        <v>55</v>
      </c>
      <c r="L825" s="1">
        <v>57.0</v>
      </c>
      <c r="M825" s="1">
        <v>57.0</v>
      </c>
      <c r="N825" s="1" t="s">
        <v>53</v>
      </c>
      <c r="O825" s="1">
        <v>49.0</v>
      </c>
      <c r="P825" s="1" t="s">
        <v>55</v>
      </c>
      <c r="Q825" s="1" t="s">
        <v>55</v>
      </c>
      <c r="R825" s="1">
        <v>49.0</v>
      </c>
      <c r="S825" s="1">
        <v>49.0</v>
      </c>
      <c r="T825" s="1" t="s">
        <v>54</v>
      </c>
      <c r="U825" s="1">
        <v>61.0</v>
      </c>
      <c r="V825" s="1" t="s">
        <v>55</v>
      </c>
      <c r="W825" s="1" t="s">
        <v>55</v>
      </c>
      <c r="X825" s="1">
        <v>61.0</v>
      </c>
      <c r="Y825" s="1">
        <v>61.0</v>
      </c>
      <c r="Z825" s="1" t="s">
        <v>56</v>
      </c>
      <c r="AA825" s="1">
        <v>65.0</v>
      </c>
      <c r="AB825" s="1" t="s">
        <v>55</v>
      </c>
      <c r="AC825" s="1" t="s">
        <v>55</v>
      </c>
      <c r="AD825" s="1">
        <v>65.0</v>
      </c>
      <c r="AE825" s="1">
        <v>65.0</v>
      </c>
      <c r="AF825" s="1" t="s">
        <v>57</v>
      </c>
      <c r="AG825" s="1">
        <v>55.0</v>
      </c>
      <c r="AH825" s="1" t="s">
        <v>55</v>
      </c>
      <c r="AI825" s="1" t="s">
        <v>55</v>
      </c>
      <c r="AJ825" s="1">
        <v>55.0</v>
      </c>
      <c r="AK825" s="1">
        <v>55.0</v>
      </c>
      <c r="AL825" s="1">
        <f t="shared" si="1"/>
        <v>287</v>
      </c>
      <c r="AM825" s="1">
        <v>287.0</v>
      </c>
      <c r="AN825" s="1">
        <v>299.0</v>
      </c>
      <c r="AO825" s="1">
        <v>287.0</v>
      </c>
      <c r="AP825" s="2">
        <v>11.0</v>
      </c>
      <c r="AQ825" s="1">
        <v>0.0</v>
      </c>
      <c r="AR825" s="1">
        <v>0.0</v>
      </c>
      <c r="AS825" s="1" t="s">
        <v>4152</v>
      </c>
      <c r="AT825" s="3" t="str">
        <f>HYPERLINK("https://icf.clappia.com/app/GMB253374/submission/WKZ63836500/ICF247370-GMB253374-2nnf7knfeam000000000/SIG-20250701_1314n6i6d.jpeg", "SIG-20250701_1314n6i6d.jpeg")</f>
        <v>SIG-20250701_1314n6i6d.jpeg</v>
      </c>
      <c r="AU825" s="1" t="s">
        <v>4153</v>
      </c>
      <c r="AV825" s="3" t="str">
        <f>HYPERLINK("https://icf.clappia.com/app/GMB253374/submission/WKZ63836500/ICF247370-GMB253374-5dfahbohlkik00000000/SIG-20250701_1308bk8ip.jpeg", "SIG-20250701_1308bk8ip.jpeg")</f>
        <v>SIG-20250701_1308bk8ip.jpeg</v>
      </c>
      <c r="AW825" s="1" t="s">
        <v>4154</v>
      </c>
      <c r="AX825" s="3" t="str">
        <f>HYPERLINK("https://icf.clappia.com/app/GMB253374/submission/WKZ63836500/ICF247370-GMB253374-n60ed10k61eg0000000/SIG-20250701_13097bpip.jpeg", "SIG-20250701_13097bpip.jpeg")</f>
        <v>SIG-20250701_13097bpip.jpeg</v>
      </c>
      <c r="AY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2" t="s">
        <v>47</v>
      </c>
      <c r="C826" s="1" t="s">
        <v>4156</v>
      </c>
      <c r="D826" s="1" t="s">
        <v>4156</v>
      </c>
      <c r="E826" s="1" t="s">
        <v>4157</v>
      </c>
      <c r="F826" s="1" t="s">
        <v>51</v>
      </c>
      <c r="G826" s="1">
        <v>150.0</v>
      </c>
      <c r="H826" s="1" t="s">
        <v>52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53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54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56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57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f t="shared" si="1"/>
        <v>143</v>
      </c>
      <c r="AM826" s="1">
        <v>150.0</v>
      </c>
      <c r="AN826" s="1">
        <v>162.0</v>
      </c>
      <c r="AO826" s="1">
        <v>112.0</v>
      </c>
      <c r="AP826" s="2">
        <v>11.0</v>
      </c>
      <c r="AQ826" s="1">
        <v>38.0</v>
      </c>
      <c r="AR826" s="1">
        <v>38.0</v>
      </c>
      <c r="AS826" s="1" t="s">
        <v>3970</v>
      </c>
      <c r="AT826" s="3" t="str">
        <f>HYPERLINK("https://icf.clappia.com/app/GMB253374/submission/QXJ24515273/ICF247370-GMB253374-4fpb56108hfe00000000/SIG-20250701_131114k609.jpeg", "SIG-20250701_131114k609.jpeg")</f>
        <v>SIG-20250701_131114k609.jpeg</v>
      </c>
      <c r="AU826" s="1" t="s">
        <v>4158</v>
      </c>
      <c r="AV826" s="3" t="str">
        <f>HYPERLINK("https://icf.clappia.com/app/GMB253374/submission/QXJ24515273/ICF247370-GMB253374-4ol92i5bcm8400000000/SIG-20250701_131217m8k2.jpeg", "SIG-20250701_131217m8k2.jpeg")</f>
        <v>SIG-20250701_131217m8k2.jpeg</v>
      </c>
      <c r="AW826" s="1" t="s">
        <v>3972</v>
      </c>
      <c r="AX826" s="3" t="str">
        <f>HYPERLINK("https://icf.clappia.com/app/GMB253374/submission/QXJ24515273/ICF247370-GMB253374-23fbd60b5jj0c0000000/SIG-20250701_131258bck.jpeg", "SIG-20250701_131258bck.jpeg")</f>
        <v>SIG-20250701_131258bck.jpeg</v>
      </c>
      <c r="AY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2" t="s">
        <v>47</v>
      </c>
      <c r="C827" s="1" t="s">
        <v>4160</v>
      </c>
      <c r="D827" s="1" t="s">
        <v>4160</v>
      </c>
      <c r="E827" s="1" t="s">
        <v>4161</v>
      </c>
      <c r="F827" s="1" t="s">
        <v>51</v>
      </c>
      <c r="G827" s="1">
        <v>260.0</v>
      </c>
      <c r="H827" s="1" t="s">
        <v>52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53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54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56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57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f t="shared" si="1"/>
        <v>294</v>
      </c>
      <c r="AM827" s="1">
        <v>260.0</v>
      </c>
      <c r="AN827" s="1">
        <v>272.0</v>
      </c>
      <c r="AO827" s="1">
        <v>260.0</v>
      </c>
      <c r="AP827" s="2">
        <v>11.0</v>
      </c>
      <c r="AQ827" s="1">
        <v>0.0</v>
      </c>
      <c r="AR827" s="1">
        <v>0.0</v>
      </c>
      <c r="AS827" s="1" t="s">
        <v>1143</v>
      </c>
      <c r="AT827" s="3" t="str">
        <f>HYPERLINK("https://icf.clappia.com/app/GMB253374/submission/QGG29343580/ICF247370-GMB253374-22ch79n0edgo80000000/SIG-20250701_1308e5nhl.jpeg", "SIG-20250701_1308e5nhl.jpeg")</f>
        <v>SIG-20250701_1308e5nhl.jpeg</v>
      </c>
      <c r="AU827" s="1" t="s">
        <v>1144</v>
      </c>
      <c r="AV827" s="3" t="str">
        <f>HYPERLINK("https://icf.clappia.com/app/GMB253374/submission/QGG29343580/ICF247370-GMB253374-62p1aj456bmg00000000/SIG-20250701_130916mol4.jpeg", "SIG-20250701_130916mol4.jpeg")</f>
        <v>SIG-20250701_130916mol4.jpeg</v>
      </c>
      <c r="AW827" s="1" t="s">
        <v>4162</v>
      </c>
      <c r="AX827" s="3" t="str">
        <f>HYPERLINK("https://icf.clappia.com/app/GMB253374/submission/QGG29343580/ICF247370-GMB253374-49ik0bfhm1c400000000/SIG-20250701_1307gae79.jpeg", "SIG-20250701_1307gae79.jpeg")</f>
        <v>SIG-20250701_1307gae79.jpeg</v>
      </c>
      <c r="AY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2" t="s">
        <v>47</v>
      </c>
      <c r="C828" s="1" t="s">
        <v>4160</v>
      </c>
      <c r="D828" s="1" t="s">
        <v>4160</v>
      </c>
      <c r="E828" s="1" t="s">
        <v>4164</v>
      </c>
      <c r="F828" s="1" t="s">
        <v>51</v>
      </c>
      <c r="G828" s="1">
        <v>200.0</v>
      </c>
      <c r="H828" s="1" t="s">
        <v>52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53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54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56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57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f t="shared" si="1"/>
        <v>194</v>
      </c>
      <c r="AM828" s="1">
        <v>200.0</v>
      </c>
      <c r="AN828" s="1">
        <v>212.0</v>
      </c>
      <c r="AO828" s="1">
        <v>194.0</v>
      </c>
      <c r="AP828" s="2">
        <v>11.0</v>
      </c>
      <c r="AQ828" s="1">
        <v>6.0</v>
      </c>
      <c r="AR828" s="1">
        <v>6.0</v>
      </c>
      <c r="AS828" s="1" t="s">
        <v>4165</v>
      </c>
      <c r="AT828" s="3" t="str">
        <f>HYPERLINK("https://icf.clappia.com/app/GMB253374/submission/OKC23051917/ICF247370-GMB253374-1lcd69al94g1m0000000/SIG-20250701_11502bo1g.jpeg", "SIG-20250701_11502bo1g.jpeg")</f>
        <v>SIG-20250701_11502bo1g.jpeg</v>
      </c>
      <c r="AU828" s="1" t="s">
        <v>4166</v>
      </c>
      <c r="AV828" s="3" t="str">
        <f>HYPERLINK("https://icf.clappia.com/app/GMB253374/submission/OKC23051917/ICF247370-GMB253374-3mmjj193f6c600000000/SIG-20250701_1257b60np.jpeg", "SIG-20250701_1257b60np.jpeg")</f>
        <v>SIG-20250701_1257b60np.jpeg</v>
      </c>
      <c r="AW828" s="1" t="s">
        <v>4167</v>
      </c>
      <c r="AX828" s="3" t="str">
        <f>HYPERLINK("https://icf.clappia.com/app/GMB253374/submission/OKC23051917/ICF247370-GMB253374-75m469n72afa0000000/SIG-20250630_1505fj226.jpeg", "SIG-20250630_1505fj226.jpeg")</f>
        <v>SIG-20250630_1505fj226.jpeg</v>
      </c>
      <c r="AY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2" t="s">
        <v>47</v>
      </c>
      <c r="C829" s="1" t="s">
        <v>4160</v>
      </c>
      <c r="D829" s="1" t="s">
        <v>4160</v>
      </c>
      <c r="E829" s="1" t="s">
        <v>4169</v>
      </c>
      <c r="F829" s="1" t="s">
        <v>51</v>
      </c>
      <c r="G829" s="1">
        <v>300.0</v>
      </c>
      <c r="H829" s="1" t="s">
        <v>52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53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54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56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57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f t="shared" si="1"/>
        <v>542</v>
      </c>
      <c r="AM829" s="1">
        <v>300.0</v>
      </c>
      <c r="AN829" s="1">
        <v>312.0</v>
      </c>
      <c r="AO829" s="1">
        <v>300.0</v>
      </c>
      <c r="AP829" s="2">
        <v>11.0</v>
      </c>
      <c r="AQ829" s="1">
        <v>0.0</v>
      </c>
      <c r="AR829" s="1">
        <v>0.0</v>
      </c>
      <c r="AS829" s="1" t="s">
        <v>822</v>
      </c>
      <c r="AT829" s="3" t="str">
        <f>HYPERLINK("https://icf.clappia.com/app/GMB253374/submission/BOU12309152/ICF247370-GMB253374-6936fbkj8h2800000000/SIG-20250701_1305b485o.jpeg", "SIG-20250701_1305b485o.jpeg")</f>
        <v>SIG-20250701_1305b485o.jpeg</v>
      </c>
      <c r="AU829" s="1" t="s">
        <v>3482</v>
      </c>
      <c r="AV829" s="3" t="str">
        <f>HYPERLINK("https://icf.clappia.com/app/GMB253374/submission/BOU12309152/ICF247370-GMB253374-5add96mpbnmm0000000/SIG-20250701_1305pa75.jpeg", "SIG-20250701_1305pa75.jpeg")</f>
        <v>SIG-20250701_1305pa75.jpeg</v>
      </c>
      <c r="AW829" s="1" t="s">
        <v>3483</v>
      </c>
      <c r="AX829" s="3" t="str">
        <f>HYPERLINK("https://icf.clappia.com/app/GMB253374/submission/BOU12309152/ICF247370-GMB253374-38o78h1mom0k00000000/SIG-20250701_1306b8826.jpeg", "SIG-20250701_1306b8826.jpeg")</f>
        <v>SIG-20250701_1306b8826.jpeg</v>
      </c>
      <c r="AY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2" t="s">
        <v>47</v>
      </c>
      <c r="C830" s="1" t="s">
        <v>4160</v>
      </c>
      <c r="D830" s="1" t="s">
        <v>4160</v>
      </c>
      <c r="E830" s="4" t="s">
        <v>4171</v>
      </c>
      <c r="F830" s="1" t="s">
        <v>51</v>
      </c>
      <c r="G830" s="1">
        <v>600.0</v>
      </c>
      <c r="H830" s="1" t="s">
        <v>52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53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54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56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57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f t="shared" si="1"/>
        <v>572</v>
      </c>
      <c r="AM830" s="1">
        <v>600.0</v>
      </c>
      <c r="AN830" s="1">
        <v>612.0</v>
      </c>
      <c r="AO830" s="1">
        <v>491.0</v>
      </c>
      <c r="AP830" s="2">
        <v>11.0</v>
      </c>
      <c r="AQ830" s="1">
        <v>109.0</v>
      </c>
      <c r="AR830" s="1">
        <v>109.0</v>
      </c>
      <c r="AS830" s="1" t="s">
        <v>2911</v>
      </c>
      <c r="AT830" s="3" t="str">
        <f>HYPERLINK("https://icf.clappia.com/app/GMB253374/submission/ACI07213203/ICF247370-GMB253374-10ag5eo0eaoj20000000/SIG-20250701_1211mglcp.jpeg", "SIG-20250701_1211mglcp.jpeg")</f>
        <v>SIG-20250701_1211mglcp.jpeg</v>
      </c>
      <c r="AU830" s="1" t="s">
        <v>2912</v>
      </c>
      <c r="AV830" s="3" t="str">
        <f>HYPERLINK("https://icf.clappia.com/app/GMB253374/submission/ACI07213203/ICF247370-GMB253374-2dofkp4c82mi00000000/SIG-20250701_1212nceij.jpeg", "SIG-20250701_1212nceij.jpeg")</f>
        <v>SIG-20250701_1212nceij.jpeg</v>
      </c>
      <c r="AW830" s="1" t="s">
        <v>4172</v>
      </c>
      <c r="AX830" s="3" t="str">
        <f>HYPERLINK("https://icf.clappia.com/app/GMB253374/submission/ACI07213203/ICF247370-GMB253374-58ap5544eebe00000000/SIG-20250701_1213l00pi.jpeg", "SIG-20250701_1213l00pi.jpeg")</f>
        <v>SIG-20250701_1213l00pi.jpeg</v>
      </c>
      <c r="AY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2" t="s">
        <v>47</v>
      </c>
      <c r="C831" s="1" t="s">
        <v>4174</v>
      </c>
      <c r="D831" s="1" t="s">
        <v>4174</v>
      </c>
      <c r="E831" s="1" t="s">
        <v>4175</v>
      </c>
      <c r="F831" s="1" t="s">
        <v>51</v>
      </c>
      <c r="G831" s="1">
        <v>347.0</v>
      </c>
      <c r="H831" s="1" t="s">
        <v>52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53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54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56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57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f t="shared" si="1"/>
        <v>347</v>
      </c>
      <c r="AM831" s="1">
        <v>347.0</v>
      </c>
      <c r="AN831" s="1">
        <v>359.0</v>
      </c>
      <c r="AO831" s="1">
        <v>347.0</v>
      </c>
      <c r="AP831" s="2">
        <v>11.0</v>
      </c>
      <c r="AQ831" s="1">
        <v>0.0</v>
      </c>
      <c r="AR831" s="1">
        <v>0.0</v>
      </c>
      <c r="AS831" s="1" t="s">
        <v>1956</v>
      </c>
      <c r="AT831" s="3" t="str">
        <f>HYPERLINK("https://icf.clappia.com/app/GMB253374/submission/ARE31392042/ICF247370-GMB253374-3o9b1o4k13a600000000/SIG-20250701_1306kd34k.jpeg", "SIG-20250701_1306kd34k.jpeg")</f>
        <v>SIG-20250701_1306kd34k.jpeg</v>
      </c>
      <c r="AU831" s="1" t="s">
        <v>4176</v>
      </c>
      <c r="AV831" s="3" t="str">
        <f>HYPERLINK("https://icf.clappia.com/app/GMB253374/submission/ARE31392042/ICF247370-GMB253374-fji2lfphj81e0000000/SIG-20250701_1306pmp4e.jpeg", "SIG-20250701_1306pmp4e.jpeg")</f>
        <v>SIG-20250701_1306pmp4e.jpeg</v>
      </c>
      <c r="AW831" s="1" t="s">
        <v>1958</v>
      </c>
      <c r="AX831" s="3" t="str">
        <f>HYPERLINK("https://icf.clappia.com/app/GMB253374/submission/ARE31392042/ICF247370-GMB253374-1ol9idckkcm080000000/SIG-20250701_1306e83c1.jpeg", "SIG-20250701_1306e83c1.jpeg")</f>
        <v>SIG-20250701_1306e83c1.jpeg</v>
      </c>
      <c r="AY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2" t="s">
        <v>47</v>
      </c>
      <c r="C832" s="1" t="s">
        <v>4178</v>
      </c>
      <c r="D832" s="1" t="s">
        <v>4178</v>
      </c>
      <c r="E832" s="1" t="s">
        <v>4179</v>
      </c>
      <c r="F832" s="1" t="s">
        <v>51</v>
      </c>
      <c r="G832" s="1">
        <v>250.0</v>
      </c>
      <c r="H832" s="1" t="s">
        <v>52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53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54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56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57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f t="shared" si="1"/>
        <v>216</v>
      </c>
      <c r="AM832" s="1">
        <v>250.0</v>
      </c>
      <c r="AN832" s="1">
        <v>262.0</v>
      </c>
      <c r="AO832" s="1">
        <v>211.0</v>
      </c>
      <c r="AP832" s="2">
        <v>11.0</v>
      </c>
      <c r="AQ832" s="1">
        <v>39.0</v>
      </c>
      <c r="AR832" s="1">
        <v>39.0</v>
      </c>
      <c r="AS832" s="1" t="s">
        <v>2806</v>
      </c>
      <c r="AT832" s="3" t="str">
        <f>HYPERLINK("https://icf.clappia.com/app/GMB253374/submission/AIB52367980/ICF247370-GMB253374-5p2c8k0741ag00000000/SIG-20250630_14472538j.jpeg", "SIG-20250630_14472538j.jpeg")</f>
        <v>SIG-20250630_14472538j.jpeg</v>
      </c>
      <c r="AU832" s="1" t="s">
        <v>4139</v>
      </c>
      <c r="AV832" s="3" t="str">
        <f>HYPERLINK("https://icf.clappia.com/app/GMB253374/submission/AIB52367980/ICF247370-GMB253374-4c0j9dol9i5m000000/SIG-20250630_1448n0hdc.jpeg", "SIG-20250630_1448n0hdc.jpeg")</f>
        <v>SIG-20250630_1448n0hdc.jpeg</v>
      </c>
      <c r="AW832" s="1" t="s">
        <v>4180</v>
      </c>
      <c r="AX832" s="3" t="str">
        <f>HYPERLINK("https://icf.clappia.com/app/GMB253374/submission/AIB52367980/ICF247370-GMB253374-565o2jabjmak00000000/SIG-20250630_14497gnm7.jpeg", "SIG-20250630_14497gnm7.jpeg")</f>
        <v>SIG-20250630_14497gnm7.jpeg</v>
      </c>
      <c r="AY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2" t="s">
        <v>47</v>
      </c>
      <c r="C833" s="1" t="s">
        <v>4178</v>
      </c>
      <c r="D833" s="1" t="s">
        <v>4178</v>
      </c>
      <c r="E833" s="1" t="s">
        <v>4182</v>
      </c>
      <c r="F833" s="1" t="s">
        <v>51</v>
      </c>
      <c r="G833" s="1">
        <v>255.0</v>
      </c>
      <c r="H833" s="1" t="s">
        <v>52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53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54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56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57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f t="shared" si="1"/>
        <v>255</v>
      </c>
      <c r="AM833" s="1">
        <v>255.0</v>
      </c>
      <c r="AN833" s="1">
        <v>267.0</v>
      </c>
      <c r="AO833" s="1">
        <v>247.0</v>
      </c>
      <c r="AP833" s="2">
        <v>11.0</v>
      </c>
      <c r="AQ833" s="1">
        <v>8.0</v>
      </c>
      <c r="AR833" s="1">
        <v>8.0</v>
      </c>
      <c r="AS833" s="1" t="s">
        <v>4183</v>
      </c>
      <c r="AT833" s="3" t="str">
        <f>HYPERLINK("https://icf.clappia.com/app/GMB253374/submission/XSI08758766/ICF247370-GMB253374-205bjedhpg4160000000/SIG-20250701_1305i3hlb.jpeg", "SIG-20250701_1305i3hlb.jpeg")</f>
        <v>SIG-20250701_1305i3hlb.jpeg</v>
      </c>
      <c r="AU833" s="1" t="s">
        <v>4184</v>
      </c>
      <c r="AV833" s="3" t="str">
        <f>HYPERLINK("https://icf.clappia.com/app/GMB253374/submission/XSI08758766/ICF247370-GMB253374-5dc3oi6hdkji00000000/SIG-20250701_130517fj38.jpeg", "SIG-20250701_130517fj38.jpeg")</f>
        <v>SIG-20250701_130517fj38.jpeg</v>
      </c>
      <c r="AW833" s="1" t="s">
        <v>4185</v>
      </c>
      <c r="AX833" s="3" t="str">
        <f>HYPERLINK("https://icf.clappia.com/app/GMB253374/submission/XSI08758766/ICF247370-GMB253374-17j3goiaf8m720000000/SIG-20250701_1306hho2i.jpeg", "SIG-20250701_1306hho2i.jpeg")</f>
        <v>SIG-20250701_1306hho2i.jpeg</v>
      </c>
      <c r="AY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2" t="s">
        <v>47</v>
      </c>
      <c r="C834" s="1" t="s">
        <v>3998</v>
      </c>
      <c r="D834" s="1" t="s">
        <v>3998</v>
      </c>
      <c r="E834" s="1" t="s">
        <v>4187</v>
      </c>
      <c r="F834" s="1" t="s">
        <v>51</v>
      </c>
      <c r="G834" s="1">
        <v>300.0</v>
      </c>
      <c r="H834" s="1" t="s">
        <v>52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53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54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56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57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f t="shared" si="1"/>
        <v>270</v>
      </c>
      <c r="AM834" s="1">
        <v>300.0</v>
      </c>
      <c r="AN834" s="1">
        <v>312.0</v>
      </c>
      <c r="AO834" s="1">
        <v>270.0</v>
      </c>
      <c r="AP834" s="2">
        <v>11.0</v>
      </c>
      <c r="AQ834" s="1">
        <v>30.0</v>
      </c>
      <c r="AR834" s="1">
        <v>30.0</v>
      </c>
      <c r="AS834" s="1" t="s">
        <v>2197</v>
      </c>
      <c r="AT834" s="3" t="str">
        <f>HYPERLINK("https://icf.clappia.com/app/GMB253374/submission/PBP08879144/ICF247370-GMB253374-29lh8p74o38560000000/SIG-20250701_09181506fk.jpeg", "SIG-20250701_09181506fk.jpeg")</f>
        <v>SIG-20250701_09181506fk.jpeg</v>
      </c>
      <c r="AU834" s="1" t="s">
        <v>2971</v>
      </c>
      <c r="AV834" s="3" t="str">
        <f>HYPERLINK("https://icf.clappia.com/app/GMB253374/submission/PBP08879144/ICF247370-GMB253374-28hm3767jh06i0000000/SIG-20250701_091943aa6.jpeg", "SIG-20250701_091943aa6.jpeg")</f>
        <v>SIG-20250701_091943aa6.jpeg</v>
      </c>
      <c r="AW834" s="1" t="s">
        <v>833</v>
      </c>
      <c r="AX834" s="3" t="str">
        <f>HYPERLINK("https://icf.clappia.com/app/GMB253374/submission/PBP08879144/ICF247370-GMB253374-4adf9idnhf0m00000000/SIG-20250701_0920167hla.jpeg", "SIG-20250701_0920167hla.jpeg")</f>
        <v>SIG-20250701_0920167hla.jpeg</v>
      </c>
      <c r="AY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2" t="s">
        <v>47</v>
      </c>
      <c r="C835" s="1" t="s">
        <v>3998</v>
      </c>
      <c r="D835" s="1" t="s">
        <v>3998</v>
      </c>
      <c r="E835" s="1" t="s">
        <v>4189</v>
      </c>
      <c r="F835" s="1" t="s">
        <v>51</v>
      </c>
      <c r="G835" s="1">
        <v>243.0</v>
      </c>
      <c r="H835" s="1" t="s">
        <v>52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53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54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56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57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f t="shared" si="1"/>
        <v>243</v>
      </c>
      <c r="AM835" s="1">
        <v>243.0</v>
      </c>
      <c r="AN835" s="1">
        <v>255.0</v>
      </c>
      <c r="AO835" s="1">
        <v>243.0</v>
      </c>
      <c r="AP835" s="2">
        <v>11.0</v>
      </c>
      <c r="AQ835" s="1">
        <v>0.0</v>
      </c>
      <c r="AR835" s="1">
        <v>0.0</v>
      </c>
      <c r="AS835" s="1" t="s">
        <v>2653</v>
      </c>
      <c r="AT835" s="3" t="str">
        <f>HYPERLINK("https://icf.clappia.com/app/GMB253374/submission/AGY23486359/ICF247370-GMB253374-34iej8h8186i00000000/SIG-20250701_1143neko6.jpeg", "SIG-20250701_1143neko6.jpeg")</f>
        <v>SIG-20250701_1143neko6.jpeg</v>
      </c>
      <c r="AU835" s="1" t="s">
        <v>4190</v>
      </c>
      <c r="AV835" s="3" t="str">
        <f>HYPERLINK("https://icf.clappia.com/app/GMB253374/submission/AGY23486359/ICF247370-GMB253374-ij97j3f9nk3a0000000/SIG-20250701_1145c8m8i.jpeg", "SIG-20250701_1145c8m8i.jpeg")</f>
        <v>SIG-20250701_1145c8m8i.jpeg</v>
      </c>
      <c r="AW835" s="1" t="s">
        <v>4191</v>
      </c>
      <c r="AX835" s="3" t="str">
        <f>HYPERLINK("https://icf.clappia.com/app/GMB253374/submission/AGY23486359/ICF247370-GMB253374-3p0h8f6alc4200000000/SIG-20250701_11451749b6.jpeg", "SIG-20250701_11451749b6.jpeg")</f>
        <v>SIG-20250701_11451749b6.jpeg</v>
      </c>
      <c r="AY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2" t="s">
        <v>47</v>
      </c>
      <c r="C836" s="1" t="s">
        <v>3998</v>
      </c>
      <c r="D836" s="1" t="s">
        <v>3998</v>
      </c>
      <c r="E836" s="1" t="s">
        <v>4193</v>
      </c>
      <c r="F836" s="1" t="s">
        <v>51</v>
      </c>
      <c r="G836" s="1">
        <v>165.0</v>
      </c>
      <c r="H836" s="1" t="s">
        <v>52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53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54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56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57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f t="shared" si="1"/>
        <v>191</v>
      </c>
      <c r="AM836" s="1">
        <v>165.0</v>
      </c>
      <c r="AN836" s="1">
        <v>177.0</v>
      </c>
      <c r="AO836" s="1">
        <v>145.0</v>
      </c>
      <c r="AP836" s="2">
        <v>11.0</v>
      </c>
      <c r="AQ836" s="1">
        <v>20.0</v>
      </c>
      <c r="AR836" s="1">
        <v>20.0</v>
      </c>
      <c r="AS836" s="1" t="s">
        <v>1691</v>
      </c>
      <c r="AT836" s="3" t="str">
        <f>HYPERLINK("https://icf.clappia.com/app/GMB253374/submission/ADQ62600066/ICF247370-GMB253374-4pb4feg3f7g000000000/SIG-20250701_1301l5617.jpeg", "SIG-20250701_1301l5617.jpeg")</f>
        <v>SIG-20250701_1301l5617.jpeg</v>
      </c>
      <c r="AU836" s="1" t="s">
        <v>4194</v>
      </c>
      <c r="AV836" s="3" t="str">
        <f>HYPERLINK("https://icf.clappia.com/app/GMB253374/submission/ADQ62600066/ICF247370-GMB253374-478i676di8i000000000/SIG-20250701_130211ihj3.jpeg", "SIG-20250701_130211ihj3.jpeg")</f>
        <v>SIG-20250701_130211ihj3.jpeg</v>
      </c>
      <c r="AW836" s="1" t="s">
        <v>4195</v>
      </c>
      <c r="AX836" s="3" t="str">
        <f>HYPERLINK("https://icf.clappia.com/app/GMB253374/submission/ADQ62600066/ICF247370-GMB253374-11ndbdhp8cn3m0000000/SIG-20250701_13034p8mn.jpeg", "SIG-20250701_13034p8mn.jpeg")</f>
        <v>SIG-20250701_13034p8mn.jpeg</v>
      </c>
      <c r="AY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2" t="s">
        <v>47</v>
      </c>
      <c r="C837" s="1" t="s">
        <v>4197</v>
      </c>
      <c r="D837" s="1" t="s">
        <v>4197</v>
      </c>
      <c r="E837" s="1" t="s">
        <v>4198</v>
      </c>
      <c r="F837" s="1" t="s">
        <v>51</v>
      </c>
      <c r="G837" s="1">
        <v>293.0</v>
      </c>
      <c r="H837" s="1" t="s">
        <v>52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53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54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56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57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f t="shared" si="1"/>
        <v>351</v>
      </c>
      <c r="AM837" s="1">
        <v>293.0</v>
      </c>
      <c r="AN837" s="1">
        <v>305.0</v>
      </c>
      <c r="AO837" s="1">
        <v>293.0</v>
      </c>
      <c r="AP837" s="2">
        <v>11.0</v>
      </c>
      <c r="AQ837" s="1">
        <v>0.0</v>
      </c>
      <c r="AR837" s="1">
        <v>0.0</v>
      </c>
      <c r="AS837" s="1" t="s">
        <v>1276</v>
      </c>
      <c r="AT837" s="3" t="str">
        <f>HYPERLINK("https://icf.clappia.com/app/GMB253374/submission/RCM63212854/ICF247370-GMB253374-54pp7emfo48c00000000/SIG-20250701_125750914.jpeg", "SIG-20250701_125750914.jpeg")</f>
        <v>SIG-20250701_125750914.jpeg</v>
      </c>
      <c r="AU837" s="1" t="s">
        <v>4199</v>
      </c>
      <c r="AV837" s="3" t="str">
        <f>HYPERLINK("https://icf.clappia.com/app/GMB253374/submission/RCM63212854/ICF247370-GMB253374-6b6ghii00og400000000/SIG-20250701_125718hced.jpeg", "SIG-20250701_125718hced.jpeg")</f>
        <v>SIG-20250701_125718hced.jpeg</v>
      </c>
      <c r="AW837" s="1" t="s">
        <v>3117</v>
      </c>
      <c r="AX837" s="3" t="str">
        <f>HYPERLINK("https://icf.clappia.com/app/GMB253374/submission/RCM63212854/ICF247370-GMB253374-f5ddc3gcco0o0000000/SIG-20250701_1257ol583.jpeg", "SIG-20250701_1257ol583.jpeg")</f>
        <v>SIG-20250701_1257ol583.jpeg</v>
      </c>
      <c r="AY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2" t="s">
        <v>47</v>
      </c>
      <c r="C838" s="1" t="s">
        <v>4197</v>
      </c>
      <c r="D838" s="1" t="s">
        <v>4197</v>
      </c>
      <c r="E838" s="1" t="s">
        <v>4201</v>
      </c>
      <c r="F838" s="1" t="s">
        <v>51</v>
      </c>
      <c r="G838" s="1">
        <v>110.0</v>
      </c>
      <c r="H838" s="1" t="s">
        <v>52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53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54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56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57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f t="shared" si="1"/>
        <v>101</v>
      </c>
      <c r="AM838" s="1">
        <v>110.0</v>
      </c>
      <c r="AN838" s="1">
        <v>122.0</v>
      </c>
      <c r="AO838" s="1">
        <v>100.0</v>
      </c>
      <c r="AP838" s="2">
        <v>11.0</v>
      </c>
      <c r="AQ838" s="1">
        <v>10.0</v>
      </c>
      <c r="AR838" s="1">
        <v>10.0</v>
      </c>
      <c r="AS838" s="1" t="s">
        <v>4202</v>
      </c>
      <c r="AT838" s="3" t="str">
        <f>HYPERLINK("https://icf.clappia.com/app/GMB253374/submission/IXH71583439/ICF247370-GMB253374-3f77m4mc8hdo00000000/SIG-20250701_1259fhlgi.jpeg", "SIG-20250701_1259fhlgi.jpeg")</f>
        <v>SIG-20250701_1259fhlgi.jpeg</v>
      </c>
      <c r="AU838" s="1" t="s">
        <v>2134</v>
      </c>
      <c r="AV838" s="3" t="str">
        <f>HYPERLINK("https://icf.clappia.com/app/GMB253374/submission/IXH71583439/ICF247370-GMB253374-5eb6e95nijmm00000000/SIG-20250701_1259ajmok.jpeg", "SIG-20250701_1259ajmok.jpeg")</f>
        <v>SIG-20250701_1259ajmok.jpeg</v>
      </c>
      <c r="AW838" s="1" t="s">
        <v>2133</v>
      </c>
      <c r="AX838" s="3" t="str">
        <f>HYPERLINK("https://icf.clappia.com/app/GMB253374/submission/IXH71583439/ICF247370-GMB253374-2439b8n443dge0000000/SIG-20250701_1301i2kf3.jpeg", "SIG-20250701_1301i2kf3.jpeg")</f>
        <v>SIG-20250701_1301i2kf3.jpeg</v>
      </c>
      <c r="AY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2" t="s">
        <v>47</v>
      </c>
      <c r="C839" s="1" t="s">
        <v>4204</v>
      </c>
      <c r="D839" s="1" t="s">
        <v>4197</v>
      </c>
      <c r="E839" s="1" t="s">
        <v>4205</v>
      </c>
      <c r="F839" s="1" t="s">
        <v>51</v>
      </c>
      <c r="G839" s="1">
        <v>200.0</v>
      </c>
      <c r="H839" s="1" t="s">
        <v>52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53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54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56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57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f t="shared" si="1"/>
        <v>289</v>
      </c>
      <c r="AM839" s="1">
        <v>200.0</v>
      </c>
      <c r="AN839" s="1">
        <v>212.0</v>
      </c>
      <c r="AO839" s="1">
        <v>190.0</v>
      </c>
      <c r="AP839" s="2">
        <v>11.0</v>
      </c>
      <c r="AQ839" s="1">
        <v>10.0</v>
      </c>
      <c r="AR839" s="1">
        <v>10.0</v>
      </c>
      <c r="AS839" s="1" t="s">
        <v>1329</v>
      </c>
      <c r="AT839" s="3" t="str">
        <f>HYPERLINK("https://icf.clappia.com/app/GMB253374/submission/SIQ74894373/ICF247370-GMB253374-30hk15467cp200000000/SIG-20250701_1252ha7ph.jpeg", "SIG-20250701_1252ha7ph.jpeg")</f>
        <v>SIG-20250701_1252ha7ph.jpeg</v>
      </c>
      <c r="AU839" s="1" t="s">
        <v>4206</v>
      </c>
      <c r="AV839" s="3" t="str">
        <f>HYPERLINK("https://icf.clappia.com/app/GMB253374/submission/SIQ74894373/ICF247370-GMB253374-3l874h5p6p8200000000/SIG-20250701_125215a8a1.jpeg", "SIG-20250701_125215a8a1.jpeg")</f>
        <v>SIG-20250701_125215a8a1.jpeg</v>
      </c>
      <c r="AW839" s="1" t="s">
        <v>4207</v>
      </c>
      <c r="AX839" s="3" t="str">
        <f>HYPERLINK("https://icf.clappia.com/app/GMB253374/submission/SIQ74894373/ICF247370-GMB253374-45e92ebocb5g00000000/SIG-20250701_125350g87.jpeg", "SIG-20250701_125350g87.jpeg")</f>
        <v>SIG-20250701_125350g87.jpeg</v>
      </c>
      <c r="AY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2" t="s">
        <v>47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52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53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54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56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57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f t="shared" si="1"/>
        <v>350</v>
      </c>
      <c r="AM840" s="1">
        <v>350.0</v>
      </c>
      <c r="AN840" s="1">
        <v>362.0</v>
      </c>
      <c r="AO840" s="1">
        <v>350.0</v>
      </c>
      <c r="AP840" s="2">
        <v>11.0</v>
      </c>
      <c r="AQ840" s="1">
        <v>0.0</v>
      </c>
      <c r="AR840" s="1">
        <v>0.0</v>
      </c>
      <c r="AS840" s="1" t="s">
        <v>4210</v>
      </c>
      <c r="AT840" s="3" t="str">
        <f>HYPERLINK("https://icf.clappia.com/app/GMB253374/submission/YYW83738737/ICF247370-GMB253374-4415e8j11pi800000000/SIG-20250701_1258154bg0.jpeg", "SIG-20250701_1258154bg0.jpeg")</f>
        <v>SIG-20250701_1258154bg0.jpeg</v>
      </c>
      <c r="AU840" s="1" t="s">
        <v>4211</v>
      </c>
      <c r="AV840" s="3" t="str">
        <f>HYPERLINK("https://icf.clappia.com/app/GMB253374/submission/YYW83738737/ICF247370-GMB253374-4mpeg9kob9mc00000000/SIG-20250701_1300gf5p3.jpeg", "SIG-20250701_1300gf5p3.jpeg")</f>
        <v>SIG-20250701_1300gf5p3.jpeg</v>
      </c>
      <c r="AW840" s="1" t="s">
        <v>4212</v>
      </c>
      <c r="AX840" s="3" t="str">
        <f>HYPERLINK("https://icf.clappia.com/app/GMB253374/submission/YYW83738737/ICF247370-GMB253374-28a1h9ndbcnpg0000000/SIG-20250701_1300mjocg.jpeg", "SIG-20250701_1300mjocg.jpeg")</f>
        <v>SIG-20250701_1300mjocg.jpeg</v>
      </c>
      <c r="AY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2" t="s">
        <v>47</v>
      </c>
      <c r="C841" s="1" t="s">
        <v>4214</v>
      </c>
      <c r="D841" s="1" t="s">
        <v>4214</v>
      </c>
      <c r="E841" s="1" t="s">
        <v>4215</v>
      </c>
      <c r="F841" s="1" t="s">
        <v>51</v>
      </c>
      <c r="G841" s="1">
        <v>101.0</v>
      </c>
      <c r="H841" s="1" t="s">
        <v>52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53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54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56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57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f t="shared" si="1"/>
        <v>101</v>
      </c>
      <c r="AM841" s="1">
        <v>101.0</v>
      </c>
      <c r="AN841" s="1">
        <v>113.0</v>
      </c>
      <c r="AO841" s="1">
        <v>100.0</v>
      </c>
      <c r="AP841" s="2">
        <v>11.0</v>
      </c>
      <c r="AQ841" s="1">
        <v>1.0</v>
      </c>
      <c r="AR841" s="1">
        <v>1.0</v>
      </c>
      <c r="AS841" s="1" t="s">
        <v>3297</v>
      </c>
      <c r="AT841" s="3" t="str">
        <f>HYPERLINK("https://icf.clappia.com/app/GMB253374/submission/GCW65967806/ICF247370-GMB253374-387lnejehhk000000000/SIG-20250701_1041e858h.jpeg", "SIG-20250701_1041e858h.jpeg")</f>
        <v>SIG-20250701_1041e858h.jpeg</v>
      </c>
      <c r="AU841" s="1" t="s">
        <v>3298</v>
      </c>
      <c r="AV841" s="3" t="str">
        <f>HYPERLINK("https://icf.clappia.com/app/GMB253374/submission/GCW65967806/ICF247370-GMB253374-4ke5fc5j0o7c00000000/SIG-20250701_1042hjgb8.jpeg", "SIG-20250701_1042hjgb8.jpeg")</f>
        <v>SIG-20250701_1042hjgb8.jpeg</v>
      </c>
      <c r="AW841" s="1" t="s">
        <v>4216</v>
      </c>
      <c r="AX841" s="3" t="str">
        <f>HYPERLINK("https://icf.clappia.com/app/GMB253374/submission/GCW65967806/ICF247370-GMB253374-48akpogf4l0g00000000/SIG-20250701_10426jom0.jpeg", "SIG-20250701_10426jom0.jpeg")</f>
        <v>SIG-20250701_10426jom0.jpeg</v>
      </c>
      <c r="AY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2" t="s">
        <v>47</v>
      </c>
      <c r="C842" s="1" t="s">
        <v>4218</v>
      </c>
      <c r="D842" s="1" t="s">
        <v>4218</v>
      </c>
      <c r="E842" s="1" t="s">
        <v>4219</v>
      </c>
      <c r="F842" s="1" t="s">
        <v>51</v>
      </c>
      <c r="G842" s="1">
        <v>259.0</v>
      </c>
      <c r="H842" s="1" t="s">
        <v>52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53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54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56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57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f t="shared" si="1"/>
        <v>249</v>
      </c>
      <c r="AM842" s="1">
        <v>259.0</v>
      </c>
      <c r="AN842" s="1">
        <v>271.0</v>
      </c>
      <c r="AO842" s="1">
        <v>249.0</v>
      </c>
      <c r="AP842" s="2">
        <v>11.0</v>
      </c>
      <c r="AQ842" s="1">
        <v>10.0</v>
      </c>
      <c r="AR842" s="1">
        <v>10.0</v>
      </c>
      <c r="AS842" s="1" t="s">
        <v>4220</v>
      </c>
      <c r="AT842" s="3" t="str">
        <f>HYPERLINK("https://icf.clappia.com/app/GMB253374/submission/EKH91157219/ICF247370-GMB253374-1ckk943lf5cn20000000/SIG-20250701_12527him2.jpeg", "SIG-20250701_12527him2.jpeg")</f>
        <v>SIG-20250701_12527him2.jpeg</v>
      </c>
      <c r="AU842" s="1" t="s">
        <v>1319</v>
      </c>
      <c r="AV842" s="3" t="str">
        <f>HYPERLINK("https://icf.clappia.com/app/GMB253374/submission/EKH91157219/ICF247370-GMB253374-5d1hhg0el3aa0000000/SIG-20250701_1244l214g.jpeg", "SIG-20250701_1244l214g.jpeg")</f>
        <v>SIG-20250701_1244l214g.jpeg</v>
      </c>
      <c r="AW842" s="1" t="s">
        <v>1320</v>
      </c>
      <c r="AX842" s="3" t="str">
        <f>HYPERLINK("https://icf.clappia.com/app/GMB253374/submission/EKH91157219/ICF247370-GMB253374-698f6hljmfe200000000/SIG-20250701_124617ochl.jpeg", "SIG-20250701_124617ochl.jpeg")</f>
        <v>SIG-20250701_124617ochl.jpeg</v>
      </c>
      <c r="AY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2" t="s">
        <v>47</v>
      </c>
      <c r="C843" s="1" t="s">
        <v>4218</v>
      </c>
      <c r="D843" s="1" t="s">
        <v>4218</v>
      </c>
      <c r="E843" s="1" t="s">
        <v>4222</v>
      </c>
      <c r="F843" s="1" t="s">
        <v>51</v>
      </c>
      <c r="G843" s="1">
        <v>234.0</v>
      </c>
      <c r="H843" s="1" t="s">
        <v>52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53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54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56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57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f t="shared" si="1"/>
        <v>234</v>
      </c>
      <c r="AM843" s="1">
        <v>234.0</v>
      </c>
      <c r="AN843" s="1">
        <v>246.0</v>
      </c>
      <c r="AO843" s="1">
        <v>234.0</v>
      </c>
      <c r="AP843" s="2">
        <v>11.0</v>
      </c>
      <c r="AQ843" s="1">
        <v>0.0</v>
      </c>
      <c r="AR843" s="1">
        <v>0.0</v>
      </c>
      <c r="AS843" s="1" t="s">
        <v>3339</v>
      </c>
      <c r="AT843" s="3" t="str">
        <f>HYPERLINK("https://icf.clappia.com/app/GMB253374/submission/BOF08542555/ICF247370-GMB253374-3b517h8flcji00000000/SIG-20250701_125414c63p.jpeg", "SIG-20250701_125414c63p.jpeg")</f>
        <v>SIG-20250701_125414c63p.jpeg</v>
      </c>
      <c r="AU843" s="1" t="s">
        <v>1162</v>
      </c>
      <c r="AV843" s="3" t="str">
        <f>HYPERLINK("https://icf.clappia.com/app/GMB253374/submission/BOF08542555/ICF247370-GMB253374-1a2n3keaj5gfi0000000/SIG-20250701_1255b7plh.jpeg", "SIG-20250701_1255b7plh.jpeg")</f>
        <v>SIG-20250701_1255b7plh.jpeg</v>
      </c>
      <c r="AW843" s="1" t="s">
        <v>3340</v>
      </c>
      <c r="AX843" s="3" t="str">
        <f>HYPERLINK("https://icf.clappia.com/app/GMB253374/submission/BOF08542555/ICF247370-GMB253374-3jd2m6ba1mcm00000000/SIG-20250701_1256884e2.jpeg", "SIG-20250701_1256884e2.jpeg")</f>
        <v>SIG-20250701_1256884e2.jpeg</v>
      </c>
      <c r="AY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2" t="s">
        <v>47</v>
      </c>
      <c r="C844" s="1" t="s">
        <v>4218</v>
      </c>
      <c r="D844" s="1" t="s">
        <v>4218</v>
      </c>
      <c r="E844" s="1" t="s">
        <v>4224</v>
      </c>
      <c r="F844" s="1" t="s">
        <v>51</v>
      </c>
      <c r="G844" s="1">
        <v>660.0</v>
      </c>
      <c r="H844" s="1" t="s">
        <v>52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53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54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56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57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f t="shared" si="1"/>
        <v>548</v>
      </c>
      <c r="AM844" s="1">
        <v>660.0</v>
      </c>
      <c r="AN844" s="1">
        <v>672.0</v>
      </c>
      <c r="AO844" s="1">
        <v>523.0</v>
      </c>
      <c r="AP844" s="2">
        <v>11.0</v>
      </c>
      <c r="AQ844" s="1">
        <v>137.0</v>
      </c>
      <c r="AR844" s="1">
        <v>137.0</v>
      </c>
      <c r="AS844" s="1" t="s">
        <v>4225</v>
      </c>
      <c r="AT844" s="3" t="str">
        <f>HYPERLINK("https://icf.clappia.com/app/GMB253374/submission/JYK54364670/ICF247370-GMB253374-1p721nice36320000000/SIG-20250701_12138b6j.jpeg", "SIG-20250701_12138b6j.jpeg")</f>
        <v>SIG-20250701_12138b6j.jpeg</v>
      </c>
      <c r="AU844" s="1" t="s">
        <v>4226</v>
      </c>
      <c r="AV844" s="3" t="str">
        <f>HYPERLINK("https://icf.clappia.com/app/GMB253374/submission/JYK54364670/ICF247370-GMB253374-355pgg5geai800000000/SIG-20250701_12496h2ob.jpeg", "SIG-20250701_12496h2ob.jpeg")</f>
        <v>SIG-20250701_12496h2ob.jpeg</v>
      </c>
      <c r="AW844" s="1" t="s">
        <v>4227</v>
      </c>
      <c r="AX844" s="3" t="str">
        <f>HYPERLINK("https://icf.clappia.com/app/GMB253374/submission/JYK54364670/ICF247370-GMB253374-57pk4c450jd200000000/SIG-20250701_1214i4a90.jpeg", "SIG-20250701_1214i4a90.jpeg")</f>
        <v>SIG-20250701_1214i4a90.jpeg</v>
      </c>
      <c r="AY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2" t="s">
        <v>47</v>
      </c>
      <c r="C845" s="1" t="s">
        <v>4229</v>
      </c>
      <c r="D845" s="1" t="s">
        <v>4229</v>
      </c>
      <c r="E845" s="1" t="s">
        <v>4230</v>
      </c>
      <c r="F845" s="1" t="s">
        <v>51</v>
      </c>
      <c r="G845" s="1">
        <v>107.0</v>
      </c>
      <c r="H845" s="1" t="s">
        <v>52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53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54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56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57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f t="shared" si="1"/>
        <v>107</v>
      </c>
      <c r="AM845" s="1">
        <v>107.0</v>
      </c>
      <c r="AN845" s="1">
        <v>119.0</v>
      </c>
      <c r="AO845" s="1">
        <v>107.0</v>
      </c>
      <c r="AP845" s="2">
        <v>11.0</v>
      </c>
      <c r="AQ845" s="1">
        <v>0.0</v>
      </c>
      <c r="AR845" s="1">
        <v>0.0</v>
      </c>
      <c r="AS845" s="1" t="s">
        <v>2785</v>
      </c>
      <c r="AT845" s="3" t="str">
        <f>HYPERLINK("https://icf.clappia.com/app/GMB253374/submission/PIO75911491/ICF247370-GMB253374-4d6h9bo757bm00000000/SIG-20250701_1247151cep.jpeg", "SIG-20250701_1247151cep.jpeg")</f>
        <v>SIG-20250701_1247151cep.jpeg</v>
      </c>
      <c r="AU845" s="1" t="s">
        <v>2786</v>
      </c>
      <c r="AV845" s="3" t="str">
        <f>HYPERLINK("https://icf.clappia.com/app/GMB253374/submission/PIO75911491/ICF247370-GMB253374-30mbiil7me2200000000/SIG-20250701_124719o84m.jpeg", "SIG-20250701_124719o84m.jpeg")</f>
        <v>SIG-20250701_124719o84m.jpeg</v>
      </c>
      <c r="AW845" s="1" t="s">
        <v>4231</v>
      </c>
      <c r="AX845" s="3" t="str">
        <f>HYPERLINK("https://icf.clappia.com/app/GMB253374/submission/PIO75911491/ICF247370-GMB253374-1mappp8p9i0g00000000/SIG-20250701_1249c8306.jpeg", "SIG-20250701_1249c8306.jpeg")</f>
        <v>SIG-20250701_1249c8306.jpeg</v>
      </c>
      <c r="AY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2" t="s">
        <v>47</v>
      </c>
      <c r="C846" s="1" t="s">
        <v>381</v>
      </c>
      <c r="D846" s="1" t="s">
        <v>381</v>
      </c>
      <c r="E846" s="1" t="s">
        <v>4233</v>
      </c>
      <c r="F846" s="1" t="s">
        <v>51</v>
      </c>
      <c r="G846" s="1">
        <v>140.0</v>
      </c>
      <c r="H846" s="1" t="s">
        <v>52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53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54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56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57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f t="shared" si="1"/>
        <v>140</v>
      </c>
      <c r="AM846" s="1">
        <v>140.0</v>
      </c>
      <c r="AN846" s="1">
        <v>152.0</v>
      </c>
      <c r="AO846" s="1">
        <v>140.0</v>
      </c>
      <c r="AP846" s="2">
        <v>11.0</v>
      </c>
      <c r="AQ846" s="1">
        <v>0.0</v>
      </c>
      <c r="AR846" s="1">
        <v>0.0</v>
      </c>
      <c r="AS846" s="1" t="s">
        <v>1982</v>
      </c>
      <c r="AT846" s="3" t="str">
        <f>HYPERLINK("https://icf.clappia.com/app/GMB253374/submission/PJI17405222/ICF247370-GMB253374-47h73chdf7ja00000000/SIG-20250701_1111km9di.jpeg", "SIG-20250701_1111km9di.jpeg")</f>
        <v>SIG-20250701_1111km9di.jpeg</v>
      </c>
      <c r="AU846" s="1" t="s">
        <v>1044</v>
      </c>
      <c r="AV846" s="3" t="str">
        <f>HYPERLINK("https://icf.clappia.com/app/GMB253374/submission/PJI17405222/ICF247370-GMB253374-26n85lo7fefok0000000/SIG-20250701_1111bkgmn.jpeg", "SIG-20250701_1111bkgmn.jpeg")</f>
        <v>SIG-20250701_1111bkgmn.jpeg</v>
      </c>
      <c r="AW846" s="1" t="s">
        <v>1983</v>
      </c>
      <c r="AX846" s="3" t="str">
        <f>HYPERLINK("https://icf.clappia.com/app/GMB253374/submission/PJI17405222/ICF247370-GMB253374-842cdganih1i0000000/SIG-20250701_1113gbbg1.jpeg", "SIG-20250701_1113gbbg1.jpeg")</f>
        <v>SIG-20250701_1113gbbg1.jpeg</v>
      </c>
      <c r="AY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2" t="s">
        <v>47</v>
      </c>
      <c r="C847" s="1" t="s">
        <v>381</v>
      </c>
      <c r="D847" s="1" t="s">
        <v>381</v>
      </c>
      <c r="E847" s="1" t="s">
        <v>4235</v>
      </c>
      <c r="F847" s="1" t="s">
        <v>51</v>
      </c>
      <c r="G847" s="1">
        <v>100.0</v>
      </c>
      <c r="H847" s="1" t="s">
        <v>52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53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54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56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57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f t="shared" si="1"/>
        <v>95</v>
      </c>
      <c r="AM847" s="1">
        <v>100.0</v>
      </c>
      <c r="AN847" s="1">
        <v>112.0</v>
      </c>
      <c r="AO847" s="1">
        <v>95.0</v>
      </c>
      <c r="AP847" s="2">
        <v>11.0</v>
      </c>
      <c r="AQ847" s="1">
        <v>5.0</v>
      </c>
      <c r="AR847" s="1">
        <v>5.0</v>
      </c>
      <c r="AS847" s="1" t="s">
        <v>4236</v>
      </c>
      <c r="AT847" s="3" t="str">
        <f>HYPERLINK("https://icf.clappia.com/app/GMB253374/submission/SVP17755223/ICF247370-GMB253374-6af01i1oam4a00000000/SIG-20250701_1249mokdk.jpeg", "SIG-20250701_1249mokdk.jpeg")</f>
        <v>SIG-20250701_1249mokdk.jpeg</v>
      </c>
      <c r="AU847" s="1" t="s">
        <v>4237</v>
      </c>
      <c r="AV847" s="3" t="str">
        <f>HYPERLINK("https://icf.clappia.com/app/GMB253374/submission/SVP17755223/ICF247370-GMB253374-6a4egbc5ck0k00000000/SIG-20250701_1249hdk82.jpeg", "SIG-20250701_1249hdk82.jpeg")</f>
        <v>SIG-20250701_1249hdk82.jpeg</v>
      </c>
      <c r="AW847" s="1" t="s">
        <v>4094</v>
      </c>
      <c r="AX847" s="3" t="str">
        <f>HYPERLINK("https://icf.clappia.com/app/GMB253374/submission/SVP17755223/ICF247370-GMB253374-2h6bnddin2p800000000/SIG-20250701_1252o005i.jpeg", "SIG-20250701_1252o005i.jpeg")</f>
        <v>SIG-20250701_1252o005i.jpeg</v>
      </c>
      <c r="AY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2" t="s">
        <v>47</v>
      </c>
      <c r="C848" s="1" t="s">
        <v>4239</v>
      </c>
      <c r="D848" s="1" t="s">
        <v>4239</v>
      </c>
      <c r="E848" s="1" t="s">
        <v>4240</v>
      </c>
      <c r="F848" s="1" t="s">
        <v>51</v>
      </c>
      <c r="G848" s="1">
        <v>500.0</v>
      </c>
      <c r="H848" s="1" t="s">
        <v>52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53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54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56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57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f t="shared" si="1"/>
        <v>503</v>
      </c>
      <c r="AM848" s="1">
        <v>500.0</v>
      </c>
      <c r="AN848" s="1">
        <v>512.0</v>
      </c>
      <c r="AO848" s="1">
        <v>493.0</v>
      </c>
      <c r="AP848" s="2">
        <v>11.0</v>
      </c>
      <c r="AQ848" s="1">
        <v>7.0</v>
      </c>
      <c r="AR848" s="1">
        <v>7.0</v>
      </c>
      <c r="AS848" s="1" t="s">
        <v>4241</v>
      </c>
      <c r="AT848" s="3" t="str">
        <f>HYPERLINK("https://icf.clappia.com/app/GMB253374/submission/KZI63291378/ICF247370-GMB253374-228f5je3f20160000000/SIG-20250701_1248e6b5o.jpeg", "SIG-20250701_1248e6b5o.jpeg")</f>
        <v>SIG-20250701_1248e6b5o.jpeg</v>
      </c>
      <c r="AU848" s="1" t="s">
        <v>4242</v>
      </c>
      <c r="AV848" s="3" t="str">
        <f>HYPERLINK("https://icf.clappia.com/app/GMB253374/submission/KZI63291378/ICF247370-GMB253374-4p31c2om6k4e00000000/SIG-20250701_1247283ak.jpeg", "SIG-20250701_1247283ak.jpeg")</f>
        <v>SIG-20250701_1247283ak.jpeg</v>
      </c>
      <c r="AW848" s="1" t="s">
        <v>4243</v>
      </c>
      <c r="AX848" s="3" t="str">
        <f>HYPERLINK("https://icf.clappia.com/app/GMB253374/submission/KZI63291378/ICF247370-GMB253374-31ina0kai36400000000/SIG-20250701_12474m1jm.jpeg", "SIG-20250701_12474m1jm.jpeg")</f>
        <v>SIG-20250701_12474m1jm.jpeg</v>
      </c>
      <c r="AY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2" t="s">
        <v>47</v>
      </c>
      <c r="C849" s="1" t="s">
        <v>4245</v>
      </c>
      <c r="D849" s="1" t="s">
        <v>4245</v>
      </c>
      <c r="E849" s="1" t="s">
        <v>4246</v>
      </c>
      <c r="F849" s="1" t="s">
        <v>51</v>
      </c>
      <c r="G849" s="1">
        <v>303.0</v>
      </c>
      <c r="H849" s="1" t="s">
        <v>52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53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54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56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57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f t="shared" si="1"/>
        <v>340</v>
      </c>
      <c r="AM849" s="1">
        <v>303.0</v>
      </c>
      <c r="AN849" s="1">
        <v>315.0</v>
      </c>
      <c r="AO849" s="1">
        <v>248.0</v>
      </c>
      <c r="AP849" s="2">
        <v>11.0</v>
      </c>
      <c r="AQ849" s="1">
        <v>55.0</v>
      </c>
      <c r="AR849" s="1">
        <v>55.0</v>
      </c>
      <c r="AS849" s="1" t="s">
        <v>4247</v>
      </c>
      <c r="AT849" s="3" t="str">
        <f>HYPERLINK("https://icf.clappia.com/app/GMB253374/submission/ZKB99482757/ICF247370-GMB253374-2hpf4ei5i0ak00000000/SIG-20250701_1245jkn25.jpeg", "SIG-20250701_1245jkn25.jpeg")</f>
        <v>SIG-20250701_1245jkn25.jpeg</v>
      </c>
      <c r="AU849" s="1" t="s">
        <v>4248</v>
      </c>
      <c r="AV849" s="3" t="str">
        <f>HYPERLINK("https://icf.clappia.com/app/GMB253374/submission/ZKB99482757/ICF247370-GMB253374-c99p6jah395i0000000/SIG-20250701_12451jf19.jpeg", "SIG-20250701_12451jf19.jpeg")</f>
        <v>SIG-20250701_12451jf19.jpeg</v>
      </c>
      <c r="AW849" s="1" t="s">
        <v>4249</v>
      </c>
      <c r="AX849" s="3" t="str">
        <f>HYPERLINK("https://icf.clappia.com/app/GMB253374/submission/ZKB99482757/ICF247370-GMB253374-3b9lgdlfnf1k00000000/SIG-20250701_1246f3di2.jpeg", "SIG-20250701_1246f3di2.jpeg")</f>
        <v>SIG-20250701_1246f3di2.jpeg</v>
      </c>
      <c r="AY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2" t="s">
        <v>47</v>
      </c>
      <c r="C850" s="1" t="s">
        <v>4251</v>
      </c>
      <c r="D850" s="1" t="s">
        <v>4251</v>
      </c>
      <c r="E850" s="1" t="s">
        <v>4252</v>
      </c>
      <c r="F850" s="1" t="s">
        <v>51</v>
      </c>
      <c r="G850" s="1">
        <v>412.0</v>
      </c>
      <c r="H850" s="1" t="s">
        <v>52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53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54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56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57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f t="shared" si="1"/>
        <v>398</v>
      </c>
      <c r="AM850" s="1">
        <v>412.0</v>
      </c>
      <c r="AN850" s="1">
        <v>424.0</v>
      </c>
      <c r="AO850" s="1">
        <v>396.0</v>
      </c>
      <c r="AP850" s="2">
        <v>11.0</v>
      </c>
      <c r="AQ850" s="1">
        <v>16.0</v>
      </c>
      <c r="AR850" s="1">
        <v>16.0</v>
      </c>
      <c r="AS850" s="1" t="s">
        <v>3508</v>
      </c>
      <c r="AT850" s="3" t="str">
        <f>HYPERLINK("https://icf.clappia.com/app/GMB253374/submission/GWG78656552/ICF247370-GMB253374-136ka2kec5e2c0000000/SIG-20250701_1146hll87.jpeg", "SIG-20250701_1146hll87.jpeg")</f>
        <v>SIG-20250701_1146hll87.jpeg</v>
      </c>
      <c r="AU850" s="1" t="s">
        <v>3509</v>
      </c>
      <c r="AV850" s="3" t="str">
        <f>HYPERLINK("https://icf.clappia.com/app/GMB253374/submission/GWG78656552/ICF247370-GMB253374-185o0c63gkfeo0000000/SIG-20250701_114817jc8o.jpeg", "SIG-20250701_114817jc8o.jpeg")</f>
        <v>SIG-20250701_114817jc8o.jpeg</v>
      </c>
      <c r="AW850" s="1" t="s">
        <v>3510</v>
      </c>
      <c r="AX850" s="3" t="str">
        <f>HYPERLINK("https://icf.clappia.com/app/GMB253374/submission/GWG78656552/ICF247370-GMB253374-2m52acckb4e000000000/SIG-20250701_114913f3dm.jpeg", "SIG-20250701_114913f3dm.jpeg")</f>
        <v>SIG-20250701_114913f3dm.jpeg</v>
      </c>
      <c r="AY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2" t="s">
        <v>47</v>
      </c>
      <c r="C851" s="1" t="s">
        <v>4251</v>
      </c>
      <c r="D851" s="1" t="s">
        <v>4251</v>
      </c>
      <c r="E851" s="1" t="s">
        <v>4254</v>
      </c>
      <c r="F851" s="1" t="s">
        <v>51</v>
      </c>
      <c r="G851" s="1">
        <v>120.0</v>
      </c>
      <c r="H851" s="1" t="s">
        <v>52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53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54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56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57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f t="shared" si="1"/>
        <v>120</v>
      </c>
      <c r="AM851" s="1">
        <v>120.0</v>
      </c>
      <c r="AN851" s="1">
        <v>132.0</v>
      </c>
      <c r="AO851" s="1">
        <v>120.0</v>
      </c>
      <c r="AP851" s="2">
        <v>11.0</v>
      </c>
      <c r="AQ851" s="1">
        <v>0.0</v>
      </c>
      <c r="AR851" s="1">
        <v>0.0</v>
      </c>
      <c r="AS851" s="1" t="s">
        <v>3223</v>
      </c>
      <c r="AT851" s="3" t="str">
        <f>HYPERLINK("https://icf.clappia.com/app/GMB253374/submission/XFM21753454/ICF247370-GMB253374-5g05cbke8f2600000000/SIG-20250701_1213e39f0.jpeg", "SIG-20250701_1213e39f0.jpeg")</f>
        <v>SIG-20250701_1213e39f0.jpeg</v>
      </c>
      <c r="AU851" s="1" t="s">
        <v>4255</v>
      </c>
      <c r="AV851" s="3" t="str">
        <f>HYPERLINK("https://icf.clappia.com/app/GMB253374/submission/XFM21753454/ICF247370-GMB253374-1kjmem0pm17da0000000/SIG-20250701_121419of68.jpeg", "SIG-20250701_121419of68.jpeg")</f>
        <v>SIG-20250701_121419of68.jpeg</v>
      </c>
      <c r="AW851" s="1" t="s">
        <v>4256</v>
      </c>
      <c r="AX851" s="3" t="str">
        <f>HYPERLINK("https://icf.clappia.com/app/GMB253374/submission/XFM21753454/ICF247370-GMB253374-17h1048c0cop60000000/SIG-20250701_1215e04oa.jpeg", "SIG-20250701_1215e04oa.jpeg")</f>
        <v>SIG-20250701_1215e04oa.jpeg</v>
      </c>
      <c r="AY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2" t="s">
        <v>47</v>
      </c>
      <c r="C852" s="1" t="s">
        <v>4258</v>
      </c>
      <c r="D852" s="1" t="s">
        <v>4259</v>
      </c>
      <c r="E852" s="4" t="s">
        <v>4260</v>
      </c>
      <c r="F852" s="1" t="s">
        <v>51</v>
      </c>
      <c r="G852" s="1">
        <v>400.0</v>
      </c>
      <c r="H852" s="1" t="s">
        <v>52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53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54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56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57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f t="shared" si="1"/>
        <v>386</v>
      </c>
      <c r="AM852" s="1">
        <v>400.0</v>
      </c>
      <c r="AN852" s="1">
        <v>412.0</v>
      </c>
      <c r="AO852" s="1">
        <v>377.0</v>
      </c>
      <c r="AP852" s="2">
        <v>11.0</v>
      </c>
      <c r="AQ852" s="1">
        <v>23.0</v>
      </c>
      <c r="AR852" s="1">
        <v>23.0</v>
      </c>
      <c r="AS852" s="1" t="s">
        <v>2765</v>
      </c>
      <c r="AT852" s="3" t="str">
        <f>HYPERLINK("https://icf.clappia.com/app/GMB253374/submission/JDP33149787/ICF247370-GMB253374-3083imdbe6ng00000000/SIG-20250701_12377llej.jpeg", "SIG-20250701_12377llej.jpeg")</f>
        <v>SIG-20250701_12377llej.jpeg</v>
      </c>
      <c r="AU852" s="1" t="s">
        <v>2766</v>
      </c>
      <c r="AV852" s="3" t="str">
        <f>HYPERLINK("https://icf.clappia.com/app/GMB253374/submission/JDP33149787/ICF247370-GMB253374-41e29gb7j9c800000000/SIG-20250701_12381acn71.jpeg", "SIG-20250701_12381acn71.jpeg")</f>
        <v>SIG-20250701_12381acn71.jpeg</v>
      </c>
      <c r="AW852" s="1" t="s">
        <v>2767</v>
      </c>
      <c r="AX852" s="3" t="str">
        <f>HYPERLINK("https://icf.clappia.com/app/GMB253374/submission/JDP33149787/ICF247370-GMB253374-2bfije7lp2gm40000000/SIG-20250701_12397e56n.jpeg", "SIG-20250701_12397e56n.jpeg")</f>
        <v>SIG-20250701_12397e56n.jpeg</v>
      </c>
      <c r="AY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2" t="s">
        <v>47</v>
      </c>
      <c r="C853" s="1" t="s">
        <v>4259</v>
      </c>
      <c r="D853" s="1" t="s">
        <v>4259</v>
      </c>
      <c r="E853" s="1" t="s">
        <v>4262</v>
      </c>
      <c r="F853" s="1" t="s">
        <v>51</v>
      </c>
      <c r="G853" s="1">
        <v>201.0</v>
      </c>
      <c r="H853" s="1" t="s">
        <v>52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53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54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56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57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f t="shared" si="1"/>
        <v>191</v>
      </c>
      <c r="AM853" s="1">
        <v>201.0</v>
      </c>
      <c r="AN853" s="1">
        <v>213.0</v>
      </c>
      <c r="AO853" s="1">
        <v>191.0</v>
      </c>
      <c r="AP853" s="2">
        <v>11.0</v>
      </c>
      <c r="AQ853" s="1">
        <v>10.0</v>
      </c>
      <c r="AR853" s="1">
        <v>10.0</v>
      </c>
      <c r="AS853" s="1" t="s">
        <v>4263</v>
      </c>
      <c r="AT853" s="3" t="str">
        <f>HYPERLINK("https://icf.clappia.com/app/GMB253374/submission/MUI09012321/ICF247370-GMB253374-4gpcbg451op000000000/SIG-20250701_12167p605.jpeg", "SIG-20250701_12167p605.jpeg")</f>
        <v>SIG-20250701_12167p605.jpeg</v>
      </c>
      <c r="AU853" s="1" t="s">
        <v>2992</v>
      </c>
      <c r="AV853" s="3" t="str">
        <f>HYPERLINK("https://icf.clappia.com/app/GMB253374/submission/MUI09012321/ICF247370-GMB253374-487416djc9e400000000/SIG-20250701_1217nnhb5.jpeg", "SIG-20250701_1217nnhb5.jpeg")</f>
        <v>SIG-20250701_1217nnhb5.jpeg</v>
      </c>
      <c r="AW853" s="1" t="s">
        <v>4264</v>
      </c>
      <c r="AX853" s="3" t="str">
        <f>HYPERLINK("https://icf.clappia.com/app/GMB253374/submission/MUI09012321/ICF247370-GMB253374-2lg7f3b3k5o600000000/SIG-20250701_1234omgi4.jpeg", "SIG-20250701_1234omgi4.jpeg")</f>
        <v>SIG-20250701_1234omgi4.jpeg</v>
      </c>
      <c r="AY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2" t="s">
        <v>47</v>
      </c>
      <c r="C854" s="1" t="s">
        <v>4266</v>
      </c>
      <c r="D854" s="1" t="s">
        <v>4266</v>
      </c>
      <c r="E854" s="1" t="s">
        <v>4267</v>
      </c>
      <c r="F854" s="1" t="s">
        <v>51</v>
      </c>
      <c r="G854" s="1">
        <v>193.0</v>
      </c>
      <c r="H854" s="1" t="s">
        <v>52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53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54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56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57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f t="shared" si="1"/>
        <v>182</v>
      </c>
      <c r="AM854" s="1">
        <v>193.0</v>
      </c>
      <c r="AN854" s="1">
        <v>205.0</v>
      </c>
      <c r="AO854" s="1">
        <v>182.0</v>
      </c>
      <c r="AP854" s="2">
        <v>11.0</v>
      </c>
      <c r="AQ854" s="1">
        <v>11.0</v>
      </c>
      <c r="AR854" s="1">
        <v>11.0</v>
      </c>
      <c r="AS854" s="1" t="s">
        <v>2354</v>
      </c>
      <c r="AT854" s="3" t="str">
        <f>HYPERLINK("https://icf.clappia.com/app/GMB253374/submission/PSM52589757/ICF247370-GMB253374-5lo2mpjm9k8g00000000/SIG-20250701_1213142f6.jpeg", "SIG-20250701_1213142f6.jpeg")</f>
        <v>SIG-20250701_1213142f6.jpeg</v>
      </c>
      <c r="AU854" s="1" t="s">
        <v>2355</v>
      </c>
      <c r="AV854" s="3" t="str">
        <f>HYPERLINK("https://icf.clappia.com/app/GMB253374/submission/PSM52589757/ICF247370-GMB253374-5hnlp5071g8o00000000/SIG-20250701_1215obk2f.jpeg", "SIG-20250701_1215obk2f.jpeg")</f>
        <v>SIG-20250701_1215obk2f.jpeg</v>
      </c>
      <c r="AW854" s="1" t="s">
        <v>2356</v>
      </c>
      <c r="AX854" s="3" t="str">
        <f>HYPERLINK("https://icf.clappia.com/app/GMB253374/submission/PSM52589757/ICF247370-GMB253374-30panb207ohm00000000/SIG-20250701_12421549h.jpeg", "SIG-20250701_12421549h.jpeg")</f>
        <v>SIG-20250701_12421549h.jpeg</v>
      </c>
      <c r="AY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2" t="s">
        <v>47</v>
      </c>
      <c r="C855" s="1" t="s">
        <v>4269</v>
      </c>
      <c r="D855" s="1" t="s">
        <v>4269</v>
      </c>
      <c r="E855" s="1" t="s">
        <v>4270</v>
      </c>
      <c r="F855" s="1" t="s">
        <v>51</v>
      </c>
      <c r="G855" s="1">
        <v>383.0</v>
      </c>
      <c r="H855" s="1" t="s">
        <v>52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53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54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56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57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f t="shared" si="1"/>
        <v>386</v>
      </c>
      <c r="AM855" s="1">
        <v>383.0</v>
      </c>
      <c r="AN855" s="1">
        <v>395.0</v>
      </c>
      <c r="AO855" s="1">
        <v>309.0</v>
      </c>
      <c r="AP855" s="2">
        <v>11.0</v>
      </c>
      <c r="AQ855" s="1">
        <v>74.0</v>
      </c>
      <c r="AR855" s="1">
        <v>74.0</v>
      </c>
      <c r="AS855" s="1" t="s">
        <v>4271</v>
      </c>
      <c r="AT855" s="3" t="str">
        <f>HYPERLINK("https://icf.clappia.com/app/GMB253374/submission/BKX07819348/ICF247370-GMB253374-3ji554e56jei00000000/SIG-20250701_1238h7ai6.jpeg", "SIG-20250701_1238h7ai6.jpeg")</f>
        <v>SIG-20250701_1238h7ai6.jpeg</v>
      </c>
      <c r="AU855" s="1" t="s">
        <v>2107</v>
      </c>
      <c r="AV855" s="3" t="str">
        <f>HYPERLINK("https://icf.clappia.com/app/GMB253374/submission/BKX07819348/ICF247370-GMB253374-426i54gji1hc00000000/SIG-20250701_1237no95.jpeg", "SIG-20250701_1237no95.jpeg")</f>
        <v>SIG-20250701_1237no95.jpeg</v>
      </c>
      <c r="AW855" s="1" t="s">
        <v>4272</v>
      </c>
      <c r="AX855" s="3" t="str">
        <f>HYPERLINK("https://icf.clappia.com/app/GMB253374/submission/BKX07819348/ICF247370-GMB253374-4ehp4i9nmi9a00000000/SIG-20250701_123815862g.jpeg", "SIG-20250701_123815862g.jpeg")</f>
        <v>SIG-20250701_123815862g.jpeg</v>
      </c>
      <c r="AY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2" t="s">
        <v>47</v>
      </c>
      <c r="C856" s="1" t="s">
        <v>4274</v>
      </c>
      <c r="D856" s="1" t="s">
        <v>4274</v>
      </c>
      <c r="E856" s="1" t="s">
        <v>4275</v>
      </c>
      <c r="F856" s="1" t="s">
        <v>51</v>
      </c>
      <c r="G856" s="1">
        <v>100.0</v>
      </c>
      <c r="H856" s="1" t="s">
        <v>52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53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54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56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57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f t="shared" si="1"/>
        <v>56</v>
      </c>
      <c r="AM856" s="1">
        <v>100.0</v>
      </c>
      <c r="AN856" s="1">
        <v>112.0</v>
      </c>
      <c r="AO856" s="1">
        <v>53.0</v>
      </c>
      <c r="AP856" s="2">
        <v>11.0</v>
      </c>
      <c r="AQ856" s="1">
        <v>47.0</v>
      </c>
      <c r="AR856" s="1">
        <v>47.0</v>
      </c>
      <c r="AS856" s="1" t="s">
        <v>987</v>
      </c>
      <c r="AT856" s="3" t="str">
        <f>HYPERLINK("https://icf.clappia.com/app/GMB253374/submission/NLG53486794/ICF247370-GMB253374-5m8e8g175be200000000/SIG-20250701_10592p3ik.jpeg", "SIG-20250701_10592p3ik.jpeg")</f>
        <v>SIG-20250701_10592p3ik.jpeg</v>
      </c>
      <c r="AU856" s="1" t="s">
        <v>1367</v>
      </c>
      <c r="AV856" s="3" t="str">
        <f>HYPERLINK("https://icf.clappia.com/app/GMB253374/submission/NLG53486794/ICF247370-GMB253374-5i71e6iai2g400000000/SIG-20250701_11012oam1.jpeg", "SIG-20250701_11012oam1.jpeg")</f>
        <v>SIG-20250701_11012oam1.jpeg</v>
      </c>
      <c r="AW856" s="1" t="s">
        <v>4276</v>
      </c>
      <c r="AX856" s="3" t="str">
        <f>HYPERLINK("https://icf.clappia.com/app/GMB253374/submission/NLG53486794/ICF247370-GMB253374-5m85249h2af200000000/SIG-20250701_12389eij6.jpeg", "SIG-20250701_12389eij6.jpeg")</f>
        <v>SIG-20250701_12389eij6.jpeg</v>
      </c>
      <c r="AY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2" t="s">
        <v>47</v>
      </c>
      <c r="C857" s="1" t="s">
        <v>4274</v>
      </c>
      <c r="D857" s="1" t="s">
        <v>4274</v>
      </c>
      <c r="E857" s="1" t="s">
        <v>4278</v>
      </c>
      <c r="F857" s="1" t="s">
        <v>51</v>
      </c>
      <c r="G857" s="1">
        <v>266.0</v>
      </c>
      <c r="H857" s="1" t="s">
        <v>52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53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54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56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57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f t="shared" si="1"/>
        <v>350</v>
      </c>
      <c r="AM857" s="1">
        <v>266.0</v>
      </c>
      <c r="AN857" s="1">
        <v>278.0</v>
      </c>
      <c r="AO857" s="1">
        <v>241.0</v>
      </c>
      <c r="AP857" s="2">
        <v>11.0</v>
      </c>
      <c r="AQ857" s="1">
        <v>25.0</v>
      </c>
      <c r="AR857" s="1">
        <v>25.0</v>
      </c>
      <c r="AS857" s="1" t="s">
        <v>4279</v>
      </c>
      <c r="AT857" s="3" t="str">
        <f>HYPERLINK("https://icf.clappia.com/app/GMB253374/submission/ERG26658080/ICF247370-GMB253374-5llfdfbgfcac00000000/SIG-20250701_122412k5p3.jpeg", "SIG-20250701_122412k5p3.jpeg")</f>
        <v>SIG-20250701_122412k5p3.jpeg</v>
      </c>
      <c r="AU857" s="1" t="s">
        <v>4280</v>
      </c>
      <c r="AV857" s="3" t="str">
        <f>HYPERLINK("https://icf.clappia.com/app/GMB253374/submission/ERG26658080/ICF247370-GMB253374-471f8kolgm8400000000/SIG-20250701_1227bn0oc.jpeg", "SIG-20250701_1227bn0oc.jpeg")</f>
        <v>SIG-20250701_1227bn0oc.jpeg</v>
      </c>
      <c r="AW857" s="1" t="s">
        <v>1015</v>
      </c>
      <c r="AX857" s="3" t="str">
        <f>HYPERLINK("https://icf.clappia.com/app/GMB253374/submission/ERG26658080/ICF247370-GMB253374-2p1d807bd4e400000000/SIG-20250701_1239kmcm1.jpeg", "SIG-20250701_1239kmcm1.jpeg")</f>
        <v>SIG-20250701_1239kmcm1.jpeg</v>
      </c>
      <c r="AY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2" t="s">
        <v>47</v>
      </c>
      <c r="C858" s="1" t="s">
        <v>4282</v>
      </c>
      <c r="D858" s="1" t="s">
        <v>4282</v>
      </c>
      <c r="E858" s="1" t="s">
        <v>4240</v>
      </c>
      <c r="F858" s="1" t="s">
        <v>51</v>
      </c>
      <c r="G858" s="1">
        <v>500.0</v>
      </c>
      <c r="H858" s="1" t="s">
        <v>52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53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54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56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57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f t="shared" si="1"/>
        <v>503</v>
      </c>
      <c r="AM858" s="1">
        <v>500.0</v>
      </c>
      <c r="AN858" s="1">
        <v>512.0</v>
      </c>
      <c r="AO858" s="1">
        <v>493.0</v>
      </c>
      <c r="AP858" s="2">
        <v>11.0</v>
      </c>
      <c r="AQ858" s="1">
        <v>7.0</v>
      </c>
      <c r="AR858" s="1">
        <v>7.0</v>
      </c>
      <c r="AS858" s="1" t="s">
        <v>4241</v>
      </c>
      <c r="AT858" s="3" t="str">
        <f>HYPERLINK("https://icf.clappia.com/app/GMB253374/submission/UWE51526185/ICF247370-GMB253374-59ii0c7lleki00000000/SIG-20250701_12365j7k6.jpeg", "SIG-20250701_12365j7k6.jpeg")</f>
        <v>SIG-20250701_12365j7k6.jpeg</v>
      </c>
      <c r="AU858" s="1" t="s">
        <v>4283</v>
      </c>
      <c r="AV858" s="3" t="str">
        <f>HYPERLINK("https://icf.clappia.com/app/GMB253374/submission/UWE51526185/ICF247370-GMB253374-9mmjjn0l7bne0000000/SIG-20250701_1236i1alf.jpeg", "SIG-20250701_1236i1alf.jpeg")</f>
        <v>SIG-20250701_1236i1alf.jpeg</v>
      </c>
      <c r="AW858" s="1" t="s">
        <v>4243</v>
      </c>
      <c r="AX858" s="3" t="str">
        <f>HYPERLINK("https://icf.clappia.com/app/GMB253374/submission/UWE51526185/ICF247370-GMB253374-iij93e3dgalm0000000/SIG-20250701_123765c2b.jpeg", "SIG-20250701_123765c2b.jpeg")</f>
        <v>SIG-20250701_123765c2b.jpeg</v>
      </c>
      <c r="AY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2" t="s">
        <v>47</v>
      </c>
      <c r="C859" s="1" t="s">
        <v>2450</v>
      </c>
      <c r="D859" s="1" t="s">
        <v>2450</v>
      </c>
      <c r="E859" s="1" t="s">
        <v>4285</v>
      </c>
      <c r="F859" s="1" t="s">
        <v>51</v>
      </c>
      <c r="G859" s="1">
        <v>106.0</v>
      </c>
      <c r="H859" s="1" t="s">
        <v>52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53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54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56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57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f t="shared" si="1"/>
        <v>86</v>
      </c>
      <c r="AM859" s="1">
        <v>106.0</v>
      </c>
      <c r="AN859" s="1">
        <v>118.0</v>
      </c>
      <c r="AO859" s="1">
        <v>86.0</v>
      </c>
      <c r="AP859" s="2">
        <v>11.0</v>
      </c>
      <c r="AQ859" s="1">
        <v>20.0</v>
      </c>
      <c r="AR859" s="1">
        <v>20.0</v>
      </c>
      <c r="AS859" s="1" t="s">
        <v>4286</v>
      </c>
      <c r="AT859" s="3" t="str">
        <f>HYPERLINK("https://icf.clappia.com/app/GMB253374/submission/IBY91761451/ICF247370-GMB253374-jjb5oc54bim40000000/SIG-20250701_122715ia2l.jpeg", "SIG-20250701_122715ia2l.jpeg")</f>
        <v>SIG-20250701_122715ia2l.jpeg</v>
      </c>
      <c r="AU859" s="1" t="s">
        <v>3406</v>
      </c>
      <c r="AV859" s="3" t="str">
        <f>HYPERLINK("https://icf.clappia.com/app/GMB253374/submission/IBY91761451/ICF247370-GMB253374-108e36bc7o3360000000/SIG-20250701_1227co09.jpeg", "SIG-20250701_1227co09.jpeg")</f>
        <v>SIG-20250701_1227co09.jpeg</v>
      </c>
      <c r="AW859" s="1" t="s">
        <v>4287</v>
      </c>
      <c r="AX859" s="3" t="str">
        <f>HYPERLINK("https://icf.clappia.com/app/GMB253374/submission/IBY91761451/ICF247370-GMB253374-3p5k8miolpja00000000/SIG-20250701_12274155n.jpeg", "SIG-20250701_12274155n.jpeg")</f>
        <v>SIG-20250701_12274155n.jpeg</v>
      </c>
      <c r="AY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2" t="s">
        <v>47</v>
      </c>
      <c r="C860" s="1" t="s">
        <v>4289</v>
      </c>
      <c r="D860" s="1" t="s">
        <v>2450</v>
      </c>
      <c r="E860" s="1" t="s">
        <v>4290</v>
      </c>
      <c r="F860" s="1" t="s">
        <v>72</v>
      </c>
      <c r="G860" s="1">
        <v>173.0</v>
      </c>
      <c r="H860" s="1" t="s">
        <v>52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53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54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56</v>
      </c>
      <c r="AA860" s="1" t="s">
        <v>55</v>
      </c>
      <c r="AB860" s="1" t="s">
        <v>55</v>
      </c>
      <c r="AC860" s="1" t="s">
        <v>55</v>
      </c>
      <c r="AD860" s="1" t="s">
        <v>55</v>
      </c>
      <c r="AE860" s="1" t="s">
        <v>55</v>
      </c>
      <c r="AF860" s="1" t="s">
        <v>57</v>
      </c>
      <c r="AG860" s="1" t="s">
        <v>55</v>
      </c>
      <c r="AH860" s="1" t="s">
        <v>55</v>
      </c>
      <c r="AI860" s="1" t="s">
        <v>55</v>
      </c>
      <c r="AJ860" s="1" t="s">
        <v>55</v>
      </c>
      <c r="AK860" s="1" t="s">
        <v>55</v>
      </c>
      <c r="AL860" s="1">
        <f t="shared" si="1"/>
        <v>80</v>
      </c>
      <c r="AM860" s="1">
        <v>173.0</v>
      </c>
      <c r="AN860" s="1">
        <v>185.0</v>
      </c>
      <c r="AO860" s="1">
        <v>41.0</v>
      </c>
      <c r="AP860" s="2">
        <v>11.0</v>
      </c>
      <c r="AQ860" s="1">
        <v>132.0</v>
      </c>
      <c r="AR860" s="1">
        <v>132.0</v>
      </c>
      <c r="AS860" s="1" t="s">
        <v>4291</v>
      </c>
      <c r="AT860" s="3" t="str">
        <f>HYPERLINK("https://icf.clappia.com/app/GMB253374/submission/YFD02299728/ICF247370-GMB253374-9igj23k718fi0000000/SIG-20250701_1233n0lem.jpeg", "SIG-20250701_1233n0lem.jpeg")</f>
        <v>SIG-20250701_1233n0lem.jpeg</v>
      </c>
      <c r="AU860" s="1" t="s">
        <v>4292</v>
      </c>
      <c r="AV860" s="3" t="str">
        <f>HYPERLINK("https://icf.clappia.com/app/GMB253374/submission/YFD02299728/ICF247370-GMB253374-a0ol94b8p0pe0000000/SIG-20250701_1234c89f2.jpeg", "SIG-20250701_1234c89f2.jpeg")</f>
        <v>SIG-20250701_1234c89f2.jpeg</v>
      </c>
      <c r="AW860" s="1" t="s">
        <v>4293</v>
      </c>
      <c r="AX860" s="3" t="str">
        <f>HYPERLINK("https://icf.clappia.com/app/GMB253374/submission/YFD02299728/ICF247370-GMB253374-54b9h7o1g34000000000/SIG-20250701_12361194dk.jpeg", "SIG-20250701_12361194dk.jpeg")</f>
        <v>SIG-20250701_12361194dk.jpeg</v>
      </c>
      <c r="AY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2" t="s">
        <v>47</v>
      </c>
      <c r="C861" s="1" t="s">
        <v>4289</v>
      </c>
      <c r="D861" s="1" t="s">
        <v>4289</v>
      </c>
      <c r="E861" s="1" t="s">
        <v>4295</v>
      </c>
      <c r="F861" s="1" t="s">
        <v>51</v>
      </c>
      <c r="G861" s="1">
        <v>239.0</v>
      </c>
      <c r="H861" s="1" t="s">
        <v>52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53</v>
      </c>
      <c r="O861" s="1" t="s">
        <v>55</v>
      </c>
      <c r="P861" s="1" t="s">
        <v>55</v>
      </c>
      <c r="Q861" s="1" t="s">
        <v>55</v>
      </c>
      <c r="R861" s="1" t="s">
        <v>55</v>
      </c>
      <c r="S861" s="1" t="s">
        <v>55</v>
      </c>
      <c r="T861" s="1" t="s">
        <v>54</v>
      </c>
      <c r="U861" s="1" t="s">
        <v>55</v>
      </c>
      <c r="V861" s="1" t="s">
        <v>55</v>
      </c>
      <c r="W861" s="1" t="s">
        <v>55</v>
      </c>
      <c r="X861" s="1" t="s">
        <v>55</v>
      </c>
      <c r="Y861" s="1" t="s">
        <v>55</v>
      </c>
      <c r="Z861" s="1" t="s">
        <v>56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57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f t="shared" si="1"/>
        <v>455</v>
      </c>
      <c r="AM861" s="1">
        <v>239.0</v>
      </c>
      <c r="AN861" s="1">
        <v>251.0</v>
      </c>
      <c r="AO861" s="1">
        <v>239.0</v>
      </c>
      <c r="AP861" s="2">
        <v>11.0</v>
      </c>
      <c r="AQ861" s="1">
        <v>0.0</v>
      </c>
      <c r="AR861" s="1">
        <v>0.0</v>
      </c>
      <c r="AS861" s="1" t="s">
        <v>4296</v>
      </c>
      <c r="AT861" s="3" t="str">
        <f>HYPERLINK("https://icf.clappia.com/app/GMB253374/submission/AQE81445776/ICF247370-GMB253374-51e8hmo9a70400000000/SIG-20250701_1219ai9k8.jpeg", "SIG-20250701_1219ai9k8.jpeg")</f>
        <v>SIG-20250701_1219ai9k8.jpeg</v>
      </c>
      <c r="AU861" s="1" t="s">
        <v>3071</v>
      </c>
      <c r="AV861" s="3" t="str">
        <f>HYPERLINK("https://icf.clappia.com/app/GMB253374/submission/AQE81445776/ICF247370-GMB253374-53mh31f1j4co00000000/SIG-20250701_1219o54f2.jpeg", "SIG-20250701_1219o54f2.jpeg")</f>
        <v>SIG-20250701_1219o54f2.jpeg</v>
      </c>
      <c r="AW861" s="1" t="s">
        <v>4297</v>
      </c>
      <c r="AX861" s="3" t="str">
        <f>HYPERLINK("https://icf.clappia.com/app/GMB253374/submission/AQE81445776/ICF247370-GMB253374-15h9a8glb33440000000/SIG-20250701_1232b0loa.jpeg", "SIG-20250701_1232b0loa.jpeg")</f>
        <v>SIG-20250701_1232b0loa.jpeg</v>
      </c>
      <c r="AY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2" t="s">
        <v>47</v>
      </c>
      <c r="C862" s="1" t="s">
        <v>4299</v>
      </c>
      <c r="D862" s="1" t="s">
        <v>4299</v>
      </c>
      <c r="E862" s="1" t="s">
        <v>4300</v>
      </c>
      <c r="F862" s="1" t="s">
        <v>51</v>
      </c>
      <c r="G862" s="1">
        <v>293.0</v>
      </c>
      <c r="H862" s="1" t="s">
        <v>52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53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54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56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55</v>
      </c>
      <c r="AF862" s="1" t="s">
        <v>57</v>
      </c>
      <c r="AG862" s="1" t="s">
        <v>55</v>
      </c>
      <c r="AH862" s="1" t="s">
        <v>55</v>
      </c>
      <c r="AI862" s="1" t="s">
        <v>55</v>
      </c>
      <c r="AJ862" s="1" t="s">
        <v>55</v>
      </c>
      <c r="AK862" s="1" t="s">
        <v>55</v>
      </c>
      <c r="AL862" s="1">
        <f t="shared" si="1"/>
        <v>599</v>
      </c>
      <c r="AM862" s="1">
        <v>293.0</v>
      </c>
      <c r="AN862" s="1">
        <v>305.0</v>
      </c>
      <c r="AO862" s="1">
        <v>293.0</v>
      </c>
      <c r="AP862" s="2">
        <v>11.0</v>
      </c>
      <c r="AQ862" s="1">
        <v>0.0</v>
      </c>
      <c r="AR862" s="1">
        <v>0.0</v>
      </c>
      <c r="AS862" s="1" t="s">
        <v>4301</v>
      </c>
      <c r="AT862" s="3" t="str">
        <f>HYPERLINK("https://icf.clappia.com/app/GMB253374/submission/QNG60070932/ICF247370-GMB253374-1eel8bjem38ie0000000/SIG-20250701_12333gifa.jpeg", "SIG-20250701_12333gifa.jpeg")</f>
        <v>SIG-20250701_12333gifa.jpeg</v>
      </c>
      <c r="AU862" s="1" t="s">
        <v>4302</v>
      </c>
      <c r="AV862" s="3" t="str">
        <f>HYPERLINK("https://icf.clappia.com/app/GMB253374/submission/QNG60070932/ICF247370-GMB253374-b4hc6a92kgde0000000/SIG-20250701_11311a61j8.jpeg", "SIG-20250701_11311a61j8.jpeg")</f>
        <v>SIG-20250701_11311a61j8.jpeg</v>
      </c>
      <c r="AW862" s="1" t="s">
        <v>1270</v>
      </c>
      <c r="AX862" s="3" t="str">
        <f>HYPERLINK("https://icf.clappia.com/app/GMB253374/submission/QNG60070932/ICF247370-GMB253374-5839oome9f6200000000/SIG-20250701_1131mbc43.jpeg", "SIG-20250701_1131mbc43.jpeg")</f>
        <v>SIG-20250701_1131mbc43.jpeg</v>
      </c>
      <c r="AY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2" t="s">
        <v>47</v>
      </c>
      <c r="C863" s="1" t="s">
        <v>4304</v>
      </c>
      <c r="D863" s="1" t="s">
        <v>4304</v>
      </c>
      <c r="E863" s="1" t="s">
        <v>4305</v>
      </c>
      <c r="F863" s="1" t="s">
        <v>51</v>
      </c>
      <c r="G863" s="1">
        <v>174.0</v>
      </c>
      <c r="H863" s="1" t="s">
        <v>52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53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54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56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57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f t="shared" si="1"/>
        <v>130</v>
      </c>
      <c r="AM863" s="1">
        <v>174.0</v>
      </c>
      <c r="AN863" s="1">
        <v>186.0</v>
      </c>
      <c r="AO863" s="1">
        <v>51.0</v>
      </c>
      <c r="AP863" s="2">
        <v>11.0</v>
      </c>
      <c r="AQ863" s="1">
        <v>123.0</v>
      </c>
      <c r="AR863" s="1">
        <v>123.0</v>
      </c>
      <c r="AS863" s="1" t="s">
        <v>314</v>
      </c>
      <c r="AT863" s="3" t="str">
        <f>HYPERLINK("https://icf.clappia.com/app/GMB253374/submission/SYE54855996/ICF247370-GMB253374-3dm2nongd0d200000000/SIG-20250701_122814g0ob.jpeg", "SIG-20250701_122814g0ob.jpeg")</f>
        <v>SIG-20250701_122814g0ob.jpeg</v>
      </c>
      <c r="AU863" s="1" t="s">
        <v>4306</v>
      </c>
      <c r="AV863" s="3" t="str">
        <f>HYPERLINK("https://icf.clappia.com/app/GMB253374/submission/SYE54855996/ICF247370-GMB253374-20i2n5bcm2ami0000000/SIG-20250701_1228l8ngl.jpeg", "SIG-20250701_1228l8ngl.jpeg")</f>
        <v>SIG-20250701_1228l8ngl.jpeg</v>
      </c>
      <c r="AW863" s="1" t="s">
        <v>4307</v>
      </c>
      <c r="AX863" s="3" t="str">
        <f>HYPERLINK("https://icf.clappia.com/app/GMB253374/submission/SYE54855996/ICF247370-GMB253374-2i1gmc73defe00000000/SIG-20250701_122919331d.jpeg", "SIG-20250701_122919331d.jpeg")</f>
        <v>SIG-20250701_122919331d.jpeg</v>
      </c>
      <c r="AY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2" t="s">
        <v>47</v>
      </c>
      <c r="C864" s="1" t="s">
        <v>4304</v>
      </c>
      <c r="D864" s="1" t="s">
        <v>4304</v>
      </c>
      <c r="E864" s="1" t="s">
        <v>4309</v>
      </c>
      <c r="F864" s="1" t="s">
        <v>51</v>
      </c>
      <c r="G864" s="1">
        <v>322.0</v>
      </c>
      <c r="H864" s="1" t="s">
        <v>52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53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54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56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57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f t="shared" si="1"/>
        <v>330</v>
      </c>
      <c r="AM864" s="1">
        <v>322.0</v>
      </c>
      <c r="AN864" s="1">
        <v>334.0</v>
      </c>
      <c r="AO864" s="1">
        <v>312.0</v>
      </c>
      <c r="AP864" s="2">
        <v>11.0</v>
      </c>
      <c r="AQ864" s="1">
        <v>10.0</v>
      </c>
      <c r="AR864" s="1">
        <v>10.0</v>
      </c>
      <c r="AS864" s="1" t="s">
        <v>2310</v>
      </c>
      <c r="AT864" s="3" t="str">
        <f>HYPERLINK("https://icf.clappia.com/app/GMB253374/submission/RTA19913101/ICF247370-GMB253374-20pm8mmgdah8i0000000/SIG-20250701_12333mn2d.jpeg", "SIG-20250701_12333mn2d.jpeg")</f>
        <v>SIG-20250701_12333mn2d.jpeg</v>
      </c>
      <c r="AU864" s="1" t="s">
        <v>2311</v>
      </c>
      <c r="AV864" s="3" t="str">
        <f>HYPERLINK("https://icf.clappia.com/app/GMB253374/submission/RTA19913101/ICF247370-GMB253374-f9j27o2i6e000000000/SIG-20250701_123319294b.jpeg", "SIG-20250701_123319294b.jpeg")</f>
        <v>SIG-20250701_123319294b.jpeg</v>
      </c>
      <c r="AW864" s="1" t="s">
        <v>2312</v>
      </c>
      <c r="AX864" s="3" t="str">
        <f>HYPERLINK("https://icf.clappia.com/app/GMB253374/submission/RTA19913101/ICF247370-GMB253374-48og4k72674c00000000/SIG-20250701_123416e172.jpeg", "SIG-20250701_123416e172.jpeg")</f>
        <v>SIG-20250701_123416e172.jpeg</v>
      </c>
      <c r="AY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2" t="s">
        <v>47</v>
      </c>
      <c r="C865" s="1" t="s">
        <v>4311</v>
      </c>
      <c r="D865" s="1" t="s">
        <v>4311</v>
      </c>
      <c r="E865" s="1" t="s">
        <v>4312</v>
      </c>
      <c r="F865" s="1" t="s">
        <v>51</v>
      </c>
      <c r="G865" s="1">
        <v>201.0</v>
      </c>
      <c r="H865" s="1" t="s">
        <v>52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53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54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56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57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f t="shared" si="1"/>
        <v>173</v>
      </c>
      <c r="AM865" s="1">
        <v>201.0</v>
      </c>
      <c r="AN865" s="1">
        <v>213.0</v>
      </c>
      <c r="AO865" s="1">
        <v>173.0</v>
      </c>
      <c r="AP865" s="2">
        <v>11.0</v>
      </c>
      <c r="AQ865" s="1">
        <v>28.0</v>
      </c>
      <c r="AR865" s="1">
        <v>28.0</v>
      </c>
      <c r="AS865" s="1" t="s">
        <v>1816</v>
      </c>
      <c r="AT865" s="3" t="str">
        <f>HYPERLINK("https://icf.clappia.com/app/GMB253374/submission/KAL06060712/ICF247370-GMB253374-170h0pi2l91g40000000/SIG-20250701_1230451p0.jpeg", "SIG-20250701_1230451p0.jpeg")</f>
        <v>SIG-20250701_1230451p0.jpeg</v>
      </c>
      <c r="AU865" s="1" t="s">
        <v>1817</v>
      </c>
      <c r="AV865" s="3" t="str">
        <f>HYPERLINK("https://icf.clappia.com/app/GMB253374/submission/KAL06060712/ICF247370-GMB253374-62a3ap801im000000000/SIG-20250701_123168mo2.jpeg", "SIG-20250701_123168mo2.jpeg")</f>
        <v>SIG-20250701_123168mo2.jpeg</v>
      </c>
      <c r="AW865" s="1" t="s">
        <v>1818</v>
      </c>
      <c r="AX865" s="3" t="str">
        <f>HYPERLINK("https://icf.clappia.com/app/GMB253374/submission/KAL06060712/ICF247370-GMB253374-3oid753h6ji000000000/SIG-20250701_123213h952.jpeg", "SIG-20250701_123213h952.jpeg")</f>
        <v>SIG-20250701_123213h952.jpeg</v>
      </c>
      <c r="AY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2" t="s">
        <v>47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126.0</v>
      </c>
      <c r="H866" s="1" t="s">
        <v>52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53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54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56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57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f t="shared" si="1"/>
        <v>128</v>
      </c>
      <c r="AM866" s="1">
        <v>126.0</v>
      </c>
      <c r="AN866" s="1">
        <v>138.0</v>
      </c>
      <c r="AO866" s="1">
        <v>125.0</v>
      </c>
      <c r="AP866" s="2">
        <v>11.0</v>
      </c>
      <c r="AQ866" s="1">
        <v>1.0</v>
      </c>
      <c r="AR866" s="1">
        <v>1.0</v>
      </c>
      <c r="AS866" s="1" t="s">
        <v>1314</v>
      </c>
      <c r="AT866" s="3" t="str">
        <f>HYPERLINK("https://icf.clappia.com/app/GMB253374/submission/JOA85175089/ICF247370-GMB253374-mag9mgjn5cn20000000/SIG-20250701_1229hk04k.jpeg", "SIG-20250701_1229hk04k.jpeg")</f>
        <v>SIG-20250701_1229hk04k.jpeg</v>
      </c>
      <c r="AU866" s="1" t="s">
        <v>1975</v>
      </c>
      <c r="AV866" s="3" t="str">
        <f>HYPERLINK("https://icf.clappia.com/app/GMB253374/submission/JOA85175089/ICF247370-GMB253374-16e5fko91fo6c0000000/SIG-20250701_1230i9dg2.jpeg", "SIG-20250701_1230i9dg2.jpeg")</f>
        <v>SIG-20250701_1230i9dg2.jpeg</v>
      </c>
      <c r="AW866" s="1" t="s">
        <v>4315</v>
      </c>
      <c r="AX866" s="3" t="str">
        <f>HYPERLINK("https://icf.clappia.com/app/GMB253374/submission/JOA85175089/ICF247370-GMB253374-644lia9n8nh200000000/SIG-20250701_1230g4j5o.jpeg", "SIG-20250701_1230g4j5o.jpeg")</f>
        <v>SIG-20250701_1230g4j5o.jpeg</v>
      </c>
      <c r="AY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2" t="s">
        <v>47</v>
      </c>
      <c r="C867" s="1" t="s">
        <v>192</v>
      </c>
      <c r="D867" s="1" t="s">
        <v>192</v>
      </c>
      <c r="E867" s="1" t="s">
        <v>4317</v>
      </c>
      <c r="F867" s="1" t="s">
        <v>51</v>
      </c>
      <c r="G867" s="1">
        <v>150.0</v>
      </c>
      <c r="H867" s="1" t="s">
        <v>52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53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54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56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57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f t="shared" si="1"/>
        <v>139</v>
      </c>
      <c r="AM867" s="1">
        <v>150.0</v>
      </c>
      <c r="AN867" s="1">
        <v>162.0</v>
      </c>
      <c r="AO867" s="1">
        <v>132.0</v>
      </c>
      <c r="AP867" s="2">
        <v>11.0</v>
      </c>
      <c r="AQ867" s="1">
        <v>18.0</v>
      </c>
      <c r="AR867" s="1">
        <v>18.0</v>
      </c>
      <c r="AS867" s="1" t="s">
        <v>4318</v>
      </c>
      <c r="AT867" s="3" t="str">
        <f>HYPERLINK("https://icf.clappia.com/app/GMB253374/submission/XEX40147700/ICF247370-GMB253374-g69pj0836fgk0000000/SIG-20250630_130478iei.jpeg", "SIG-20250630_130478iei.jpeg")</f>
        <v>SIG-20250630_130478iei.jpeg</v>
      </c>
      <c r="AU867" s="1" t="s">
        <v>2376</v>
      </c>
      <c r="AV867" s="3" t="str">
        <f>HYPERLINK("https://icf.clappia.com/app/GMB253374/submission/XEX40147700/ICF247370-GMB253374-2gl4fm6bdno000000000/SIG-20250630_1307144dpj.jpeg", "SIG-20250630_1307144dpj.jpeg")</f>
        <v>SIG-20250630_1307144dpj.jpeg</v>
      </c>
      <c r="AW867" s="1" t="s">
        <v>4319</v>
      </c>
      <c r="AX867" s="3" t="str">
        <f>HYPERLINK("https://icf.clappia.com/app/GMB253374/submission/XEX40147700/ICF247370-GMB253374-63mdo860l2ki00000000/SIG-20250630_130759mea.jpeg", "SIG-20250630_130759mea.jpeg")</f>
        <v>SIG-20250630_130759mea.jpeg</v>
      </c>
      <c r="AY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2" t="s">
        <v>47</v>
      </c>
      <c r="C868" s="1" t="s">
        <v>4321</v>
      </c>
      <c r="D868" s="1" t="s">
        <v>4321</v>
      </c>
      <c r="E868" s="1" t="s">
        <v>4322</v>
      </c>
      <c r="F868" s="1" t="s">
        <v>51</v>
      </c>
      <c r="G868" s="1">
        <v>450.0</v>
      </c>
      <c r="H868" s="1" t="s">
        <v>52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53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54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56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57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f t="shared" si="1"/>
        <v>462</v>
      </c>
      <c r="AM868" s="1">
        <v>450.0</v>
      </c>
      <c r="AN868" s="1">
        <v>462.0</v>
      </c>
      <c r="AO868" s="1">
        <v>430.0</v>
      </c>
      <c r="AP868" s="2">
        <v>11.0</v>
      </c>
      <c r="AQ868" s="1">
        <v>20.0</v>
      </c>
      <c r="AR868" s="1">
        <v>20.0</v>
      </c>
      <c r="AS868" s="1" t="s">
        <v>2566</v>
      </c>
      <c r="AT868" s="3" t="str">
        <f>HYPERLINK("https://icf.clappia.com/app/GMB253374/submission/IEE10487791/ICF247370-GMB253374-3hapmj3j2ma200000000/SIG-20250701_1147nhj7l.jpeg", "SIG-20250701_1147nhj7l.jpeg")</f>
        <v>SIG-20250701_1147nhj7l.jpeg</v>
      </c>
      <c r="AU868" s="1" t="s">
        <v>3112</v>
      </c>
      <c r="AV868" s="3" t="str">
        <f>HYPERLINK("https://icf.clappia.com/app/GMB253374/submission/IEE10487791/ICF247370-GMB253374-4iopgh4611lk00000000/SIG-20250701_1229132dbi.jpeg", "SIG-20250701_1229132dbi.jpeg")</f>
        <v>SIG-20250701_1229132dbi.jpeg</v>
      </c>
      <c r="AW868" s="1" t="s">
        <v>4323</v>
      </c>
      <c r="AX868" s="3" t="str">
        <f>HYPERLINK("https://icf.clappia.com/app/GMB253374/submission/IEE10487791/ICF247370-GMB253374-l76a5begnkba0000000/SIG-20250701_1149jc272.jpeg", "SIG-20250701_1149jc272.jpeg")</f>
        <v>SIG-20250701_1149jc272.jpeg</v>
      </c>
      <c r="AY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2" t="s">
        <v>47</v>
      </c>
      <c r="C869" s="1" t="s">
        <v>4321</v>
      </c>
      <c r="D869" s="1" t="s">
        <v>4321</v>
      </c>
      <c r="E869" s="2" t="s">
        <v>4325</v>
      </c>
      <c r="F869" s="1" t="s">
        <v>51</v>
      </c>
      <c r="G869" s="1">
        <v>150.0</v>
      </c>
      <c r="H869" s="1" t="s">
        <v>52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53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54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56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57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f t="shared" si="1"/>
        <v>155</v>
      </c>
      <c r="AM869" s="1">
        <v>150.0</v>
      </c>
      <c r="AN869" s="1">
        <v>162.0</v>
      </c>
      <c r="AO869" s="1">
        <v>119.0</v>
      </c>
      <c r="AP869" s="2">
        <v>11.0</v>
      </c>
      <c r="AQ869" s="1">
        <v>31.0</v>
      </c>
      <c r="AR869" s="1">
        <v>31.0</v>
      </c>
      <c r="AS869" s="1" t="s">
        <v>1556</v>
      </c>
      <c r="AT869" s="3" t="str">
        <f>HYPERLINK("https://icf.clappia.com/app/GMB253374/submission/TSY64850684/ICF247370-GMB253374-d1n2mn0k4p1a0000000/SIG-20250630_1702pobfe.jpeg", "SIG-20250630_1702pobfe.jpeg")</f>
        <v>SIG-20250630_1702pobfe.jpeg</v>
      </c>
      <c r="AU869" s="1" t="s">
        <v>1557</v>
      </c>
      <c r="AV869" s="3" t="str">
        <f>HYPERLINK("https://icf.clappia.com/app/GMB253374/submission/TSY64850684/ICF247370-GMB253374-1ep7a6mbp7kmi0000000/SIG-20250701_1227h9cmd.jpeg", "SIG-20250701_1227h9cmd.jpeg")</f>
        <v>SIG-20250701_1227h9cmd.jpeg</v>
      </c>
      <c r="AW869" s="1" t="s">
        <v>4326</v>
      </c>
      <c r="AX869" s="3" t="str">
        <f>HYPERLINK("https://icf.clappia.com/app/GMB253374/submission/TSY64850684/ICF247370-GMB253374-37d0oe2ki0l600000000/SIG-20250701_122911lgfn.jpeg", "SIG-20250701_122911lgfn.jpeg")</f>
        <v>SIG-20250701_122911lgfn.jpeg</v>
      </c>
      <c r="AY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2" t="s">
        <v>47</v>
      </c>
      <c r="C870" s="1" t="s">
        <v>4321</v>
      </c>
      <c r="D870" s="1" t="s">
        <v>4321</v>
      </c>
      <c r="E870" s="1" t="s">
        <v>4328</v>
      </c>
      <c r="F870" s="1" t="s">
        <v>51</v>
      </c>
      <c r="G870" s="1">
        <v>353.0</v>
      </c>
      <c r="H870" s="1" t="s">
        <v>52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53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54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56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57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f t="shared" si="1"/>
        <v>353</v>
      </c>
      <c r="AM870" s="1">
        <v>353.0</v>
      </c>
      <c r="AN870" s="1">
        <v>365.0</v>
      </c>
      <c r="AO870" s="1">
        <v>261.0</v>
      </c>
      <c r="AP870" s="2">
        <v>11.0</v>
      </c>
      <c r="AQ870" s="1">
        <v>92.0</v>
      </c>
      <c r="AR870" s="1">
        <v>92.0</v>
      </c>
      <c r="AS870" s="1" t="s">
        <v>4329</v>
      </c>
      <c r="AT870" s="3" t="str">
        <f>HYPERLINK("https://icf.clappia.com/app/GMB253374/submission/HBR88375017/ICF247370-GMB253374-2dolj2ho604000000000/SIG-20250701_12165c4dg.jpeg", "SIG-20250701_12165c4dg.jpeg")</f>
        <v>SIG-20250701_12165c4dg.jpeg</v>
      </c>
      <c r="AU870" s="1" t="s">
        <v>4330</v>
      </c>
      <c r="AV870" s="3" t="str">
        <f>HYPERLINK("https://icf.clappia.com/app/GMB253374/submission/HBR88375017/ICF247370-GMB253374-6ap1eo6pkco400000000/SIG-20250701_12178lhij.jpeg", "SIG-20250701_12178lhij.jpeg")</f>
        <v>SIG-20250701_12178lhij.jpeg</v>
      </c>
      <c r="AW870" s="1" t="s">
        <v>2583</v>
      </c>
      <c r="AX870" s="3" t="str">
        <f>HYPERLINK("https://icf.clappia.com/app/GMB253374/submission/HBR88375017/ICF247370-GMB253374-1978f0ie4h5840000000/SIG-20250701_12172lnf0.jpeg", "SIG-20250701_12172lnf0.jpeg")</f>
        <v>SIG-20250701_12172lnf0.jpeg</v>
      </c>
      <c r="AY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2" t="s">
        <v>47</v>
      </c>
      <c r="C871" s="1" t="s">
        <v>4321</v>
      </c>
      <c r="D871" s="1" t="s">
        <v>4321</v>
      </c>
      <c r="E871" s="1" t="s">
        <v>4332</v>
      </c>
      <c r="F871" s="1" t="s">
        <v>51</v>
      </c>
      <c r="G871" s="1">
        <v>90.0</v>
      </c>
      <c r="H871" s="1" t="s">
        <v>52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53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54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56</v>
      </c>
      <c r="AA871" s="1">
        <v>43.0</v>
      </c>
      <c r="AB871" s="1">
        <v>9.0</v>
      </c>
      <c r="AC871" s="1" t="s">
        <v>55</v>
      </c>
      <c r="AD871" s="1">
        <v>34.0</v>
      </c>
      <c r="AE871" s="1" t="s">
        <v>55</v>
      </c>
      <c r="AF871" s="1" t="s">
        <v>57</v>
      </c>
      <c r="AG871" s="1">
        <v>52.0</v>
      </c>
      <c r="AH871" s="1">
        <v>24.0</v>
      </c>
      <c r="AI871" s="1" t="s">
        <v>55</v>
      </c>
      <c r="AJ871" s="1">
        <v>28.0</v>
      </c>
      <c r="AK871" s="1" t="s">
        <v>55</v>
      </c>
      <c r="AL871" s="1">
        <f t="shared" si="1"/>
        <v>221</v>
      </c>
      <c r="AM871" s="1">
        <v>90.0</v>
      </c>
      <c r="AN871" s="1">
        <v>102.0</v>
      </c>
      <c r="AO871" s="1">
        <v>90.0</v>
      </c>
      <c r="AP871" s="2">
        <v>11.0</v>
      </c>
      <c r="AQ871" s="1">
        <v>0.0</v>
      </c>
      <c r="AR871" s="1">
        <v>0.0</v>
      </c>
      <c r="AS871" s="1" t="s">
        <v>4333</v>
      </c>
      <c r="AT871" s="3" t="str">
        <f>HYPERLINK("https://icf.clappia.com/app/GMB253374/submission/PZW54755145/ICF247370-GMB253374-40cngaakemkg00000000/SIG-20250701_111314p0de.jpeg", "SIG-20250701_111314p0de.jpeg")</f>
        <v>SIG-20250701_111314p0de.jpeg</v>
      </c>
      <c r="AU871" s="1" t="s">
        <v>1427</v>
      </c>
      <c r="AV871" s="3" t="str">
        <f>HYPERLINK("https://icf.clappia.com/app/GMB253374/submission/PZW54755145/ICF247370-GMB253374-36n6ojd11ll000000000/SIG-20250701_1114152lfa.jpeg", "SIG-20250701_1114152lfa.jpeg")</f>
        <v>SIG-20250701_1114152lfa.jpeg</v>
      </c>
      <c r="AW871" s="1" t="s">
        <v>1428</v>
      </c>
      <c r="AX871" s="3" t="str">
        <f>HYPERLINK("https://icf.clappia.com/app/GMB253374/submission/PZW54755145/ICF247370-GMB253374-9b1coik8e8640000000/SIG-20250701_1115bh80d.jpeg", "SIG-20250701_1115bh80d.jpeg")</f>
        <v>SIG-20250701_1115bh80d.jpeg</v>
      </c>
      <c r="AY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2" t="s">
        <v>47</v>
      </c>
      <c r="C872" s="1" t="s">
        <v>4335</v>
      </c>
      <c r="D872" s="1" t="s">
        <v>4335</v>
      </c>
      <c r="E872" s="1" t="s">
        <v>4336</v>
      </c>
      <c r="F872" s="1" t="s">
        <v>51</v>
      </c>
      <c r="G872" s="1">
        <v>159.0</v>
      </c>
      <c r="H872" s="1" t="s">
        <v>52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53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54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56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57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f t="shared" si="1"/>
        <v>159</v>
      </c>
      <c r="AM872" s="1">
        <v>159.0</v>
      </c>
      <c r="AN872" s="1">
        <v>171.0</v>
      </c>
      <c r="AO872" s="1">
        <v>154.0</v>
      </c>
      <c r="AP872" s="2">
        <v>11.0</v>
      </c>
      <c r="AQ872" s="1">
        <v>5.0</v>
      </c>
      <c r="AR872" s="1">
        <v>5.0</v>
      </c>
      <c r="AS872" s="1" t="s">
        <v>3386</v>
      </c>
      <c r="AT872" s="3" t="str">
        <f>HYPERLINK("https://icf.clappia.com/app/GMB253374/submission/XEJ89595758/ICF247370-GMB253374-chacnha7k9nc000000/SIG-20250701_122464lc8.jpeg", "SIG-20250701_122464lc8.jpeg")</f>
        <v>SIG-20250701_122464lc8.jpeg</v>
      </c>
      <c r="AU872" s="1" t="s">
        <v>4337</v>
      </c>
      <c r="AV872" s="3" t="str">
        <f>HYPERLINK("https://icf.clappia.com/app/GMB253374/submission/XEJ89595758/ICF247370-GMB253374-1kcpi2p3ca42c0000000/SIG-20250701_12168ik9m.jpeg", "SIG-20250701_12168ik9m.jpeg")</f>
        <v>SIG-20250701_12168ik9m.jpeg</v>
      </c>
      <c r="AW872" s="1" t="s">
        <v>4338</v>
      </c>
      <c r="AX872" s="3" t="str">
        <f>HYPERLINK("https://icf.clappia.com/app/GMB253374/submission/XEJ89595758/ICF247370-GMB253374-57pdbfdidea000000000/SIG-20250701_12254ljk6.jpeg", "SIG-20250701_12254ljk6.jpeg")</f>
        <v>SIG-20250701_12254ljk6.jpeg</v>
      </c>
      <c r="AY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2" t="s">
        <v>47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215.0</v>
      </c>
      <c r="H873" s="1" t="s">
        <v>52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53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54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56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57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f t="shared" si="1"/>
        <v>214</v>
      </c>
      <c r="AM873" s="1">
        <v>215.0</v>
      </c>
      <c r="AN873" s="1">
        <v>227.0</v>
      </c>
      <c r="AO873" s="1">
        <v>214.0</v>
      </c>
      <c r="AP873" s="2">
        <v>11.0</v>
      </c>
      <c r="AQ873" s="1">
        <v>1.0</v>
      </c>
      <c r="AR873" s="1">
        <v>1.0</v>
      </c>
      <c r="AS873" s="1" t="s">
        <v>1714</v>
      </c>
      <c r="AT873" s="3" t="str">
        <f>HYPERLINK("https://icf.clappia.com/app/GMB253374/submission/RQJ26297181/ICF247370-GMB253374-5acd4blhba0k00000000/SIG-20250701_12258aejl.jpeg", "SIG-20250701_12258aejl.jpeg")</f>
        <v>SIG-20250701_12258aejl.jpeg</v>
      </c>
      <c r="AU873" s="1" t="s">
        <v>1715</v>
      </c>
      <c r="AV873" s="3" t="str">
        <f>HYPERLINK("https://icf.clappia.com/app/GMB253374/submission/RQJ26297181/ICF247370-GMB253374-3lembmhj5a4k00000000/SIG-20250701_1226gc8c8.jpeg", "SIG-20250701_1226gc8c8.jpeg")</f>
        <v>SIG-20250701_1226gc8c8.jpeg</v>
      </c>
      <c r="AW873" s="1" t="s">
        <v>1716</v>
      </c>
      <c r="AX873" s="3" t="str">
        <f>HYPERLINK("https://icf.clappia.com/app/GMB253374/submission/RQJ26297181/ICF247370-GMB253374-151an68g5gl8c0000000/SIG-20250701_1227lkjp1.jpeg", "SIG-20250701_1227lkjp1.jpeg")</f>
        <v>SIG-20250701_1227lkjp1.jpeg</v>
      </c>
      <c r="AY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2" t="s">
        <v>47</v>
      </c>
      <c r="C874" s="1" t="s">
        <v>4342</v>
      </c>
      <c r="D874" s="1" t="s">
        <v>4342</v>
      </c>
      <c r="E874" s="1" t="s">
        <v>4343</v>
      </c>
      <c r="F874" s="1" t="s">
        <v>51</v>
      </c>
      <c r="G874" s="1">
        <v>200.0</v>
      </c>
      <c r="H874" s="1" t="s">
        <v>52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53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54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56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57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f t="shared" si="1"/>
        <v>174</v>
      </c>
      <c r="AM874" s="1">
        <v>200.0</v>
      </c>
      <c r="AN874" s="1">
        <v>212.0</v>
      </c>
      <c r="AO874" s="1">
        <v>166.0</v>
      </c>
      <c r="AP874" s="2">
        <v>11.0</v>
      </c>
      <c r="AQ874" s="1">
        <v>34.0</v>
      </c>
      <c r="AR874" s="1">
        <v>34.0</v>
      </c>
      <c r="AS874" s="1" t="s">
        <v>4344</v>
      </c>
      <c r="AT874" s="3" t="str">
        <f>HYPERLINK("https://icf.clappia.com/app/GMB253374/submission/MWB46620715/ICF247370-GMB253374-10kfcf7lfbkk00000000/SIG-20250701_1223174ge5.jpeg", "SIG-20250701_1223174ge5.jpeg")</f>
        <v>SIG-20250701_1223174ge5.jpeg</v>
      </c>
      <c r="AU874" s="1" t="s">
        <v>4345</v>
      </c>
      <c r="AV874" s="3" t="str">
        <f>HYPERLINK("https://icf.clappia.com/app/GMB253374/submission/MWB46620715/ICF247370-GMB253374-4cbb2hagbcpg00000000/SIG-20250701_12247oi0e.jpeg", "SIG-20250701_12247oi0e.jpeg")</f>
        <v>SIG-20250701_12247oi0e.jpeg</v>
      </c>
      <c r="AW874" s="1" t="s">
        <v>4346</v>
      </c>
      <c r="AX874" s="3" t="str">
        <f>HYPERLINK("https://icf.clappia.com/app/GMB253374/submission/MWB46620715/ICF247370-GMB253374-48p6cinag5f800000000/SIG-20250701_122619m14l.jpeg", "SIG-20250701_122619m14l.jpeg")</f>
        <v>SIG-20250701_122619m14l.jpeg</v>
      </c>
      <c r="AY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2" t="s">
        <v>47</v>
      </c>
      <c r="C875" s="1" t="s">
        <v>4342</v>
      </c>
      <c r="D875" s="1" t="s">
        <v>4342</v>
      </c>
      <c r="E875" s="1" t="s">
        <v>4348</v>
      </c>
      <c r="F875" s="1" t="s">
        <v>51</v>
      </c>
      <c r="G875" s="1">
        <v>300.0</v>
      </c>
      <c r="H875" s="1" t="s">
        <v>52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53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54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56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57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f t="shared" si="1"/>
        <v>346</v>
      </c>
      <c r="AM875" s="1">
        <v>300.0</v>
      </c>
      <c r="AN875" s="1">
        <v>312.0</v>
      </c>
      <c r="AO875" s="1">
        <v>290.0</v>
      </c>
      <c r="AP875" s="2">
        <v>11.0</v>
      </c>
      <c r="AQ875" s="1">
        <v>10.0</v>
      </c>
      <c r="AR875" s="1">
        <v>10.0</v>
      </c>
      <c r="AS875" s="1" t="s">
        <v>3091</v>
      </c>
      <c r="AT875" s="3" t="str">
        <f>HYPERLINK("https://icf.clappia.com/app/GMB253374/submission/MLN87060005/ICF247370-GMB253374-3p893k68no4m00000000/SIG-20250630_1212177bcp.jpeg", "SIG-20250630_1212177bcp.jpeg")</f>
        <v>SIG-20250630_1212177bcp.jpeg</v>
      </c>
      <c r="AU875" s="1" t="s">
        <v>3092</v>
      </c>
      <c r="AV875" s="3" t="str">
        <f>HYPERLINK("https://icf.clappia.com/app/GMB253374/submission/MLN87060005/ICF247370-GMB253374-1h6n0gf3hhhci0000000/SIG-20250701_1225i28o2.jpeg", "SIG-20250701_1225i28o2.jpeg")</f>
        <v>SIG-20250701_1225i28o2.jpeg</v>
      </c>
      <c r="AW875" s="1" t="s">
        <v>3093</v>
      </c>
      <c r="AX875" s="3" t="str">
        <f>HYPERLINK("https://icf.clappia.com/app/GMB253374/submission/MLN87060005/ICF247370-GMB253374-3oo7p3lg8bb400000000/SIG-20250701_1225g8060.jpeg", "SIG-20250701_1225g8060.jpeg")</f>
        <v>SIG-20250701_1225g8060.jpeg</v>
      </c>
      <c r="AY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2" t="s">
        <v>47</v>
      </c>
      <c r="C876" s="1" t="s">
        <v>4350</v>
      </c>
      <c r="D876" s="1" t="s">
        <v>4351</v>
      </c>
      <c r="E876" s="1" t="s">
        <v>4352</v>
      </c>
      <c r="F876" s="1" t="s">
        <v>51</v>
      </c>
      <c r="G876" s="1">
        <v>50.0</v>
      </c>
      <c r="H876" s="1" t="s">
        <v>52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53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54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56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57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f t="shared" si="1"/>
        <v>49</v>
      </c>
      <c r="AM876" s="1">
        <v>50.0</v>
      </c>
      <c r="AN876" s="1">
        <v>62.0</v>
      </c>
      <c r="AO876" s="1">
        <v>43.0</v>
      </c>
      <c r="AP876" s="2">
        <v>11.0</v>
      </c>
      <c r="AQ876" s="1">
        <v>7.0</v>
      </c>
      <c r="AR876" s="1">
        <v>7.0</v>
      </c>
      <c r="AS876" s="1" t="s">
        <v>913</v>
      </c>
      <c r="AT876" s="3" t="str">
        <f>HYPERLINK("https://icf.clappia.com/app/GMB253374/submission/JMZ54687032/ICF247370-GMB253374-4eg0o59l0kn200000000/SIG-20250701_113217nml5.jpeg", "SIG-20250701_113217nml5.jpeg")</f>
        <v>SIG-20250701_113217nml5.jpeg</v>
      </c>
      <c r="AU876" s="1" t="s">
        <v>914</v>
      </c>
      <c r="AV876" s="3" t="str">
        <f>HYPERLINK("https://icf.clappia.com/app/GMB253374/submission/JMZ54687032/ICF247370-GMB253374-33aao9g8416m00000000/SIG-20250701_1132ed1e3.jpeg", "SIG-20250701_1132ed1e3.jpeg")</f>
        <v>SIG-20250701_1132ed1e3.jpeg</v>
      </c>
      <c r="AW876" s="1" t="s">
        <v>915</v>
      </c>
      <c r="AX876" s="3" t="str">
        <f>HYPERLINK("https://icf.clappia.com/app/GMB253374/submission/JMZ54687032/ICF247370-GMB253374-3e2843amgh9600000000/SIG-20250701_113312mde6.jpeg", "SIG-20250701_113312mde6.jpeg")</f>
        <v>SIG-20250701_113312mde6.jpeg</v>
      </c>
      <c r="AY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2" t="s">
        <v>47</v>
      </c>
      <c r="C877" s="1" t="s">
        <v>4354</v>
      </c>
      <c r="D877" s="1" t="s">
        <v>4354</v>
      </c>
      <c r="E877" s="1" t="s">
        <v>4355</v>
      </c>
      <c r="F877" s="1" t="s">
        <v>51</v>
      </c>
      <c r="G877" s="1">
        <v>217.0</v>
      </c>
      <c r="H877" s="1" t="s">
        <v>52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53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54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56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57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f t="shared" si="1"/>
        <v>304</v>
      </c>
      <c r="AM877" s="1">
        <v>217.0</v>
      </c>
      <c r="AN877" s="1">
        <v>229.0</v>
      </c>
      <c r="AO877" s="1">
        <v>148.0</v>
      </c>
      <c r="AP877" s="2">
        <v>11.0</v>
      </c>
      <c r="AQ877" s="1">
        <v>69.0</v>
      </c>
      <c r="AR877" s="1">
        <v>69.0</v>
      </c>
      <c r="AS877" s="1" t="s">
        <v>1708</v>
      </c>
      <c r="AT877" s="3" t="str">
        <f>HYPERLINK("https://icf.clappia.com/app/GMB253374/submission/LVA14535462/ICF247370-GMB253374-1mphb9kjidh4i0000000/SIG-20250701_1217n7l0g.jpeg", "SIG-20250701_1217n7l0g.jpeg")</f>
        <v>SIG-20250701_1217n7l0g.jpeg</v>
      </c>
      <c r="AU877" s="1" t="s">
        <v>1709</v>
      </c>
      <c r="AV877" s="3" t="str">
        <f>HYPERLINK("https://icf.clappia.com/app/GMB253374/submission/LVA14535462/ICF247370-GMB253374-44j0mkaadobo00000000/SIG-20250701_1222c5521.jpeg", "SIG-20250701_1222c5521.jpeg")</f>
        <v>SIG-20250701_1222c5521.jpeg</v>
      </c>
      <c r="AW877" s="1" t="s">
        <v>1710</v>
      </c>
      <c r="AX877" s="3" t="str">
        <f>HYPERLINK("https://icf.clappia.com/app/GMB253374/submission/LVA14535462/ICF247370-GMB253374-m11ifg4nnm8g0000000/SIG-20250701_1223pnamg.jpeg", "SIG-20250701_1223pnamg.jpeg")</f>
        <v>SIG-20250701_1223pnamg.jpeg</v>
      </c>
      <c r="AY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2" t="s">
        <v>47</v>
      </c>
      <c r="C878" s="1" t="s">
        <v>4357</v>
      </c>
      <c r="D878" s="1" t="s">
        <v>4357</v>
      </c>
      <c r="E878" s="1" t="s">
        <v>4358</v>
      </c>
      <c r="F878" s="1" t="s">
        <v>51</v>
      </c>
      <c r="G878" s="1">
        <v>350.0</v>
      </c>
      <c r="H878" s="1" t="s">
        <v>52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53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54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56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57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f t="shared" si="1"/>
        <v>353</v>
      </c>
      <c r="AM878" s="1">
        <v>350.0</v>
      </c>
      <c r="AN878" s="1">
        <v>362.0</v>
      </c>
      <c r="AO878" s="1">
        <v>344.0</v>
      </c>
      <c r="AP878" s="2">
        <v>11.0</v>
      </c>
      <c r="AQ878" s="1">
        <v>6.0</v>
      </c>
      <c r="AR878" s="1">
        <v>6.0</v>
      </c>
      <c r="AS878" s="1" t="s">
        <v>4359</v>
      </c>
      <c r="AT878" s="3" t="str">
        <f>HYPERLINK("https://icf.clappia.com/app/GMB253374/submission/YPF30773700/ICF247370-GMB253374-3lhge5dj82c600000000/SIG-20250701_1218131464.jpeg", "SIG-20250701_1218131464.jpeg")</f>
        <v>SIG-20250701_1218131464.jpeg</v>
      </c>
      <c r="AU878" s="1" t="s">
        <v>4360</v>
      </c>
      <c r="AV878" s="3" t="str">
        <f>HYPERLINK("https://icf.clappia.com/app/GMB253374/submission/YPF30773700/ICF247370-GMB253374-4m5apj5l502o00000000/SIG-20250701_1219i419i.jpeg", "SIG-20250701_1219i419i.jpeg")</f>
        <v>SIG-20250701_1219i419i.jpeg</v>
      </c>
      <c r="AW878" s="1" t="s">
        <v>4361</v>
      </c>
      <c r="AX878" s="3" t="str">
        <f>HYPERLINK("https://icf.clappia.com/app/GMB253374/submission/YPF30773700/ICF247370-GMB253374-650ipegbpi0a00000000/SIG-20250701_1220ibh0i.jpeg", "SIG-20250701_1220ibh0i.jpeg")</f>
        <v>SIG-20250701_1220ibh0i.jpeg</v>
      </c>
      <c r="AY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2" t="s">
        <v>47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210.0</v>
      </c>
      <c r="H879" s="1" t="s">
        <v>52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53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54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56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57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f t="shared" si="1"/>
        <v>210</v>
      </c>
      <c r="AM879" s="1">
        <v>210.0</v>
      </c>
      <c r="AN879" s="1">
        <v>222.0</v>
      </c>
      <c r="AO879" s="1">
        <v>210.0</v>
      </c>
      <c r="AP879" s="2">
        <v>11.0</v>
      </c>
      <c r="AQ879" s="1">
        <v>0.0</v>
      </c>
      <c r="AR879" s="1">
        <v>0.0</v>
      </c>
      <c r="AS879" s="1" t="s">
        <v>4364</v>
      </c>
      <c r="AT879" s="3" t="str">
        <f>HYPERLINK("https://icf.clappia.com/app/GMB253374/submission/OHI89224074/ICF247370-GMB253374-2nak16604fng0000000/SIG-20250701_1134195eai.jpeg", "SIG-20250701_1134195eai.jpeg")</f>
        <v>SIG-20250701_1134195eai.jpeg</v>
      </c>
      <c r="AU879" s="1" t="s">
        <v>4365</v>
      </c>
      <c r="AV879" s="3" t="str">
        <f>HYPERLINK("https://icf.clappia.com/app/GMB253374/submission/OHI89224074/ICF247370-GMB253374-51llbknig48400000000/SIG-20250701_11341ihlp.jpeg", "SIG-20250701_11341ihlp.jpeg")</f>
        <v>SIG-20250701_11341ihlp.jpeg</v>
      </c>
      <c r="AW879" s="1" t="s">
        <v>4366</v>
      </c>
      <c r="AX879" s="3" t="str">
        <f>HYPERLINK("https://icf.clappia.com/app/GMB253374/submission/OHI89224074/ICF247370-GMB253374-60ka7a02kc4a00000000/SIG-20250701_11371g837.jpeg", "SIG-20250701_11371g837.jpeg")</f>
        <v>SIG-20250701_11371g837.jpeg</v>
      </c>
      <c r="AY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2" t="s">
        <v>47</v>
      </c>
      <c r="C880" s="1" t="s">
        <v>4368</v>
      </c>
      <c r="D880" s="1" t="s">
        <v>4368</v>
      </c>
      <c r="E880" s="1" t="s">
        <v>4369</v>
      </c>
      <c r="F880" s="1" t="s">
        <v>51</v>
      </c>
      <c r="G880" s="1">
        <v>283.0</v>
      </c>
      <c r="H880" s="1" t="s">
        <v>52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53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54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56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57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f t="shared" si="1"/>
        <v>74</v>
      </c>
      <c r="AM880" s="1">
        <v>283.0</v>
      </c>
      <c r="AN880" s="1">
        <v>295.0</v>
      </c>
      <c r="AO880" s="1">
        <v>70.0</v>
      </c>
      <c r="AP880" s="2">
        <v>11.0</v>
      </c>
      <c r="AQ880" s="1">
        <v>213.0</v>
      </c>
      <c r="AR880" s="1">
        <v>213.0</v>
      </c>
      <c r="AS880" s="1" t="s">
        <v>1762</v>
      </c>
      <c r="AT880" s="3" t="str">
        <f>HYPERLINK("https://icf.clappia.com/app/GMB253374/submission/MOL34097821/ICF247370-GMB253374-2f48f71l096c0000000/SIG-20250701_1136ncfka.jpeg", "SIG-20250701_1136ncfka.jpeg")</f>
        <v>SIG-20250701_1136ncfka.jpeg</v>
      </c>
      <c r="AU880" s="1" t="s">
        <v>2527</v>
      </c>
      <c r="AV880" s="3" t="str">
        <f>HYPERLINK("https://icf.clappia.com/app/GMB253374/submission/MOL34097821/ICF247370-GMB253374-3conh2mjgc8800000000/SIG-20250701_1138fjdhb.jpeg", "SIG-20250701_1138fjdhb.jpeg")</f>
        <v>SIG-20250701_1138fjdhb.jpeg</v>
      </c>
      <c r="AW880" s="1" t="s">
        <v>1764</v>
      </c>
      <c r="AX880" s="3" t="str">
        <f>HYPERLINK("https://icf.clappia.com/app/GMB253374/submission/MOL34097821/ICF247370-GMB253374-278bed8n73olg0000000/SIG-20250701_1139oe4ol.jpeg", "SIG-20250701_1139oe4ol.jpeg")</f>
        <v>SIG-20250701_1139oe4ol.jpeg</v>
      </c>
      <c r="AY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2" t="s">
        <v>47</v>
      </c>
      <c r="C881" s="1" t="s">
        <v>4368</v>
      </c>
      <c r="D881" s="1" t="s">
        <v>4368</v>
      </c>
      <c r="E881" s="1" t="s">
        <v>4371</v>
      </c>
      <c r="F881" s="1" t="s">
        <v>51</v>
      </c>
      <c r="G881" s="1">
        <v>142.0</v>
      </c>
      <c r="H881" s="1" t="s">
        <v>52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53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54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56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57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f t="shared" si="1"/>
        <v>64</v>
      </c>
      <c r="AM881" s="1">
        <v>142.0</v>
      </c>
      <c r="AN881" s="1">
        <v>154.0</v>
      </c>
      <c r="AO881" s="1">
        <v>58.0</v>
      </c>
      <c r="AP881" s="2">
        <v>11.0</v>
      </c>
      <c r="AQ881" s="1">
        <v>84.0</v>
      </c>
      <c r="AR881" s="1">
        <v>84.0</v>
      </c>
      <c r="AS881" s="1" t="s">
        <v>4372</v>
      </c>
      <c r="AT881" s="3" t="str">
        <f>HYPERLINK("https://icf.clappia.com/app/GMB253374/submission/LBR39242373/ICF247370-GMB253374-11g3nab92ii560000000/SIG-20250701_1125giln8.jpeg", "SIG-20250701_1125giln8.jpeg")</f>
        <v>SIG-20250701_1125giln8.jpeg</v>
      </c>
      <c r="AU881" s="1" t="s">
        <v>4373</v>
      </c>
      <c r="AV881" s="3" t="str">
        <f>HYPERLINK("https://icf.clappia.com/app/GMB253374/submission/LBR39242373/ICF247370-GMB253374-4h776l8ge2p000000000/SIG-20250701_11308i7hj.jpeg", "SIG-20250701_11308i7hj.jpeg")</f>
        <v>SIG-20250701_11308i7hj.jpeg</v>
      </c>
      <c r="AW881" s="1" t="s">
        <v>4374</v>
      </c>
      <c r="AX881" s="3" t="str">
        <f>HYPERLINK("https://icf.clappia.com/app/GMB253374/submission/LBR39242373/ICF247370-GMB253374-683fh8g60pog00000000/SIG-20250701_112929b2i.jpeg", "SIG-20250701_112929b2i.jpeg")</f>
        <v>SIG-20250701_112929b2i.jpeg</v>
      </c>
      <c r="AY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2" t="s">
        <v>47</v>
      </c>
      <c r="C882" s="1" t="s">
        <v>4368</v>
      </c>
      <c r="D882" s="1" t="s">
        <v>4368</v>
      </c>
      <c r="E882" s="1" t="s">
        <v>4376</v>
      </c>
      <c r="F882" s="1" t="s">
        <v>51</v>
      </c>
      <c r="G882" s="1">
        <v>255.0</v>
      </c>
      <c r="H882" s="1" t="s">
        <v>52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53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54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56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57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f t="shared" si="1"/>
        <v>255</v>
      </c>
      <c r="AM882" s="1">
        <v>255.0</v>
      </c>
      <c r="AN882" s="1">
        <v>267.0</v>
      </c>
      <c r="AO882" s="1">
        <v>208.0</v>
      </c>
      <c r="AP882" s="2">
        <v>11.0</v>
      </c>
      <c r="AQ882" s="1">
        <v>47.0</v>
      </c>
      <c r="AR882" s="1">
        <v>47.0</v>
      </c>
      <c r="AS882" s="1" t="s">
        <v>4377</v>
      </c>
      <c r="AT882" s="3" t="str">
        <f>HYPERLINK("https://icf.clappia.com/app/GMB253374/submission/KJM16087526/ICF247370-GMB253374-3fje2hjdbimo00000000/SIG-20250701_12175odgm.jpeg", "SIG-20250701_12175odgm.jpeg")</f>
        <v>SIG-20250701_12175odgm.jpeg</v>
      </c>
      <c r="AU882" s="1" t="s">
        <v>4378</v>
      </c>
      <c r="AV882" s="3" t="str">
        <f>HYPERLINK("https://icf.clappia.com/app/GMB253374/submission/KJM16087526/ICF247370-GMB253374-68odlgpmpd0800000000/SIG-20250701_121017ij48.jpeg", "SIG-20250701_121017ij48.jpeg")</f>
        <v>SIG-20250701_121017ij48.jpeg</v>
      </c>
      <c r="AW882" s="1" t="s">
        <v>4379</v>
      </c>
      <c r="AX882" s="3" t="str">
        <f>HYPERLINK("https://icf.clappia.com/app/GMB253374/submission/KJM16087526/ICF247370-GMB253374-64gmmpdm5cfm00000000/SIG-20250701_1211131ea5.jpeg", "SIG-20250701_1211131ea5.jpeg")</f>
        <v>SIG-20250701_1211131ea5.jpeg</v>
      </c>
      <c r="AY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2" t="s">
        <v>47</v>
      </c>
      <c r="C883" s="1" t="s">
        <v>4381</v>
      </c>
      <c r="D883" s="1" t="s">
        <v>4381</v>
      </c>
      <c r="E883" s="1" t="s">
        <v>4382</v>
      </c>
      <c r="F883" s="1" t="s">
        <v>51</v>
      </c>
      <c r="G883" s="1">
        <v>300.0</v>
      </c>
      <c r="H883" s="1" t="s">
        <v>52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53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54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56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57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f t="shared" si="1"/>
        <v>293</v>
      </c>
      <c r="AM883" s="1">
        <v>300.0</v>
      </c>
      <c r="AN883" s="1">
        <v>312.0</v>
      </c>
      <c r="AO883" s="1">
        <v>269.0</v>
      </c>
      <c r="AP883" s="2">
        <v>11.0</v>
      </c>
      <c r="AQ883" s="1">
        <v>31.0</v>
      </c>
      <c r="AR883" s="1">
        <v>31.0</v>
      </c>
      <c r="AS883" s="1" t="s">
        <v>1487</v>
      </c>
      <c r="AT883" s="3" t="str">
        <f>HYPERLINK("https://icf.clappia.com/app/GMB253374/submission/UTC91475196/ICF247370-GMB253374-421chin4jfic00000000/SIG-20250701_1216117c17.jpeg", "SIG-20250701_1216117c17.jpeg")</f>
        <v>SIG-20250701_1216117c17.jpeg</v>
      </c>
      <c r="AU883" s="1" t="s">
        <v>1488</v>
      </c>
      <c r="AV883" s="3" t="str">
        <f>HYPERLINK("https://icf.clappia.com/app/GMB253374/submission/UTC91475196/ICF247370-GMB253374-3h06h6l1p5mg0000000/SIG-20250701_1216h91cn.jpeg", "SIG-20250701_1216h91cn.jpeg")</f>
        <v>SIG-20250701_1216h91cn.jpeg</v>
      </c>
      <c r="AW883" s="1" t="s">
        <v>4383</v>
      </c>
      <c r="AX883" s="3" t="str">
        <f>HYPERLINK("https://icf.clappia.com/app/GMB253374/submission/UTC91475196/ICF247370-GMB253374-5m8gj602oaek00000000/SIG-20250701_1217og9bj.jpeg", "SIG-20250701_1217og9bj.jpeg")</f>
        <v>SIG-20250701_1217og9bj.jpeg</v>
      </c>
      <c r="AY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2" t="s">
        <v>47</v>
      </c>
      <c r="C884" s="1" t="s">
        <v>4385</v>
      </c>
      <c r="D884" s="1" t="s">
        <v>4385</v>
      </c>
      <c r="E884" s="1" t="s">
        <v>4386</v>
      </c>
      <c r="F884" s="1" t="s">
        <v>51</v>
      </c>
      <c r="G884" s="1">
        <v>225.0</v>
      </c>
      <c r="H884" s="1" t="s">
        <v>52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53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54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56</v>
      </c>
      <c r="AA884" s="1" t="s">
        <v>55</v>
      </c>
      <c r="AB884" s="1" t="s">
        <v>55</v>
      </c>
      <c r="AC884" s="1" t="s">
        <v>55</v>
      </c>
      <c r="AD884" s="1" t="s">
        <v>55</v>
      </c>
      <c r="AE884" s="1" t="s">
        <v>55</v>
      </c>
      <c r="AF884" s="1" t="s">
        <v>57</v>
      </c>
      <c r="AG884" s="1" t="s">
        <v>55</v>
      </c>
      <c r="AH884" s="1" t="s">
        <v>55</v>
      </c>
      <c r="AI884" s="1" t="s">
        <v>55</v>
      </c>
      <c r="AJ884" s="1" t="s">
        <v>55</v>
      </c>
      <c r="AK884" s="1" t="s">
        <v>55</v>
      </c>
      <c r="AL884" s="1">
        <f t="shared" si="1"/>
        <v>217</v>
      </c>
      <c r="AM884" s="1">
        <v>225.0</v>
      </c>
      <c r="AN884" s="1">
        <v>237.0</v>
      </c>
      <c r="AO884" s="1">
        <v>212.0</v>
      </c>
      <c r="AP884" s="2">
        <v>11.0</v>
      </c>
      <c r="AQ884" s="1">
        <v>13.0</v>
      </c>
      <c r="AR884" s="1">
        <v>13.0</v>
      </c>
      <c r="AS884" s="1" t="s">
        <v>4387</v>
      </c>
      <c r="AT884" s="3" t="str">
        <f>HYPERLINK("https://icf.clappia.com/app/GMB253374/submission/HJO31611328/ICF247370-GMB253374-5b5ji1kfol9200000000/SIG-20250630_1141acgac.jpeg", "SIG-20250630_1141acgac.jpeg")</f>
        <v>SIG-20250630_1141acgac.jpeg</v>
      </c>
      <c r="AU884" s="1" t="s">
        <v>1861</v>
      </c>
      <c r="AV884" s="3" t="str">
        <f>HYPERLINK("https://icf.clappia.com/app/GMB253374/submission/HJO31611328/ICF247370-GMB253374-4phlg9gdc28200000000/SIG-20250630_114213jl2l.jpeg", "SIG-20250630_114213jl2l.jpeg")</f>
        <v>SIG-20250630_114213jl2l.jpeg</v>
      </c>
      <c r="AW884" s="1" t="s">
        <v>4388</v>
      </c>
      <c r="AX884" s="3" t="str">
        <f>HYPERLINK("https://icf.clappia.com/app/GMB253374/submission/HJO31611328/ICF247370-GMB253374-19i6gj9om9e000000000/SIG-20250630_1144l57ma.jpeg", "SIG-20250630_1144l57ma.jpeg")</f>
        <v>SIG-20250630_1144l57ma.jpeg</v>
      </c>
      <c r="AY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2" t="s">
        <v>47</v>
      </c>
      <c r="C885" s="1" t="s">
        <v>4385</v>
      </c>
      <c r="D885" s="1" t="s">
        <v>4385</v>
      </c>
      <c r="E885" s="1" t="s">
        <v>4390</v>
      </c>
      <c r="F885" s="1" t="s">
        <v>51</v>
      </c>
      <c r="G885" s="1">
        <v>500.0</v>
      </c>
      <c r="H885" s="1" t="s">
        <v>52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53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54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56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57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f t="shared" si="1"/>
        <v>468</v>
      </c>
      <c r="AM885" s="1">
        <v>500.0</v>
      </c>
      <c r="AN885" s="1">
        <v>512.0</v>
      </c>
      <c r="AO885" s="1">
        <v>458.0</v>
      </c>
      <c r="AP885" s="2">
        <v>11.0</v>
      </c>
      <c r="AQ885" s="1">
        <v>42.0</v>
      </c>
      <c r="AR885" s="1">
        <v>42.0</v>
      </c>
      <c r="AS885" s="1" t="s">
        <v>2940</v>
      </c>
      <c r="AT885" s="3" t="str">
        <f>HYPERLINK("https://icf.clappia.com/app/GMB253374/submission/FAB73458005/ICF247370-GMB253374-3gmji8e7419600000000/SIG-20250701_121417l4mp.jpeg", "SIG-20250701_121417l4mp.jpeg")</f>
        <v>SIG-20250701_121417l4mp.jpeg</v>
      </c>
      <c r="AU885" s="1" t="s">
        <v>2941</v>
      </c>
      <c r="AV885" s="3" t="str">
        <f>HYPERLINK("https://icf.clappia.com/app/GMB253374/submission/FAB73458005/ICF247370-GMB253374-1j847ke2gob4c0000000/SIG-20250701_12154cb1b.jpeg", "SIG-20250701_12154cb1b.jpeg")</f>
        <v>SIG-20250701_12154cb1b.jpeg</v>
      </c>
      <c r="AW885" s="1" t="s">
        <v>2942</v>
      </c>
      <c r="AX885" s="3" t="str">
        <f>HYPERLINK("https://icf.clappia.com/app/GMB253374/submission/FAB73458005/ICF247370-GMB253374-4158kik7328400000000/SIG-20250701_1215akca.jpeg", "SIG-20250701_1215akca.jpeg")</f>
        <v>SIG-20250701_1215akca.jpeg</v>
      </c>
      <c r="AY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2" t="s">
        <v>47</v>
      </c>
      <c r="C886" s="1" t="s">
        <v>371</v>
      </c>
      <c r="D886" s="1" t="s">
        <v>371</v>
      </c>
      <c r="E886" s="1" t="s">
        <v>4392</v>
      </c>
      <c r="F886" s="1" t="s">
        <v>72</v>
      </c>
      <c r="G886" s="1">
        <v>170.0</v>
      </c>
      <c r="H886" s="1" t="s">
        <v>52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53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54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56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57</v>
      </c>
      <c r="AG886" s="1" t="s">
        <v>55</v>
      </c>
      <c r="AH886" s="1" t="s">
        <v>55</v>
      </c>
      <c r="AI886" s="1" t="s">
        <v>55</v>
      </c>
      <c r="AJ886" s="1" t="s">
        <v>55</v>
      </c>
      <c r="AK886" s="1" t="s">
        <v>55</v>
      </c>
      <c r="AL886" s="1">
        <f t="shared" si="1"/>
        <v>140</v>
      </c>
      <c r="AM886" s="1">
        <v>170.0</v>
      </c>
      <c r="AN886" s="1">
        <v>182.0</v>
      </c>
      <c r="AO886" s="1">
        <v>140.0</v>
      </c>
      <c r="AP886" s="2">
        <v>11.0</v>
      </c>
      <c r="AQ886" s="1">
        <v>30.0</v>
      </c>
      <c r="AR886" s="1">
        <v>30.0</v>
      </c>
      <c r="AS886" s="1" t="s">
        <v>4393</v>
      </c>
      <c r="AT886" s="3" t="str">
        <f>HYPERLINK("https://icf.clappia.com/app/GMB253374/submission/MCK00101079/ICF247370-GMB253374-5p7n746h064i00000000/SIG-20250701_120713o49g.jpeg", "SIG-20250701_120713o49g.jpeg")</f>
        <v>SIG-20250701_120713o49g.jpeg</v>
      </c>
      <c r="AU886" s="1" t="s">
        <v>4394</v>
      </c>
      <c r="AV886" s="3" t="str">
        <f>HYPERLINK("https://icf.clappia.com/app/GMB253374/submission/MCK00101079/ICF247370-GMB253374-h09mpp3b74co0000000/SIG-20250701_12099g0id.jpeg", "SIG-20250701_12099g0id.jpeg")</f>
        <v>SIG-20250701_12099g0id.jpeg</v>
      </c>
      <c r="AW886" s="1" t="s">
        <v>4395</v>
      </c>
      <c r="AX886" s="3" t="str">
        <f>HYPERLINK("https://icf.clappia.com/app/GMB253374/submission/MCK00101079/ICF247370-GMB253374-mnd16o5na9p80000000/SIG-20250701_1209m2cg6.jpeg", "SIG-20250701_1209m2cg6.jpeg")</f>
        <v>SIG-20250701_1209m2cg6.jpeg</v>
      </c>
      <c r="AY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2" t="s">
        <v>47</v>
      </c>
      <c r="C887" s="1" t="s">
        <v>4397</v>
      </c>
      <c r="D887" s="1" t="s">
        <v>4397</v>
      </c>
      <c r="E887" s="1" t="s">
        <v>4398</v>
      </c>
      <c r="F887" s="1" t="s">
        <v>51</v>
      </c>
      <c r="G887" s="1">
        <v>600.0</v>
      </c>
      <c r="H887" s="1" t="s">
        <v>52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53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54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56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57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f t="shared" si="1"/>
        <v>781</v>
      </c>
      <c r="AM887" s="1">
        <v>600.0</v>
      </c>
      <c r="AN887" s="1">
        <v>612.0</v>
      </c>
      <c r="AO887" s="1">
        <v>600.0</v>
      </c>
      <c r="AP887" s="2">
        <v>11.0</v>
      </c>
      <c r="AQ887" s="1">
        <v>0.0</v>
      </c>
      <c r="AR887" s="1">
        <v>0.0</v>
      </c>
      <c r="AS887" s="1" t="s">
        <v>2592</v>
      </c>
      <c r="AT887" s="3" t="str">
        <f>HYPERLINK("https://icf.clappia.com/app/GMB253374/submission/LAY51246061/ICF247370-GMB253374-nfgmnj8om3do0000000/SIG-20250701_1211lodd4.jpeg", "SIG-20250701_1211lodd4.jpeg")</f>
        <v>SIG-20250701_1211lodd4.jpeg</v>
      </c>
      <c r="AU887" s="1" t="s">
        <v>4399</v>
      </c>
      <c r="AV887" s="3" t="str">
        <f>HYPERLINK("https://icf.clappia.com/app/GMB253374/submission/LAY51246061/ICF247370-GMB253374-5nloj6ekem3m00000000/SIG-20250701_1211l9l4i.jpeg", "SIG-20250701_1211l9l4i.jpeg")</f>
        <v>SIG-20250701_1211l9l4i.jpeg</v>
      </c>
      <c r="AW887" s="1" t="s">
        <v>2593</v>
      </c>
      <c r="AX887" s="3" t="str">
        <f>HYPERLINK("https://icf.clappia.com/app/GMB253374/submission/LAY51246061/ICF247370-GMB253374-2obcp96f5hgc00000000/SIG-20250701_121211lmp1.jpeg", "SIG-20250701_121211lmp1.jpeg")</f>
        <v>SIG-20250701_121211lmp1.jpeg</v>
      </c>
      <c r="AY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2" t="s">
        <v>47</v>
      </c>
      <c r="C888" s="1" t="s">
        <v>4401</v>
      </c>
      <c r="D888" s="1" t="s">
        <v>4401</v>
      </c>
      <c r="E888" s="1" t="s">
        <v>4402</v>
      </c>
      <c r="F888" s="1" t="s">
        <v>51</v>
      </c>
      <c r="G888" s="1">
        <v>200.0</v>
      </c>
      <c r="H888" s="1" t="s">
        <v>52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53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54</v>
      </c>
      <c r="U888" s="1">
        <v>69.0</v>
      </c>
      <c r="V888" s="1">
        <v>30.0</v>
      </c>
      <c r="W888" s="1" t="s">
        <v>55</v>
      </c>
      <c r="X888" s="1">
        <v>39.0</v>
      </c>
      <c r="Y888" s="1" t="s">
        <v>55</v>
      </c>
      <c r="Z888" s="1" t="s">
        <v>56</v>
      </c>
      <c r="AA888" s="1">
        <v>97.0</v>
      </c>
      <c r="AB888" s="1">
        <v>44.0</v>
      </c>
      <c r="AC888" s="1" t="s">
        <v>55</v>
      </c>
      <c r="AD888" s="1">
        <v>53.0</v>
      </c>
      <c r="AE888" s="1" t="s">
        <v>55</v>
      </c>
      <c r="AF888" s="1" t="s">
        <v>57</v>
      </c>
      <c r="AG888" s="1">
        <v>62.0</v>
      </c>
      <c r="AH888" s="1">
        <v>31.0</v>
      </c>
      <c r="AI888" s="1" t="s">
        <v>55</v>
      </c>
      <c r="AJ888" s="1">
        <v>31.0</v>
      </c>
      <c r="AK888" s="1" t="s">
        <v>55</v>
      </c>
      <c r="AL888" s="1">
        <f t="shared" si="1"/>
        <v>399</v>
      </c>
      <c r="AM888" s="1">
        <v>200.0</v>
      </c>
      <c r="AN888" s="1">
        <v>212.0</v>
      </c>
      <c r="AO888" s="1">
        <v>163.0</v>
      </c>
      <c r="AP888" s="2">
        <v>11.0</v>
      </c>
      <c r="AQ888" s="1">
        <v>37.0</v>
      </c>
      <c r="AR888" s="1">
        <v>37.0</v>
      </c>
      <c r="AS888" s="1" t="s">
        <v>4403</v>
      </c>
      <c r="AT888" s="3" t="str">
        <f>HYPERLINK("https://icf.clappia.com/app/GMB253374/submission/YTR99848746/ICF247370-GMB253374-2c8mg7ahia2i00000000/SIG-20250701_1133bn163.jpeg", "SIG-20250701_1133bn163.jpeg")</f>
        <v>SIG-20250701_1133bn163.jpeg</v>
      </c>
      <c r="AU888" s="1" t="s">
        <v>4404</v>
      </c>
      <c r="AV888" s="3" t="str">
        <f>HYPERLINK("https://icf.clappia.com/app/GMB253374/submission/YTR99848746/ICF247370-GMB253374-3hb7mhi8oddm00000000/SIG-20250701_120912l5c.jpeg", "SIG-20250701_120912l5c.jpeg")</f>
        <v>SIG-20250701_120912l5c.jpeg</v>
      </c>
      <c r="AW888" s="1" t="s">
        <v>694</v>
      </c>
      <c r="AX888" s="3" t="str">
        <f>HYPERLINK("https://icf.clappia.com/app/GMB253374/submission/YTR99848746/ICF247370-GMB253374-5be8fb54ffh200000000/SIG-20250701_1136127hc5.jpeg", "SIG-20250701_1136127hc5.jpeg")</f>
        <v>SIG-20250701_1136127hc5.jpeg</v>
      </c>
      <c r="AY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2" t="s">
        <v>47</v>
      </c>
      <c r="C889" s="1" t="s">
        <v>4401</v>
      </c>
      <c r="D889" s="1" t="s">
        <v>4401</v>
      </c>
      <c r="E889" s="1" t="s">
        <v>4406</v>
      </c>
      <c r="F889" s="1" t="s">
        <v>51</v>
      </c>
      <c r="G889" s="1">
        <v>342.0</v>
      </c>
      <c r="H889" s="1" t="s">
        <v>52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53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54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56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57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f t="shared" si="1"/>
        <v>335</v>
      </c>
      <c r="AM889" s="1">
        <v>342.0</v>
      </c>
      <c r="AN889" s="1">
        <v>354.0</v>
      </c>
      <c r="AO889" s="1">
        <v>242.0</v>
      </c>
      <c r="AP889" s="2">
        <v>11.0</v>
      </c>
      <c r="AQ889" s="1">
        <v>100.0</v>
      </c>
      <c r="AR889" s="1">
        <v>100.0</v>
      </c>
      <c r="AS889" s="1" t="s">
        <v>1055</v>
      </c>
      <c r="AT889" s="3" t="str">
        <f>HYPERLINK("https://icf.clappia.com/app/GMB253374/submission/ZSK17716866/ICF247370-GMB253374-2jnmefcda18000000000/SIG-20250701_12076cl9a.jpeg", "SIG-20250701_12076cl9a.jpeg")</f>
        <v>SIG-20250701_12076cl9a.jpeg</v>
      </c>
      <c r="AU889" s="1" t="s">
        <v>4407</v>
      </c>
      <c r="AV889" s="3" t="str">
        <f>HYPERLINK("https://icf.clappia.com/app/GMB253374/submission/ZSK17716866/ICF247370-GMB253374-25k4koh1k5oak0000000/SIG-20250701_1208h372h.jpeg", "SIG-20250701_1208h372h.jpeg")</f>
        <v>SIG-20250701_1208h372h.jpeg</v>
      </c>
      <c r="AW889" s="1" t="s">
        <v>3028</v>
      </c>
      <c r="AX889" s="3" t="str">
        <f>HYPERLINK("https://icf.clappia.com/app/GMB253374/submission/ZSK17716866/ICF247370-GMB253374-5928ko8n7gmk0000000/SIG-20250701_1208b3cci.jpeg", "SIG-20250701_1208b3cci.jpeg")</f>
        <v>SIG-20250701_1208b3cci.jpeg</v>
      </c>
      <c r="AY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2" t="s">
        <v>47</v>
      </c>
      <c r="C890" s="1" t="s">
        <v>4409</v>
      </c>
      <c r="D890" s="1" t="s">
        <v>4409</v>
      </c>
      <c r="E890" s="1" t="s">
        <v>4410</v>
      </c>
      <c r="F890" s="1" t="s">
        <v>51</v>
      </c>
      <c r="G890" s="1">
        <v>221.0</v>
      </c>
      <c r="H890" s="1" t="s">
        <v>52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53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54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56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57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f t="shared" si="1"/>
        <v>289</v>
      </c>
      <c r="AM890" s="1">
        <v>221.0</v>
      </c>
      <c r="AN890" s="1">
        <v>233.0</v>
      </c>
      <c r="AO890" s="1">
        <v>221.0</v>
      </c>
      <c r="AP890" s="2">
        <v>11.0</v>
      </c>
      <c r="AQ890" s="1">
        <v>0.0</v>
      </c>
      <c r="AR890" s="1">
        <v>0.0</v>
      </c>
      <c r="AS890" s="1" t="s">
        <v>4411</v>
      </c>
      <c r="AT890" s="3" t="str">
        <f>HYPERLINK("https://icf.clappia.com/app/GMB253374/submission/FPX77441240/ICF247370-GMB253374-2alhagje1phjg0000000/SIG-20250701_1108c2bp9.jpeg", "SIG-20250701_1108c2bp9.jpeg")</f>
        <v>SIG-20250701_1108c2bp9.jpeg</v>
      </c>
      <c r="AU890" s="1" t="s">
        <v>1168</v>
      </c>
      <c r="AV890" s="3" t="str">
        <f>HYPERLINK("https://icf.clappia.com/app/GMB253374/submission/FPX77441240/ICF247370-GMB253374-22kn86af5hboc0000000/SIG-20250701_11107p0bc.jpeg", "SIG-20250701_11107p0bc.jpeg")</f>
        <v>SIG-20250701_11107p0bc.jpeg</v>
      </c>
      <c r="AW890" s="1" t="s">
        <v>2960</v>
      </c>
      <c r="AX890" s="3" t="str">
        <f>HYPERLINK("https://icf.clappia.com/app/GMB253374/submission/FPX77441240/ICF247370-GMB253374-2l0dako1fl8600000000/SIG-20250701_111115b5n3.jpeg", "SIG-20250701_111115b5n3.jpeg")</f>
        <v>SIG-20250701_111115b5n3.jpeg</v>
      </c>
      <c r="AY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2" t="s">
        <v>47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200.0</v>
      </c>
      <c r="H891" s="1" t="s">
        <v>52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53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54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56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57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f t="shared" si="1"/>
        <v>179</v>
      </c>
      <c r="AM891" s="1">
        <v>200.0</v>
      </c>
      <c r="AN891" s="1">
        <v>212.0</v>
      </c>
      <c r="AO891" s="1">
        <v>179.0</v>
      </c>
      <c r="AP891" s="2">
        <v>11.0</v>
      </c>
      <c r="AQ891" s="1">
        <v>21.0</v>
      </c>
      <c r="AR891" s="1">
        <v>21.0</v>
      </c>
      <c r="AS891" s="1" t="s">
        <v>4415</v>
      </c>
      <c r="AT891" s="3" t="str">
        <f>HYPERLINK("https://icf.clappia.com/app/GMB253374/submission/TIC46900770/ICF247370-GMB253374-3p0hch173b9c00000000/SIG-20250701_1204l681f.jpeg", "SIG-20250701_1204l681f.jpeg")</f>
        <v>SIG-20250701_1204l681f.jpeg</v>
      </c>
      <c r="AU891" s="1" t="s">
        <v>4416</v>
      </c>
      <c r="AV891" s="3" t="str">
        <f>HYPERLINK("https://icf.clappia.com/app/GMB253374/submission/TIC46900770/ICF247370-GMB253374-i8h78a7n5mco0000000/SIG-20250701_120617lc84.jpeg", "SIG-20250701_120617lc84.jpeg")</f>
        <v>SIG-20250701_120617lc84.jpeg</v>
      </c>
      <c r="AW891" s="1" t="s">
        <v>2676</v>
      </c>
      <c r="AX891" s="3" t="str">
        <f>HYPERLINK("https://icf.clappia.com/app/GMB253374/submission/TIC46900770/ICF247370-GMB253374-2l37e2o9901c00000000/SIG-20250701_1206626p3.jpeg", "SIG-20250701_1206626p3.jpeg")</f>
        <v>SIG-20250701_1206626p3.jpeg</v>
      </c>
      <c r="AY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2" t="s">
        <v>47</v>
      </c>
      <c r="C892" s="1" t="s">
        <v>4413</v>
      </c>
      <c r="D892" s="1" t="s">
        <v>4413</v>
      </c>
      <c r="E892" s="1" t="s">
        <v>4418</v>
      </c>
      <c r="F892" s="1" t="s">
        <v>51</v>
      </c>
      <c r="G892" s="1">
        <v>95.0</v>
      </c>
      <c r="H892" s="1" t="s">
        <v>52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53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54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56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57</v>
      </c>
      <c r="AG892" s="1">
        <v>29.0</v>
      </c>
      <c r="AH892" s="1">
        <v>10.0</v>
      </c>
      <c r="AI892" s="1" t="s">
        <v>55</v>
      </c>
      <c r="AJ892" s="1">
        <v>19.0</v>
      </c>
      <c r="AK892" s="1" t="s">
        <v>55</v>
      </c>
      <c r="AL892" s="1">
        <f t="shared" si="1"/>
        <v>203</v>
      </c>
      <c r="AM892" s="1">
        <v>95.0</v>
      </c>
      <c r="AN892" s="1">
        <v>107.0</v>
      </c>
      <c r="AO892" s="1">
        <v>95.0</v>
      </c>
      <c r="AP892" s="2">
        <v>11.0</v>
      </c>
      <c r="AQ892" s="1">
        <v>0.0</v>
      </c>
      <c r="AR892" s="1">
        <v>0.0</v>
      </c>
      <c r="AS892" s="1" t="s">
        <v>227</v>
      </c>
      <c r="AT892" s="3" t="str">
        <f>HYPERLINK("https://icf.clappia.com/app/GMB253374/submission/JJV23696165/ICF247370-GMB253374-25fk25fgoncd60000000/SIG-20250701_11541a2c73.jpeg", "SIG-20250701_11541a2c73.jpeg")</f>
        <v>SIG-20250701_11541a2c73.jpeg</v>
      </c>
      <c r="AU892" s="1" t="s">
        <v>228</v>
      </c>
      <c r="AV892" s="3" t="str">
        <f>HYPERLINK("https://icf.clappia.com/app/GMB253374/submission/JJV23696165/ICF247370-GMB253374-4egca4b26o2000000000/SIG-20250701_1206m6fjg.jpeg", "SIG-20250701_1206m6fjg.jpeg")</f>
        <v>SIG-20250701_1206m6fjg.jpeg</v>
      </c>
      <c r="AW892" s="1" t="s">
        <v>4419</v>
      </c>
      <c r="AX892" s="3" t="str">
        <f>HYPERLINK("https://icf.clappia.com/app/GMB253374/submission/JJV23696165/ICF247370-GMB253374-67n4kdiglp8g00000000/SIG-20250701_1156d1g44.jpeg", "SIG-20250701_1156d1g44.jpeg")</f>
        <v>SIG-20250701_1156d1g44.jpeg</v>
      </c>
      <c r="AY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2" t="s">
        <v>47</v>
      </c>
      <c r="C893" s="1" t="s">
        <v>4413</v>
      </c>
      <c r="D893" s="1" t="s">
        <v>4413</v>
      </c>
      <c r="E893" s="1" t="s">
        <v>4421</v>
      </c>
      <c r="F893" s="1" t="s">
        <v>51</v>
      </c>
      <c r="G893" s="1">
        <v>100.0</v>
      </c>
      <c r="H893" s="1" t="s">
        <v>52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53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54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56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57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f t="shared" si="1"/>
        <v>100</v>
      </c>
      <c r="AM893" s="1">
        <v>100.0</v>
      </c>
      <c r="AN893" s="1">
        <v>112.0</v>
      </c>
      <c r="AO893" s="1">
        <v>93.0</v>
      </c>
      <c r="AP893" s="2">
        <v>11.0</v>
      </c>
      <c r="AQ893" s="1">
        <v>7.0</v>
      </c>
      <c r="AR893" s="1">
        <v>7.0</v>
      </c>
      <c r="AS893" s="1" t="s">
        <v>4422</v>
      </c>
      <c r="AT893" s="3" t="str">
        <f>HYPERLINK("https://icf.clappia.com/app/GMB253374/submission/SPY81871801/ICF247370-GMB253374-27hd2ajll5l4i0000000/SIG-20250701_1206165kn9.jpeg", "SIG-20250701_1206165kn9.jpeg")</f>
        <v>SIG-20250701_1206165kn9.jpeg</v>
      </c>
      <c r="AU893" s="1" t="s">
        <v>4423</v>
      </c>
      <c r="AV893" s="3" t="str">
        <f>HYPERLINK("https://icf.clappia.com/app/GMB253374/submission/SPY81871801/ICF247370-GMB253374-5hn59hnf851e00000000/SIG-20250701_1206k74nh.jpeg", "SIG-20250701_1206k74nh.jpeg")</f>
        <v>SIG-20250701_1206k74nh.jpeg</v>
      </c>
      <c r="AW893" s="1" t="s">
        <v>4424</v>
      </c>
      <c r="AX893" s="3" t="str">
        <f>HYPERLINK("https://icf.clappia.com/app/GMB253374/submission/SPY81871801/ICF247370-GMB253374-2pbm204j0op400000000/SIG-20250701_1207c4n3l.jpeg", "SIG-20250701_1207c4n3l.jpeg")</f>
        <v>SIG-20250701_1207c4n3l.jpeg</v>
      </c>
      <c r="AY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2" t="s">
        <v>47</v>
      </c>
      <c r="C894" s="1" t="s">
        <v>4426</v>
      </c>
      <c r="D894" s="1" t="s">
        <v>4426</v>
      </c>
      <c r="E894" s="1" t="s">
        <v>4427</v>
      </c>
      <c r="F894" s="1" t="s">
        <v>51</v>
      </c>
      <c r="G894" s="1">
        <v>174.0</v>
      </c>
      <c r="H894" s="1" t="s">
        <v>52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53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54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56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57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f t="shared" si="1"/>
        <v>197</v>
      </c>
      <c r="AM894" s="1">
        <v>174.0</v>
      </c>
      <c r="AN894" s="1">
        <v>186.0</v>
      </c>
      <c r="AO894" s="1">
        <v>174.0</v>
      </c>
      <c r="AP894" s="2">
        <v>11.0</v>
      </c>
      <c r="AQ894" s="1">
        <v>0.0</v>
      </c>
      <c r="AR894" s="1">
        <v>0.0</v>
      </c>
      <c r="AS894" s="1" t="s">
        <v>4428</v>
      </c>
      <c r="AT894" s="3" t="str">
        <f>HYPERLINK("https://icf.clappia.com/app/GMB253374/submission/LQE38874031/ICF247370-GMB253374-29il03obh6iae0000000/SIG-20250701_1159fkf0p.jpeg", "SIG-20250701_1159fkf0p.jpeg")</f>
        <v>SIG-20250701_1159fkf0p.jpeg</v>
      </c>
      <c r="AU894" s="1" t="s">
        <v>4429</v>
      </c>
      <c r="AV894" s="3" t="str">
        <f>HYPERLINK("https://icf.clappia.com/app/GMB253374/submission/LQE38874031/ICF247370-GMB253374-1b3indm4donb60000000/SIG-20250701_12018c7na.jpeg", "SIG-20250701_12018c7na.jpeg")</f>
        <v>SIG-20250701_12018c7na.jpeg</v>
      </c>
      <c r="AW894" s="1" t="s">
        <v>4430</v>
      </c>
      <c r="AX894" s="3" t="str">
        <f>HYPERLINK("https://icf.clappia.com/app/GMB253374/submission/LQE38874031/ICF247370-GMB253374-89jaeg35daeg0000000/SIG-20250701_1201h513n.jpeg", "SIG-20250701_1201h513n.jpeg")</f>
        <v>SIG-20250701_1201h513n.jpeg</v>
      </c>
      <c r="AY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2" t="s">
        <v>47</v>
      </c>
      <c r="C895" s="1" t="s">
        <v>4432</v>
      </c>
      <c r="D895" s="1" t="s">
        <v>4432</v>
      </c>
      <c r="E895" s="1" t="s">
        <v>4433</v>
      </c>
      <c r="F895" s="1" t="s">
        <v>51</v>
      </c>
      <c r="G895" s="1">
        <v>352.0</v>
      </c>
      <c r="H895" s="1" t="s">
        <v>52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53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54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56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57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f t="shared" si="1"/>
        <v>349</v>
      </c>
      <c r="AM895" s="1">
        <v>352.0</v>
      </c>
      <c r="AN895" s="1">
        <v>364.0</v>
      </c>
      <c r="AO895" s="1">
        <v>315.0</v>
      </c>
      <c r="AP895" s="2">
        <v>11.0</v>
      </c>
      <c r="AQ895" s="1">
        <v>37.0</v>
      </c>
      <c r="AR895" s="1">
        <v>37.0</v>
      </c>
      <c r="AS895" s="1" t="s">
        <v>584</v>
      </c>
      <c r="AT895" s="3" t="str">
        <f>HYPERLINK("https://icf.clappia.com/app/GMB253374/submission/BHF46249988/ICF247370-GMB253374-67p1edhcg99a00000000/SIG-20250701_120015ljjj.jpeg", "SIG-20250701_120015ljjj.jpeg")</f>
        <v>SIG-20250701_120015ljjj.jpeg</v>
      </c>
      <c r="AU895" s="1" t="s">
        <v>2175</v>
      </c>
      <c r="AV895" s="3" t="str">
        <f>HYPERLINK("https://icf.clappia.com/app/GMB253374/submission/BHF46249988/ICF247370-GMB253374-2ib1b7omhic200000000/SIG-20250701_120058mg0.jpeg", "SIG-20250701_120058mg0.jpeg")</f>
        <v>SIG-20250701_120058mg0.jpeg</v>
      </c>
      <c r="AW895" s="1" t="s">
        <v>4434</v>
      </c>
      <c r="AX895" s="3" t="str">
        <f>HYPERLINK("https://icf.clappia.com/app/GMB253374/submission/BHF46249988/ICF247370-GMB253374-68ljo0dg7feo0000000/SIG-20250701_12011207e5.jpeg", "SIG-20250701_12011207e5.jpeg")</f>
        <v>SIG-20250701_12011207e5.jpeg</v>
      </c>
      <c r="AY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2" t="s">
        <v>47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100.0</v>
      </c>
      <c r="H896" s="1" t="s">
        <v>52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53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54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56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57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f t="shared" si="1"/>
        <v>55</v>
      </c>
      <c r="AM896" s="1">
        <v>100.0</v>
      </c>
      <c r="AN896" s="1">
        <v>112.0</v>
      </c>
      <c r="AO896" s="1">
        <v>53.0</v>
      </c>
      <c r="AP896" s="2">
        <v>11.0</v>
      </c>
      <c r="AQ896" s="1">
        <v>47.0</v>
      </c>
      <c r="AR896" s="1">
        <v>47.0</v>
      </c>
      <c r="AS896" s="1" t="s">
        <v>1173</v>
      </c>
      <c r="AT896" s="3" t="str">
        <f>HYPERLINK("https://icf.clappia.com/app/GMB253374/submission/KNK32882785/ICF247370-GMB253374-36d3cd0c108k00000000/SIG-20250701_115915m.jpeg", "SIG-20250701_115915m.jpeg")</f>
        <v>SIG-20250701_115915m.jpeg</v>
      </c>
      <c r="AU896" s="1" t="s">
        <v>482</v>
      </c>
      <c r="AV896" s="3" t="str">
        <f>HYPERLINK("https://icf.clappia.com/app/GMB253374/submission/KNK32882785/ICF247370-GMB253374-3k5modkno5o200000000/SIG-20250701_1200g0lh1.jpeg", "SIG-20250701_1200g0lh1.jpeg")</f>
        <v>SIG-20250701_1200g0lh1.jpeg</v>
      </c>
      <c r="AW896" s="1" t="s">
        <v>4438</v>
      </c>
      <c r="AX896" s="3" t="str">
        <f>HYPERLINK("https://icf.clappia.com/app/GMB253374/submission/KNK32882785/ICF247370-GMB253374-354aj17n5he000000000/SIG-20250701_12017gn78.jpeg", "SIG-20250701_12017gn78.jpeg")</f>
        <v>SIG-20250701_12017gn78.jpeg</v>
      </c>
      <c r="AY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2" t="s">
        <v>47</v>
      </c>
      <c r="C897" s="1" t="s">
        <v>4436</v>
      </c>
      <c r="D897" s="1" t="s">
        <v>4436</v>
      </c>
      <c r="E897" s="1" t="s">
        <v>4440</v>
      </c>
      <c r="F897" s="1" t="s">
        <v>51</v>
      </c>
      <c r="G897" s="1">
        <v>200.0</v>
      </c>
      <c r="H897" s="1" t="s">
        <v>52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53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54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56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57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f t="shared" si="1"/>
        <v>190</v>
      </c>
      <c r="AM897" s="1">
        <v>200.0</v>
      </c>
      <c r="AN897" s="1">
        <v>212.0</v>
      </c>
      <c r="AO897" s="1">
        <v>164.0</v>
      </c>
      <c r="AP897" s="2">
        <v>11.0</v>
      </c>
      <c r="AQ897" s="1">
        <v>36.0</v>
      </c>
      <c r="AR897" s="1">
        <v>36.0</v>
      </c>
      <c r="AS897" s="1" t="s">
        <v>1209</v>
      </c>
      <c r="AT897" s="3" t="str">
        <f>HYPERLINK("https://icf.clappia.com/app/GMB253374/submission/JOH29644867/ICF247370-GMB253374-31gklo9nnkk000000000/SIG-20250701_11595p5n0.jpeg", "SIG-20250701_11595p5n0.jpeg")</f>
        <v>SIG-20250701_11595p5n0.jpeg</v>
      </c>
      <c r="AU897" s="1" t="s">
        <v>1857</v>
      </c>
      <c r="AV897" s="3" t="str">
        <f>HYPERLINK("https://icf.clappia.com/app/GMB253374/submission/JOH29644867/ICF247370-GMB253374-472kf8k313j400000000/SIG-20250701_12002a3jl.jpeg", "SIG-20250701_12002a3jl.jpeg")</f>
        <v>SIG-20250701_12002a3jl.jpeg</v>
      </c>
      <c r="AW897" s="1" t="s">
        <v>1211</v>
      </c>
      <c r="AX897" s="3" t="str">
        <f>HYPERLINK("https://icf.clappia.com/app/GMB253374/submission/JOH29644867/ICF247370-GMB253374-2kpj4f3pph0m00000000/SIG-20250701_12006c7jp.jpeg", "SIG-20250701_12006c7jp.jpeg")</f>
        <v>SIG-20250701_12006c7jp.jpeg</v>
      </c>
      <c r="AY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2" t="s">
        <v>47</v>
      </c>
      <c r="C898" s="1" t="s">
        <v>4442</v>
      </c>
      <c r="D898" s="1" t="s">
        <v>4442</v>
      </c>
      <c r="E898" s="1" t="s">
        <v>4443</v>
      </c>
      <c r="F898" s="1" t="s">
        <v>51</v>
      </c>
      <c r="G898" s="1">
        <v>260.0</v>
      </c>
      <c r="H898" s="1" t="s">
        <v>52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53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54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56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57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f t="shared" si="1"/>
        <v>244</v>
      </c>
      <c r="AM898" s="1">
        <v>260.0</v>
      </c>
      <c r="AN898" s="1">
        <v>272.0</v>
      </c>
      <c r="AO898" s="1">
        <v>132.0</v>
      </c>
      <c r="AP898" s="2">
        <v>11.0</v>
      </c>
      <c r="AQ898" s="1">
        <v>128.0</v>
      </c>
      <c r="AR898" s="1">
        <v>128.0</v>
      </c>
      <c r="AS898" s="1" t="s">
        <v>4444</v>
      </c>
      <c r="AT898" s="3" t="str">
        <f>HYPERLINK("https://icf.clappia.com/app/GMB253374/submission/JMI90488618/ICF247370-GMB253374-4pg91m3h6n2000000000/SIG-20250701_1152186f16.jpeg", "SIG-20250701_1152186f16.jpeg")</f>
        <v>SIG-20250701_1152186f16.jpeg</v>
      </c>
      <c r="AU898" s="1" t="s">
        <v>4445</v>
      </c>
      <c r="AV898" s="3" t="str">
        <f>HYPERLINK("https://icf.clappia.com/app/GMB253374/submission/JMI90488618/ICF247370-GMB253374-38fhjb2m25a400000000/SIG-20250701_11541ch43.jpeg", "SIG-20250701_11541ch43.jpeg")</f>
        <v>SIG-20250701_11541ch43.jpeg</v>
      </c>
      <c r="AW898" s="1" t="s">
        <v>1920</v>
      </c>
      <c r="AX898" s="3" t="str">
        <f>HYPERLINK("https://icf.clappia.com/app/GMB253374/submission/JMI90488618/ICF247370-GMB253374-5ib3mfaddgom00000000/SIG-20250701_115531n6f.jpeg", "SIG-20250701_115531n6f.jpeg")</f>
        <v>SIG-20250701_115531n6f.jpeg</v>
      </c>
      <c r="AY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2" t="s">
        <v>47</v>
      </c>
      <c r="C899" s="1" t="s">
        <v>4447</v>
      </c>
      <c r="D899" s="1" t="s">
        <v>4447</v>
      </c>
      <c r="E899" s="1" t="s">
        <v>4448</v>
      </c>
      <c r="F899" s="1" t="s">
        <v>51</v>
      </c>
      <c r="G899" s="1">
        <v>247.0</v>
      </c>
      <c r="H899" s="1" t="s">
        <v>52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53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54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56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57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f t="shared" si="1"/>
        <v>247</v>
      </c>
      <c r="AM899" s="1">
        <v>247.0</v>
      </c>
      <c r="AN899" s="1">
        <v>259.0</v>
      </c>
      <c r="AO899" s="1">
        <v>242.0</v>
      </c>
      <c r="AP899" s="2">
        <v>11.0</v>
      </c>
      <c r="AQ899" s="1">
        <v>5.0</v>
      </c>
      <c r="AR899" s="1">
        <v>5.0</v>
      </c>
      <c r="AS899" s="1" t="s">
        <v>4449</v>
      </c>
      <c r="AT899" s="3" t="str">
        <f>HYPERLINK("https://icf.clappia.com/app/GMB253374/submission/DDN15586396/ICF247370-GMB253374-3oi304d5edec00000000/SIG-20250630_115573mee.jpeg", "SIG-20250630_115573mee.jpeg")</f>
        <v>SIG-20250630_115573mee.jpeg</v>
      </c>
      <c r="AU899" s="1" t="s">
        <v>4450</v>
      </c>
      <c r="AV899" s="3" t="str">
        <f>HYPERLINK("https://icf.clappia.com/app/GMB253374/submission/DDN15586396/ICF247370-GMB253374-482gbc2159c200000000/SIG-20250630_1156jk2db.jpeg", "SIG-20250630_1156jk2db.jpeg")</f>
        <v>SIG-20250630_1156jk2db.jpeg</v>
      </c>
      <c r="AW899" s="1" t="s">
        <v>3310</v>
      </c>
      <c r="AX899" s="3" t="str">
        <f>HYPERLINK("https://icf.clappia.com/app/GMB253374/submission/DDN15586396/ICF247370-GMB253374-33gdm3b02eda00000000/SIG-20250630_1158hf589.jpeg", "SIG-20250630_1158hf589.jpeg")</f>
        <v>SIG-20250630_1158hf589.jpeg</v>
      </c>
      <c r="AY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2" t="s">
        <v>47</v>
      </c>
      <c r="C900" s="1" t="s">
        <v>4452</v>
      </c>
      <c r="D900" s="1" t="s">
        <v>4452</v>
      </c>
      <c r="E900" s="1" t="s">
        <v>4453</v>
      </c>
      <c r="F900" s="1" t="s">
        <v>51</v>
      </c>
      <c r="G900" s="1">
        <v>150.0</v>
      </c>
      <c r="H900" s="1" t="s">
        <v>52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53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54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56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57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f t="shared" si="1"/>
        <v>67</v>
      </c>
      <c r="AM900" s="1">
        <v>150.0</v>
      </c>
      <c r="AN900" s="1">
        <v>162.0</v>
      </c>
      <c r="AO900" s="1">
        <v>67.0</v>
      </c>
      <c r="AP900" s="2">
        <v>11.0</v>
      </c>
      <c r="AQ900" s="1">
        <v>83.0</v>
      </c>
      <c r="AR900" s="1">
        <v>83.0</v>
      </c>
      <c r="AS900" s="1" t="s">
        <v>4454</v>
      </c>
      <c r="AT900" s="3" t="str">
        <f>HYPERLINK("https://icf.clappia.com/app/GMB253374/submission/EUB74080711/ICF247370-GMB253374-440gn5b0360200000000/SIG-20250630_131412ogo7.jpeg", "SIG-20250630_131412ogo7.jpeg")</f>
        <v>SIG-20250630_131412ogo7.jpeg</v>
      </c>
      <c r="AU900" s="1" t="s">
        <v>4455</v>
      </c>
      <c r="AV900" s="3" t="str">
        <f>HYPERLINK("https://icf.clappia.com/app/GMB253374/submission/EUB74080711/ICF247370-GMB253374-92imhb7ho02k0000000/SIG-20250630_1315cb8e3.jpeg", "SIG-20250630_1315cb8e3.jpeg")</f>
        <v>SIG-20250630_1315cb8e3.jpeg</v>
      </c>
      <c r="AW900" s="1" t="s">
        <v>55</v>
      </c>
      <c r="AX900" s="3" t="str">
        <f>HYPERLINK("https://icf.clappia.com/app/GMB253374/submission/EUB74080711/ICF247370-GMB253374-3355dfcnmd1i00000000/SIG-20250630_1315pojhn.jpeg", "SIG-20250630_1315pojhn.jpeg")</f>
        <v>SIG-20250630_1315pojhn.jpeg</v>
      </c>
      <c r="AY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2" t="s">
        <v>47</v>
      </c>
      <c r="C901" s="1" t="s">
        <v>4457</v>
      </c>
      <c r="D901" s="1" t="s">
        <v>4452</v>
      </c>
      <c r="E901" s="1" t="s">
        <v>4458</v>
      </c>
      <c r="F901" s="1" t="s">
        <v>51</v>
      </c>
      <c r="G901" s="1">
        <v>199.0</v>
      </c>
      <c r="H901" s="1" t="s">
        <v>52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53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54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56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57</v>
      </c>
      <c r="AG901" s="1" t="s">
        <v>55</v>
      </c>
      <c r="AH901" s="1" t="s">
        <v>55</v>
      </c>
      <c r="AI901" s="1" t="s">
        <v>55</v>
      </c>
      <c r="AJ901" s="1" t="s">
        <v>55</v>
      </c>
      <c r="AK901" s="1" t="s">
        <v>55</v>
      </c>
      <c r="AL901" s="1">
        <f t="shared" si="1"/>
        <v>219</v>
      </c>
      <c r="AM901" s="1">
        <v>199.0</v>
      </c>
      <c r="AN901" s="1">
        <v>211.0</v>
      </c>
      <c r="AO901" s="1">
        <v>161.0</v>
      </c>
      <c r="AP901" s="2">
        <v>11.0</v>
      </c>
      <c r="AQ901" s="1">
        <v>38.0</v>
      </c>
      <c r="AR901" s="1">
        <v>38.0</v>
      </c>
      <c r="AS901" s="1" t="s">
        <v>4459</v>
      </c>
      <c r="AT901" s="3" t="str">
        <f>HYPERLINK("https://icf.clappia.com/app/GMB253374/submission/PPP83467305/ICF247370-GMB253374-1agp5l07idig00000000/SIG-20250701_104817pic9.jpeg", "SIG-20250701_104817pic9.jpeg")</f>
        <v>SIG-20250701_104817pic9.jpeg</v>
      </c>
      <c r="AU901" s="1" t="s">
        <v>621</v>
      </c>
      <c r="AV901" s="3" t="str">
        <f>HYPERLINK("https://icf.clappia.com/app/GMB253374/submission/PPP83467305/ICF247370-GMB253374-2f1feakdfecg00000000/SIG-20250701_1047anj8d.jpeg", "SIG-20250701_1047anj8d.jpeg")</f>
        <v>SIG-20250701_1047anj8d.jpeg</v>
      </c>
      <c r="AW901" s="1" t="s">
        <v>622</v>
      </c>
      <c r="AX901" s="3" t="str">
        <f>HYPERLINK("https://icf.clappia.com/app/GMB253374/submission/PPP83467305/ICF247370-GMB253374-24c9ii9h8bn0i0000000/SIG-20250701_105014597.jpeg", "SIG-20250701_105014597.jpeg")</f>
        <v>SIG-20250701_105014597.jpeg</v>
      </c>
      <c r="AY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2" t="s">
        <v>47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65.0</v>
      </c>
      <c r="H902" s="1" t="s">
        <v>52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53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54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56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57</v>
      </c>
      <c r="AG902" s="1">
        <v>7.0</v>
      </c>
      <c r="AH902" s="1">
        <v>5.0</v>
      </c>
      <c r="AI902" s="1" t="s">
        <v>55</v>
      </c>
      <c r="AJ902" s="1">
        <v>2.0</v>
      </c>
      <c r="AK902" s="1" t="s">
        <v>55</v>
      </c>
      <c r="AL902" s="1">
        <f t="shared" si="1"/>
        <v>79</v>
      </c>
      <c r="AM902" s="1">
        <v>65.0</v>
      </c>
      <c r="AN902" s="1">
        <v>77.0</v>
      </c>
      <c r="AO902" s="1">
        <v>65.0</v>
      </c>
      <c r="AP902" s="2">
        <v>11.0</v>
      </c>
      <c r="AQ902" s="1">
        <v>0.0</v>
      </c>
      <c r="AR902" s="1">
        <v>0.0</v>
      </c>
      <c r="AS902" s="1" t="s">
        <v>2251</v>
      </c>
      <c r="AT902" s="3" t="str">
        <f>HYPERLINK("https://icf.clappia.com/app/GMB253374/submission/RGJ70850319/ICF247370-GMB253374-1ie4p1gc4c1kk0000000/SIG-20250701_1129imcj1.jpeg", "SIG-20250701_1129imcj1.jpeg")</f>
        <v>SIG-20250701_1129imcj1.jpeg</v>
      </c>
      <c r="AU902" s="1" t="s">
        <v>2252</v>
      </c>
      <c r="AV902" s="3" t="str">
        <f>HYPERLINK("https://icf.clappia.com/app/GMB253374/submission/RGJ70850319/ICF247370-GMB253374-ncmei01dj0ik000000/SIG-20250701_1132ggonk.jpeg", "SIG-20250701_1132ggonk.jpeg")</f>
        <v>SIG-20250701_1132ggonk.jpeg</v>
      </c>
      <c r="AW902" s="1" t="s">
        <v>4463</v>
      </c>
      <c r="AX902" s="3" t="str">
        <f>HYPERLINK("https://icf.clappia.com/app/GMB253374/submission/RGJ70850319/ICF247370-GMB253374-27ccg227c40b20000000/SIG-20250701_113419k0pe.jpeg", "SIG-20250701_113419k0pe.jpeg")</f>
        <v>SIG-20250701_113419k0pe.jpeg</v>
      </c>
      <c r="AY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2" t="s">
        <v>47</v>
      </c>
      <c r="C903" s="1" t="s">
        <v>4465</v>
      </c>
      <c r="D903" s="1" t="s">
        <v>4465</v>
      </c>
      <c r="E903" s="1" t="s">
        <v>4466</v>
      </c>
      <c r="F903" s="1" t="s">
        <v>51</v>
      </c>
      <c r="G903" s="1">
        <v>150.0</v>
      </c>
      <c r="H903" s="1" t="s">
        <v>52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53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54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56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57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f t="shared" si="1"/>
        <v>111</v>
      </c>
      <c r="AM903" s="1">
        <v>150.0</v>
      </c>
      <c r="AN903" s="1">
        <v>162.0</v>
      </c>
      <c r="AO903" s="1">
        <v>111.0</v>
      </c>
      <c r="AP903" s="2">
        <v>11.0</v>
      </c>
      <c r="AQ903" s="1">
        <v>39.0</v>
      </c>
      <c r="AR903" s="1">
        <v>39.0</v>
      </c>
      <c r="AS903" s="1" t="s">
        <v>4467</v>
      </c>
      <c r="AT903" s="3" t="str">
        <f>HYPERLINK("https://icf.clappia.com/app/GMB253374/submission/AMC37038681/ICF247370-GMB253374-4c0f34hjldcg00000000/SIG-20250701_1130ile0g.jpeg", "SIG-20250701_1130ile0g.jpeg")</f>
        <v>SIG-20250701_1130ile0g.jpeg</v>
      </c>
      <c r="AU903" s="1" t="s">
        <v>4468</v>
      </c>
      <c r="AV903" s="3" t="str">
        <f>HYPERLINK("https://icf.clappia.com/app/GMB253374/submission/AMC37038681/ICF247370-GMB253374-53d5p0pnbe4000000000/SIG-20250701_113115hg1j.jpeg", "SIG-20250701_113115hg1j.jpeg")</f>
        <v>SIG-20250701_113115hg1j.jpeg</v>
      </c>
      <c r="AW903" s="1" t="s">
        <v>4469</v>
      </c>
      <c r="AX903" s="3" t="str">
        <f>HYPERLINK("https://icf.clappia.com/app/GMB253374/submission/AMC37038681/ICF247370-GMB253374-35beb24dmbba00000000/SIG-20250701_1133ipoa8.jpeg", "SIG-20250701_1133ipoa8.jpeg")</f>
        <v>SIG-20250701_1133ipoa8.jpeg</v>
      </c>
      <c r="AY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2" t="s">
        <v>47</v>
      </c>
      <c r="C904" s="1" t="s">
        <v>4471</v>
      </c>
      <c r="D904" s="1" t="s">
        <v>4471</v>
      </c>
      <c r="E904" s="1" t="s">
        <v>4472</v>
      </c>
      <c r="F904" s="1" t="s">
        <v>51</v>
      </c>
      <c r="G904" s="1">
        <v>209.0</v>
      </c>
      <c r="H904" s="1" t="s">
        <v>52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53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54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56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57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f t="shared" si="1"/>
        <v>156</v>
      </c>
      <c r="AM904" s="1">
        <v>209.0</v>
      </c>
      <c r="AN904" s="1">
        <v>221.0</v>
      </c>
      <c r="AO904" s="1">
        <v>145.0</v>
      </c>
      <c r="AP904" s="2">
        <v>11.0</v>
      </c>
      <c r="AQ904" s="1">
        <v>64.0</v>
      </c>
      <c r="AR904" s="1">
        <v>64.0</v>
      </c>
      <c r="AS904" s="1" t="s">
        <v>808</v>
      </c>
      <c r="AT904" s="3" t="str">
        <f>HYPERLINK("https://icf.clappia.com/app/GMB253374/submission/MHA10608103/ICF247370-GMB253374-3988a2lb0cf200000000/SIG-20250701_115394hik.jpeg", "SIG-20250701_115394hik.jpeg")</f>
        <v>SIG-20250701_115394hik.jpeg</v>
      </c>
      <c r="AU904" s="1" t="s">
        <v>809</v>
      </c>
      <c r="AV904" s="3" t="str">
        <f>HYPERLINK("https://icf.clappia.com/app/GMB253374/submission/MHA10608103/ICF247370-GMB253374-1em5kej76pbck0000000/SIG-20250701_1152165471.jpeg", "SIG-20250701_1152165471.jpeg")</f>
        <v>SIG-20250701_1152165471.jpeg</v>
      </c>
      <c r="AW904" s="1" t="s">
        <v>810</v>
      </c>
      <c r="AX904" s="3" t="str">
        <f>HYPERLINK("https://icf.clappia.com/app/GMB253374/submission/MHA10608103/ICF247370-GMB253374-5j61g6k24jha00000000/SIG-20250701_1153edkh.jpeg", "SIG-20250701_1153edkh.jpeg")</f>
        <v>SIG-20250701_1153edkh.jpeg</v>
      </c>
      <c r="AY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2" t="s">
        <v>47</v>
      </c>
      <c r="C905" s="1" t="s">
        <v>4471</v>
      </c>
      <c r="D905" s="1" t="s">
        <v>4471</v>
      </c>
      <c r="E905" s="1" t="s">
        <v>4474</v>
      </c>
      <c r="F905" s="1" t="s">
        <v>51</v>
      </c>
      <c r="G905" s="1">
        <v>211.0</v>
      </c>
      <c r="H905" s="1" t="s">
        <v>52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53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54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56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57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f t="shared" si="1"/>
        <v>155</v>
      </c>
      <c r="AM905" s="1">
        <v>211.0</v>
      </c>
      <c r="AN905" s="1">
        <v>223.0</v>
      </c>
      <c r="AO905" s="1">
        <v>119.0</v>
      </c>
      <c r="AP905" s="2">
        <v>11.0</v>
      </c>
      <c r="AQ905" s="1">
        <v>92.0</v>
      </c>
      <c r="AR905" s="1">
        <v>92.0</v>
      </c>
      <c r="AS905" s="1" t="s">
        <v>1945</v>
      </c>
      <c r="AT905" s="3" t="str">
        <f>HYPERLINK("https://icf.clappia.com/app/GMB253374/submission/MNM58666910/ICF247370-GMB253374-3odoo5p4fom000000000/SIG-20250701_115214ffcg.jpeg", "SIG-20250701_115214ffcg.jpeg")</f>
        <v>SIG-20250701_115214ffcg.jpeg</v>
      </c>
      <c r="AU905" s="1" t="s">
        <v>1946</v>
      </c>
      <c r="AV905" s="3" t="str">
        <f>HYPERLINK("https://icf.clappia.com/app/GMB253374/submission/MNM58666910/ICF247370-GMB253374-4ocdflldp5l600000000/SIG-20250701_1153cd64i.jpeg", "SIG-20250701_1153cd64i.jpeg")</f>
        <v>SIG-20250701_1153cd64i.jpeg</v>
      </c>
      <c r="AW905" s="1" t="s">
        <v>1947</v>
      </c>
      <c r="AX905" s="3" t="str">
        <f>HYPERLINK("https://icf.clappia.com/app/GMB253374/submission/MNM58666910/ICF247370-GMB253374-36lpooh17lpc00000000/SIG-20250701_1154cmddp.jpeg", "SIG-20250701_1154cmddp.jpeg")</f>
        <v>SIG-20250701_1154cmddp.jpeg</v>
      </c>
      <c r="AY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2" t="s">
        <v>47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300.0</v>
      </c>
      <c r="H906" s="1" t="s">
        <v>52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53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54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56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57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f t="shared" si="1"/>
        <v>285</v>
      </c>
      <c r="AM906" s="1">
        <v>300.0</v>
      </c>
      <c r="AN906" s="1">
        <v>312.0</v>
      </c>
      <c r="AO906" s="1">
        <v>282.0</v>
      </c>
      <c r="AP906" s="2">
        <v>11.0</v>
      </c>
      <c r="AQ906" s="1">
        <v>18.0</v>
      </c>
      <c r="AR906" s="1">
        <v>18.0</v>
      </c>
      <c r="AS906" s="1" t="s">
        <v>1324</v>
      </c>
      <c r="AT906" s="3" t="str">
        <f>HYPERLINK("https://icf.clappia.com/app/GMB253374/submission/KGK35571452/ICF247370-GMB253374-cb7n1j3gb9mo0000000/SIG-20250701_1139924jp.jpeg", "SIG-20250701_1139924jp.jpeg")</f>
        <v>SIG-20250701_1139924jp.jpeg</v>
      </c>
      <c r="AU906" s="1" t="s">
        <v>1325</v>
      </c>
      <c r="AV906" s="3" t="str">
        <f>HYPERLINK("https://icf.clappia.com/app/GMB253374/submission/KGK35571452/ICF247370-GMB253374-3g8j57jhaphe00000000/SIG-20250701_1144130kjg.jpeg", "SIG-20250701_1144130kjg.jpeg")</f>
        <v>SIG-20250701_1144130kjg.jpeg</v>
      </c>
      <c r="AW906" s="1" t="s">
        <v>1326</v>
      </c>
      <c r="AX906" s="3" t="str">
        <f>HYPERLINK("https://icf.clappia.com/app/GMB253374/submission/KGK35571452/ICF247370-GMB253374-23hn8fl3age6i0000000/SIG-20250701_114510gmno.jpeg", "SIG-20250701_114510gmno.jpeg")</f>
        <v>SIG-20250701_114510gmno.jpeg</v>
      </c>
      <c r="AY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2" t="s">
        <v>47</v>
      </c>
      <c r="C907" s="1" t="s">
        <v>4478</v>
      </c>
      <c r="D907" s="1" t="s">
        <v>4479</v>
      </c>
      <c r="E907" s="1" t="s">
        <v>4480</v>
      </c>
      <c r="F907" s="1" t="s">
        <v>51</v>
      </c>
      <c r="G907" s="1">
        <v>356.0</v>
      </c>
      <c r="H907" s="1" t="s">
        <v>52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53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54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56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57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f t="shared" si="1"/>
        <v>356</v>
      </c>
      <c r="AM907" s="1">
        <v>356.0</v>
      </c>
      <c r="AN907" s="1">
        <v>368.0</v>
      </c>
      <c r="AO907" s="1">
        <v>356.0</v>
      </c>
      <c r="AP907" s="2">
        <v>11.0</v>
      </c>
      <c r="AQ907" s="1">
        <v>0.0</v>
      </c>
      <c r="AR907" s="1">
        <v>0.0</v>
      </c>
      <c r="AS907" s="1" t="s">
        <v>4481</v>
      </c>
      <c r="AT907" s="3" t="str">
        <f>HYPERLINK("https://icf.clappia.com/app/GMB253374/submission/BZT94863039/ICF247370-GMB253374-2mgm8nk6a8a800000000/SIG-20250701_102414ic27.jpeg", "SIG-20250701_102414ic27.jpeg")</f>
        <v>SIG-20250701_102414ic27.jpeg</v>
      </c>
      <c r="AU907" s="1" t="s">
        <v>4482</v>
      </c>
      <c r="AV907" s="3" t="str">
        <f>HYPERLINK("https://icf.clappia.com/app/GMB253374/submission/BZT94863039/ICF247370-GMB253374-i57llce237je0000000/SIG-20250701_1025dc473.jpeg", "SIG-20250701_1025dc473.jpeg")</f>
        <v>SIG-20250701_1025dc473.jpeg</v>
      </c>
      <c r="AW907" s="1" t="s">
        <v>4483</v>
      </c>
      <c r="AX907" s="3" t="str">
        <f>HYPERLINK("https://icf.clappia.com/app/GMB253374/submission/BZT94863039/ICF247370-GMB253374-3o9954m49d0000000000/SIG-20250701_10268jbaa.jpeg", "SIG-20250701_10268jbaa.jpeg")</f>
        <v>SIG-20250701_10268jbaa.jpeg</v>
      </c>
      <c r="AY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2" t="s">
        <v>47</v>
      </c>
      <c r="C908" s="1" t="s">
        <v>4485</v>
      </c>
      <c r="D908" s="1" t="s">
        <v>4485</v>
      </c>
      <c r="E908" s="1" t="s">
        <v>4486</v>
      </c>
      <c r="F908" s="1" t="s">
        <v>51</v>
      </c>
      <c r="G908" s="1">
        <v>150.0</v>
      </c>
      <c r="H908" s="1" t="s">
        <v>52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53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54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56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57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f t="shared" si="1"/>
        <v>150</v>
      </c>
      <c r="AM908" s="1">
        <v>150.0</v>
      </c>
      <c r="AN908" s="1">
        <v>162.0</v>
      </c>
      <c r="AO908" s="1">
        <v>150.0</v>
      </c>
      <c r="AP908" s="2">
        <v>11.0</v>
      </c>
      <c r="AQ908" s="1">
        <v>0.0</v>
      </c>
      <c r="AR908" s="1">
        <v>0.0</v>
      </c>
      <c r="AS908" s="1" t="s">
        <v>2179</v>
      </c>
      <c r="AT908" s="3" t="str">
        <f>HYPERLINK("https://icf.clappia.com/app/GMB253374/submission/KLI45208462/ICF247370-GMB253374-cn8jb0e1enfe0000000/SIG-20250701_1117125g9g.jpeg", "SIG-20250701_1117125g9g.jpeg")</f>
        <v>SIG-20250701_1117125g9g.jpeg</v>
      </c>
      <c r="AU908" s="1" t="s">
        <v>3465</v>
      </c>
      <c r="AV908" s="3" t="str">
        <f>HYPERLINK("https://icf.clappia.com/app/GMB253374/submission/KLI45208462/ICF247370-GMB253374-gf82a17d06ic0000000/SIG-20250701_1118ipcfi.jpeg", "SIG-20250701_1118ipcfi.jpeg")</f>
        <v>SIG-20250701_1118ipcfi.jpeg</v>
      </c>
      <c r="AW908" s="1" t="s">
        <v>4487</v>
      </c>
      <c r="AX908" s="3" t="str">
        <f>HYPERLINK("https://icf.clappia.com/app/GMB253374/submission/KLI45208462/ICF247370-GMB253374-3c4kkmhii2lg00000000/SIG-20250701_1131n1j3k.jpeg", "SIG-20250701_1131n1j3k.jpeg")</f>
        <v>SIG-20250701_1131n1j3k.jpeg</v>
      </c>
      <c r="AY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2" t="s">
        <v>47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232.0</v>
      </c>
      <c r="H909" s="1" t="s">
        <v>52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53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54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56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57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f t="shared" si="1"/>
        <v>118</v>
      </c>
      <c r="AM909" s="1">
        <v>232.0</v>
      </c>
      <c r="AN909" s="1">
        <v>244.0</v>
      </c>
      <c r="AO909" s="1">
        <v>108.0</v>
      </c>
      <c r="AP909" s="2">
        <v>11.0</v>
      </c>
      <c r="AQ909" s="1">
        <v>124.0</v>
      </c>
      <c r="AR909" s="1">
        <v>124.0</v>
      </c>
      <c r="AS909" s="1" t="s">
        <v>4490</v>
      </c>
      <c r="AT909" s="3" t="str">
        <f>HYPERLINK("https://icf.clappia.com/app/GMB253374/submission/ZTG30412605/ICF247370-GMB253374-3mj5a21jp2ck0000000/SIG-20250701_1144157cdd.jpeg", "SIG-20250701_1144157cdd.jpeg")</f>
        <v>SIG-20250701_1144157cdd.jpeg</v>
      </c>
      <c r="AU909" s="1" t="s">
        <v>4491</v>
      </c>
      <c r="AV909" s="3" t="str">
        <f>HYPERLINK("https://icf.clappia.com/app/GMB253374/submission/ZTG30412605/ICF247370-GMB253374-17aigpn4faaec0000000/SIG-20250701_1145k1ime.jpeg", "SIG-20250701_1145k1ime.jpeg")</f>
        <v>SIG-20250701_1145k1ime.jpeg</v>
      </c>
      <c r="AW909" s="1" t="s">
        <v>4492</v>
      </c>
      <c r="AX909" s="3" t="str">
        <f>HYPERLINK("https://icf.clappia.com/app/GMB253374/submission/ZTG30412605/ICF247370-GMB253374-3d2a7gi3358000000000/SIG-20250701_114517i87l.jpeg", "SIG-20250701_114517i87l.jpeg")</f>
        <v>SIG-20250701_114517i87l.jpeg</v>
      </c>
      <c r="AY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2" t="s">
        <v>47</v>
      </c>
      <c r="C910" s="1" t="s">
        <v>4494</v>
      </c>
      <c r="D910" s="1" t="s">
        <v>4494</v>
      </c>
      <c r="E910" s="1" t="s">
        <v>4495</v>
      </c>
      <c r="F910" s="1" t="s">
        <v>51</v>
      </c>
      <c r="G910" s="1">
        <v>187.0</v>
      </c>
      <c r="H910" s="1" t="s">
        <v>52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53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54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56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57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f t="shared" si="1"/>
        <v>109</v>
      </c>
      <c r="AM910" s="1">
        <v>187.0</v>
      </c>
      <c r="AN910" s="1">
        <v>199.0</v>
      </c>
      <c r="AO910" s="1">
        <v>98.0</v>
      </c>
      <c r="AP910" s="2">
        <v>11.0</v>
      </c>
      <c r="AQ910" s="1">
        <v>89.0</v>
      </c>
      <c r="AR910" s="1">
        <v>89.0</v>
      </c>
      <c r="AS910" s="1" t="s">
        <v>4496</v>
      </c>
      <c r="AT910" s="3" t="str">
        <f>HYPERLINK("https://icf.clappia.com/app/GMB253374/submission/GOX39802424/ICF247370-GMB253374-2061chfb879cc00000/SIG-20250701_113719g6nk.jpeg", "SIG-20250701_113719g6nk.jpeg")</f>
        <v>SIG-20250701_113719g6nk.jpeg</v>
      </c>
      <c r="AU910" s="1" t="s">
        <v>4497</v>
      </c>
      <c r="AV910" s="3" t="str">
        <f>HYPERLINK("https://icf.clappia.com/app/GMB253374/submission/GOX39802424/ICF247370-GMB253374-j1hb3o1mk1a00000000/SIG-20250701_113817n0k6.jpeg", "SIG-20250701_113817n0k6.jpeg")</f>
        <v>SIG-20250701_113817n0k6.jpeg</v>
      </c>
      <c r="AW910" s="1" t="s">
        <v>1471</v>
      </c>
      <c r="AX910" s="3" t="str">
        <f>HYPERLINK("https://icf.clappia.com/app/GMB253374/submission/GOX39802424/ICF247370-GMB253374-4cak8g608pp600000000/SIG-20250701_1139hgn9d.jpeg", "SIG-20250701_1139hgn9d.jpeg")</f>
        <v>SIG-20250701_1139hgn9d.jpeg</v>
      </c>
      <c r="AY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2" t="s">
        <v>47</v>
      </c>
      <c r="C911" s="1" t="s">
        <v>4499</v>
      </c>
      <c r="D911" s="1" t="s">
        <v>4499</v>
      </c>
      <c r="E911" s="1" t="s">
        <v>4500</v>
      </c>
      <c r="F911" s="1" t="s">
        <v>51</v>
      </c>
      <c r="G911" s="1">
        <v>550.0</v>
      </c>
      <c r="H911" s="1" t="s">
        <v>52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53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54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56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57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f t="shared" si="1"/>
        <v>676</v>
      </c>
      <c r="AM911" s="1">
        <v>550.0</v>
      </c>
      <c r="AN911" s="1">
        <v>562.0</v>
      </c>
      <c r="AO911" s="1">
        <v>550.0</v>
      </c>
      <c r="AP911" s="2">
        <v>11.0</v>
      </c>
      <c r="AQ911" s="1">
        <v>0.0</v>
      </c>
      <c r="AR911" s="1">
        <v>0.0</v>
      </c>
      <c r="AS911" s="1" t="s">
        <v>4501</v>
      </c>
      <c r="AT911" s="3" t="str">
        <f>HYPERLINK("https://icf.clappia.com/app/GMB253374/submission/GLP41707586/ICF247370-GMB253374-58044dh2159i00000000/SIG-20250701_1132186i10.jpeg", "SIG-20250701_1132186i10.jpeg")</f>
        <v>SIG-20250701_1132186i10.jpeg</v>
      </c>
      <c r="AU911" s="1" t="s">
        <v>1464</v>
      </c>
      <c r="AV911" s="3" t="str">
        <f>HYPERLINK("https://icf.clappia.com/app/GMB253374/submission/GLP41707586/ICF247370-GMB253374-4iboolid30pc00000000/SIG-20250701_11423cl92.jpeg", "SIG-20250701_11423cl92.jpeg")</f>
        <v>SIG-20250701_11423cl92.jpeg</v>
      </c>
      <c r="AW911" s="1" t="s">
        <v>4502</v>
      </c>
      <c r="AX911" s="3" t="str">
        <f>HYPERLINK("https://icf.clappia.com/app/GMB253374/submission/GLP41707586/ICF247370-GMB253374-3fllmek7d4nk00000000/SIG-20250701_1142nglmh.jpeg", "SIG-20250701_1142nglmh.jpeg")</f>
        <v>SIG-20250701_1142nglmh.jpeg</v>
      </c>
      <c r="AY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2" t="s">
        <v>47</v>
      </c>
      <c r="C912" s="1" t="s">
        <v>4504</v>
      </c>
      <c r="D912" s="1" t="s">
        <v>4504</v>
      </c>
      <c r="E912" s="1" t="s">
        <v>4505</v>
      </c>
      <c r="F912" s="1" t="s">
        <v>51</v>
      </c>
      <c r="G912" s="1">
        <v>422.0</v>
      </c>
      <c r="H912" s="1" t="s">
        <v>52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53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54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56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57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f t="shared" si="1"/>
        <v>351</v>
      </c>
      <c r="AM912" s="1">
        <v>422.0</v>
      </c>
      <c r="AN912" s="1">
        <v>434.0</v>
      </c>
      <c r="AO912" s="1">
        <v>346.0</v>
      </c>
      <c r="AP912" s="2">
        <v>11.0</v>
      </c>
      <c r="AQ912" s="1">
        <v>76.0</v>
      </c>
      <c r="AR912" s="1">
        <v>76.0</v>
      </c>
      <c r="AS912" s="1" t="s">
        <v>2258</v>
      </c>
      <c r="AT912" s="3" t="str">
        <f>HYPERLINK("https://icf.clappia.com/app/GMB253374/submission/LPE10918606/ICF247370-GMB253374-4plnmpj2mko000000000/SIG-20250630_135014m7f4.jpeg", "SIG-20250630_135014m7f4.jpeg")</f>
        <v>SIG-20250630_135014m7f4.jpeg</v>
      </c>
      <c r="AU912" s="1" t="s">
        <v>2259</v>
      </c>
      <c r="AV912" s="3" t="str">
        <f>HYPERLINK("https://icf.clappia.com/app/GMB253374/submission/LPE10918606/ICF247370-GMB253374-6970dga1mlmi00000000/SIG-20250630_13515o3a8.jpeg", "SIG-20250630_13515o3a8.jpeg")</f>
        <v>SIG-20250630_13515o3a8.jpeg</v>
      </c>
      <c r="AW912" s="1" t="s">
        <v>4506</v>
      </c>
      <c r="AX912" s="3" t="str">
        <f>HYPERLINK("https://icf.clappia.com/app/GMB253374/submission/LPE10918606/ICF247370-GMB253374-5dl7mlfkk9mg00000000/SIG-20250630_13513o94f.jpeg", "SIG-20250630_13513o94f.jpeg")</f>
        <v>SIG-20250630_13513o94f.jpeg</v>
      </c>
      <c r="AY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2" t="s">
        <v>47</v>
      </c>
      <c r="C913" s="1" t="s">
        <v>4508</v>
      </c>
      <c r="D913" s="1" t="s">
        <v>4508</v>
      </c>
      <c r="E913" s="1" t="s">
        <v>4509</v>
      </c>
      <c r="F913" s="1" t="s">
        <v>51</v>
      </c>
      <c r="G913" s="1">
        <v>379.0</v>
      </c>
      <c r="H913" s="1" t="s">
        <v>52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53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54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56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57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f t="shared" si="1"/>
        <v>377</v>
      </c>
      <c r="AM913" s="1">
        <v>379.0</v>
      </c>
      <c r="AN913" s="1">
        <v>391.0</v>
      </c>
      <c r="AO913" s="1">
        <v>284.0</v>
      </c>
      <c r="AP913" s="2">
        <v>11.0</v>
      </c>
      <c r="AQ913" s="1">
        <v>95.0</v>
      </c>
      <c r="AR913" s="1">
        <v>95.0</v>
      </c>
      <c r="AS913" s="1" t="s">
        <v>853</v>
      </c>
      <c r="AT913" s="3" t="str">
        <f>HYPERLINK("https://icf.clappia.com/app/GMB253374/submission/BPI14251659/ICF247370-GMB253374-3pjfobdfi1ni00000000/SIG-20250701_1138122ll.jpeg", "SIG-20250701_1138122ll.jpeg")</f>
        <v>SIG-20250701_1138122ll.jpeg</v>
      </c>
      <c r="AU913" s="1" t="s">
        <v>1227</v>
      </c>
      <c r="AV913" s="3" t="str">
        <f>HYPERLINK("https://icf.clappia.com/app/GMB253374/submission/BPI14251659/ICF247370-GMB253374-3gpjf023b4ic00000000/SIG-20250701_1138d2mo9.jpeg", "SIG-20250701_1138d2mo9.jpeg")</f>
        <v>SIG-20250701_1138d2mo9.jpeg</v>
      </c>
      <c r="AW913" s="1" t="s">
        <v>1228</v>
      </c>
      <c r="AX913" s="3" t="str">
        <f>HYPERLINK("https://icf.clappia.com/app/GMB253374/submission/BPI14251659/ICF247370-GMB253374-dpeei0e1ho480000000/SIG-20250701_113916gp58.jpeg", "SIG-20250701_113916gp58.jpeg")</f>
        <v>SIG-20250701_113916gp58.jpeg</v>
      </c>
      <c r="AY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2" t="s">
        <v>47</v>
      </c>
      <c r="C914" s="1" t="s">
        <v>4508</v>
      </c>
      <c r="D914" s="1" t="s">
        <v>4508</v>
      </c>
      <c r="E914" s="1" t="s">
        <v>4511</v>
      </c>
      <c r="F914" s="1" t="s">
        <v>51</v>
      </c>
      <c r="G914" s="1">
        <v>203.0</v>
      </c>
      <c r="H914" s="1" t="s">
        <v>52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53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54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56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57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f t="shared" si="1"/>
        <v>243</v>
      </c>
      <c r="AM914" s="1">
        <v>203.0</v>
      </c>
      <c r="AN914" s="1">
        <v>215.0</v>
      </c>
      <c r="AO914" s="1">
        <v>203.0</v>
      </c>
      <c r="AP914" s="2">
        <v>11.0</v>
      </c>
      <c r="AQ914" s="1">
        <v>0.0</v>
      </c>
      <c r="AR914" s="1">
        <v>0.0</v>
      </c>
      <c r="AS914" s="1" t="s">
        <v>2076</v>
      </c>
      <c r="AT914" s="3" t="str">
        <f>HYPERLINK("https://icf.clappia.com/app/GMB253374/submission/XNK39086531/ICF247370-GMB253374-2gihg1m9o30o00000000/SIG-20250701_11377m0fc.jpeg", "SIG-20250701_11377m0fc.jpeg")</f>
        <v>SIG-20250701_11377m0fc.jpeg</v>
      </c>
      <c r="AU914" s="1" t="s">
        <v>2077</v>
      </c>
      <c r="AV914" s="3" t="str">
        <f>HYPERLINK("https://icf.clappia.com/app/GMB253374/submission/XNK39086531/ICF247370-GMB253374-1gcom3d535ld20000000/SIG-20250701_1139lcojc.jpeg", "SIG-20250701_1139lcojc.jpeg")</f>
        <v>SIG-20250701_1139lcojc.jpeg</v>
      </c>
      <c r="AW914" s="1" t="s">
        <v>4512</v>
      </c>
      <c r="AX914" s="3" t="str">
        <f>HYPERLINK("https://icf.clappia.com/app/GMB253374/submission/XNK39086531/ICF247370-GMB253374-310a3d76d4o600000000/SIG-20250701_1139198dp7.jpeg", "SIG-20250701_1139198dp7.jpeg")</f>
        <v>SIG-20250701_1139198dp7.jpeg</v>
      </c>
      <c r="AY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2" t="s">
        <v>47</v>
      </c>
      <c r="C915" s="1" t="s">
        <v>4514</v>
      </c>
      <c r="D915" s="1" t="s">
        <v>4514</v>
      </c>
      <c r="E915" s="1" t="s">
        <v>4515</v>
      </c>
      <c r="F915" s="1" t="s">
        <v>51</v>
      </c>
      <c r="G915" s="1">
        <v>300.0</v>
      </c>
      <c r="H915" s="1" t="s">
        <v>52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53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54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56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57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f t="shared" si="1"/>
        <v>598</v>
      </c>
      <c r="AM915" s="1">
        <v>300.0</v>
      </c>
      <c r="AN915" s="1">
        <v>312.0</v>
      </c>
      <c r="AO915" s="1">
        <v>270.0</v>
      </c>
      <c r="AP915" s="2">
        <v>11.0</v>
      </c>
      <c r="AQ915" s="1">
        <v>30.0</v>
      </c>
      <c r="AR915" s="1">
        <v>30.0</v>
      </c>
      <c r="AS915" s="1" t="s">
        <v>1337</v>
      </c>
      <c r="AT915" s="3" t="str">
        <f>HYPERLINK("https://icf.clappia.com/app/GMB253374/submission/ZCH27532538/ICF247370-GMB253374-1nkjkl1kjh6320000000/SIG-20250701_104216icgm.jpeg", "SIG-20250701_104216icgm.jpeg")</f>
        <v>SIG-20250701_104216icgm.jpeg</v>
      </c>
      <c r="AU915" s="1" t="s">
        <v>4516</v>
      </c>
      <c r="AV915" s="3" t="str">
        <f>HYPERLINK("https://icf.clappia.com/app/GMB253374/submission/ZCH27532538/ICF247370-GMB253374-2n8ln5bjl4am00000000/SIG-20250701_1045116hhd.jpeg", "SIG-20250701_1045116hhd.jpeg")</f>
        <v>SIG-20250701_1045116hhd.jpeg</v>
      </c>
      <c r="AW915" s="1" t="s">
        <v>4517</v>
      </c>
      <c r="AX915" s="3" t="str">
        <f>HYPERLINK("https://icf.clappia.com/app/GMB253374/submission/ZCH27532538/ICF247370-GMB253374-4b35j6d4o31800000000/SIG-20250701_1044135h3c.jpeg", "SIG-20250701_1044135h3c.jpeg")</f>
        <v>SIG-20250701_1044135h3c.jpeg</v>
      </c>
      <c r="AY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2" t="s">
        <v>47</v>
      </c>
      <c r="C916" s="1" t="s">
        <v>4519</v>
      </c>
      <c r="D916" s="1" t="s">
        <v>4519</v>
      </c>
      <c r="E916" s="1" t="s">
        <v>4520</v>
      </c>
      <c r="F916" s="1" t="s">
        <v>51</v>
      </c>
      <c r="G916" s="1">
        <v>167.0</v>
      </c>
      <c r="H916" s="1" t="s">
        <v>52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53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54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56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57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f t="shared" si="1"/>
        <v>167</v>
      </c>
      <c r="AM916" s="1">
        <v>167.0</v>
      </c>
      <c r="AN916" s="1">
        <v>179.0</v>
      </c>
      <c r="AO916" s="1">
        <v>167.0</v>
      </c>
      <c r="AP916" s="2">
        <v>11.0</v>
      </c>
      <c r="AQ916" s="1">
        <v>0.0</v>
      </c>
      <c r="AR916" s="1">
        <v>0.0</v>
      </c>
      <c r="AS916" s="1" t="s">
        <v>661</v>
      </c>
      <c r="AT916" s="3" t="str">
        <f>HYPERLINK("https://icf.clappia.com/app/GMB253374/submission/DWA84745607/ICF247370-GMB253374-1i9g4kb7jhmfa0000000/SIG-20250701_11365cbga.jpeg", "SIG-20250701_11365cbga.jpeg")</f>
        <v>SIG-20250701_11365cbga.jpeg</v>
      </c>
      <c r="AU916" s="1" t="s">
        <v>662</v>
      </c>
      <c r="AV916" s="3" t="str">
        <f>HYPERLINK("https://icf.clappia.com/app/GMB253374/submission/DWA84745607/ICF247370-GMB253374-3cjjf6enbgak00000000/SIG-20250701_1136i3dcg.jpeg", "SIG-20250701_1136i3dcg.jpeg")</f>
        <v>SIG-20250701_1136i3dcg.jpeg</v>
      </c>
      <c r="AW916" s="1" t="s">
        <v>663</v>
      </c>
      <c r="AX916" s="3" t="str">
        <f>HYPERLINK("https://icf.clappia.com/app/GMB253374/submission/DWA84745607/ICF247370-GMB253374-32goeeo0hd9400000000/SIG-20250701_11374glcl.jpeg", "SIG-20250701_11374glcl.jpeg")</f>
        <v>SIG-20250701_11374glcl.jpeg</v>
      </c>
      <c r="AY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2" t="s">
        <v>47</v>
      </c>
      <c r="C917" s="1" t="s">
        <v>4522</v>
      </c>
      <c r="D917" s="1" t="s">
        <v>4522</v>
      </c>
      <c r="E917" s="1" t="s">
        <v>4523</v>
      </c>
      <c r="F917" s="1" t="s">
        <v>51</v>
      </c>
      <c r="G917" s="1">
        <v>150.0</v>
      </c>
      <c r="H917" s="1" t="s">
        <v>52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53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54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56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57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f t="shared" si="1"/>
        <v>221</v>
      </c>
      <c r="AM917" s="1">
        <v>150.0</v>
      </c>
      <c r="AN917" s="1">
        <v>162.0</v>
      </c>
      <c r="AO917" s="1">
        <v>92.0</v>
      </c>
      <c r="AP917" s="2">
        <v>11.0</v>
      </c>
      <c r="AQ917" s="1">
        <v>58.0</v>
      </c>
      <c r="AR917" s="1">
        <v>58.0</v>
      </c>
      <c r="AS917" s="1" t="s">
        <v>4524</v>
      </c>
      <c r="AT917" s="3" t="str">
        <f>HYPERLINK("https://icf.clappia.com/app/GMB253374/submission/MRP82560629/ICF247370-GMB253374-be8aa5h74fo40000000/SIG-20250701_1123406lf.jpeg", "SIG-20250701_1123406lf.jpeg")</f>
        <v>SIG-20250701_1123406lf.jpeg</v>
      </c>
      <c r="AU917" s="1" t="s">
        <v>4525</v>
      </c>
      <c r="AV917" s="3" t="str">
        <f>HYPERLINK("https://icf.clappia.com/app/GMB253374/submission/MRP82560629/ICF247370-GMB253374-2l1gdh0646n000000000/SIG-20250701_1123m68ia.jpeg", "SIG-20250701_1123m68ia.jpeg")</f>
        <v>SIG-20250701_1123m68ia.jpeg</v>
      </c>
      <c r="AW917" s="1" t="s">
        <v>1934</v>
      </c>
      <c r="AX917" s="3" t="str">
        <f>HYPERLINK("https://icf.clappia.com/app/GMB253374/submission/MRP82560629/ICF247370-GMB253374-4db2pn2ibchm00000000/SIG-20250701_11245h187.jpeg", "SIG-20250701_11245h187.jpeg")</f>
        <v>SIG-20250701_11245h187.jpeg</v>
      </c>
      <c r="AY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2" t="s">
        <v>47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139.0</v>
      </c>
      <c r="H918" s="1" t="s">
        <v>52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53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54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56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57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f t="shared" si="1"/>
        <v>139</v>
      </c>
      <c r="AM918" s="1">
        <v>139.0</v>
      </c>
      <c r="AN918" s="1">
        <v>151.0</v>
      </c>
      <c r="AO918" s="1">
        <v>130.0</v>
      </c>
      <c r="AP918" s="2">
        <v>11.0</v>
      </c>
      <c r="AQ918" s="1">
        <v>9.0</v>
      </c>
      <c r="AR918" s="1">
        <v>9.0</v>
      </c>
      <c r="AS918" s="1" t="s">
        <v>900</v>
      </c>
      <c r="AT918" s="3" t="str">
        <f>HYPERLINK("https://icf.clappia.com/app/GMB253374/submission/QDI20122344/ICF247370-GMB253374-2j956n2g0hpm00000000/SIG-20250701_1119kd95l.jpeg", "SIG-20250701_1119kd95l.jpeg")</f>
        <v>SIG-20250701_1119kd95l.jpeg</v>
      </c>
      <c r="AU918" s="1" t="s">
        <v>901</v>
      </c>
      <c r="AV918" s="3" t="str">
        <f>HYPERLINK("https://icf.clappia.com/app/GMB253374/submission/QDI20122344/ICF247370-GMB253374-19m00go3c2b9a0000000/SIG-20250701_1120ahjd3.jpeg", "SIG-20250701_1120ahjd3.jpeg")</f>
        <v>SIG-20250701_1120ahjd3.jpeg</v>
      </c>
      <c r="AW918" s="1" t="s">
        <v>902</v>
      </c>
      <c r="AX918" s="3" t="str">
        <f>HYPERLINK("https://icf.clappia.com/app/GMB253374/submission/QDI20122344/ICF247370-GMB253374-hoc47ciic8400000000/SIG-20250701_1120ke7eo.jpeg", "SIG-20250701_1120ke7eo.jpeg")</f>
        <v>SIG-20250701_1120ke7eo.jpeg</v>
      </c>
      <c r="AY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2" t="s">
        <v>47</v>
      </c>
      <c r="C919" s="1" t="s">
        <v>2883</v>
      </c>
      <c r="D919" s="1" t="s">
        <v>2883</v>
      </c>
      <c r="E919" s="2" t="s">
        <v>4529</v>
      </c>
      <c r="F919" s="1" t="s">
        <v>72</v>
      </c>
      <c r="G919" s="1">
        <v>100.0</v>
      </c>
      <c r="H919" s="1" t="s">
        <v>52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53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54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56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57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f t="shared" si="1"/>
        <v>100</v>
      </c>
      <c r="AM919" s="1">
        <v>100.0</v>
      </c>
      <c r="AN919" s="1">
        <v>112.0</v>
      </c>
      <c r="AO919" s="1">
        <v>100.0</v>
      </c>
      <c r="AP919" s="2">
        <v>11.0</v>
      </c>
      <c r="AQ919" s="1">
        <v>0.0</v>
      </c>
      <c r="AR919" s="1">
        <v>0.0</v>
      </c>
      <c r="AS919" s="1" t="s">
        <v>1867</v>
      </c>
      <c r="AT919" s="3" t="str">
        <f>HYPERLINK("https://icf.clappia.com/app/GMB253374/submission/ZMP35644995/ICF247370-GMB253374-497fac50l51m00000000/SIG-20250701_1132305oe.jpeg", "SIG-20250701_1132305oe.jpeg")</f>
        <v>SIG-20250701_1132305oe.jpeg</v>
      </c>
      <c r="AU919" s="1" t="s">
        <v>4530</v>
      </c>
      <c r="AV919" s="3" t="str">
        <f>HYPERLINK("https://icf.clappia.com/app/GMB253374/submission/ZMP35644995/ICF247370-GMB253374-3dkjpdiij2pm00000000/SIG-20250701_11326cpff.jpeg", "SIG-20250701_11326cpff.jpeg")</f>
        <v>SIG-20250701_11326cpff.jpeg</v>
      </c>
      <c r="AW919" s="1" t="s">
        <v>4531</v>
      </c>
      <c r="AX919" s="3" t="str">
        <f>HYPERLINK("https://icf.clappia.com/app/GMB253374/submission/ZMP35644995/ICF247370-GMB253374-2ponna687h3e00000000/SIG-20250701_113487oia.jpeg", "SIG-20250701_113487oia.jpeg")</f>
        <v>SIG-20250701_113487oia.jpeg</v>
      </c>
      <c r="AY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2" t="s">
        <v>47</v>
      </c>
      <c r="C920" s="1" t="s">
        <v>2883</v>
      </c>
      <c r="D920" s="1" t="s">
        <v>2883</v>
      </c>
      <c r="E920" s="1" t="s">
        <v>4533</v>
      </c>
      <c r="F920" s="1" t="s">
        <v>72</v>
      </c>
      <c r="G920" s="1">
        <v>150.0</v>
      </c>
      <c r="H920" s="1" t="s">
        <v>52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53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54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56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57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f t="shared" si="1"/>
        <v>150</v>
      </c>
      <c r="AM920" s="1">
        <v>150.0</v>
      </c>
      <c r="AN920" s="1">
        <v>162.0</v>
      </c>
      <c r="AO920" s="1">
        <v>150.0</v>
      </c>
      <c r="AP920" s="2">
        <v>11.0</v>
      </c>
      <c r="AQ920" s="1">
        <v>0.0</v>
      </c>
      <c r="AR920" s="1">
        <v>0.0</v>
      </c>
      <c r="AS920" s="1" t="s">
        <v>4534</v>
      </c>
      <c r="AT920" s="3" t="str">
        <f>HYPERLINK("https://icf.clappia.com/app/GMB253374/submission/ZZB42992433/ICF247370-GMB253374-1ee57c1oc8cp60000000/SIG-20250701_1109534j2.jpeg", "SIG-20250701_1109534j2.jpeg")</f>
        <v>SIG-20250701_1109534j2.jpeg</v>
      </c>
      <c r="AU920" s="1" t="s">
        <v>2929</v>
      </c>
      <c r="AV920" s="3" t="str">
        <f>HYPERLINK("https://icf.clappia.com/app/GMB253374/submission/ZZB42992433/ICF247370-GMB253374-22bmlh11cmpe00000000/SIG-20250701_111087m2m.jpeg", "SIG-20250701_111087m2m.jpeg")</f>
        <v>SIG-20250701_111087m2m.jpeg</v>
      </c>
      <c r="AW920" s="1" t="s">
        <v>2930</v>
      </c>
      <c r="AX920" s="3" t="str">
        <f>HYPERLINK("https://icf.clappia.com/app/GMB253374/submission/ZZB42992433/ICF247370-GMB253374-61c7la0m42m000000000/SIG-20250701_111013m6nn.jpeg", "SIG-20250701_111013m6nn.jpeg")</f>
        <v>SIG-20250701_111013m6nn.jpeg</v>
      </c>
      <c r="AY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2" t="s">
        <v>47</v>
      </c>
      <c r="C921" s="1" t="s">
        <v>2883</v>
      </c>
      <c r="D921" s="1" t="s">
        <v>2883</v>
      </c>
      <c r="E921" s="1" t="s">
        <v>4536</v>
      </c>
      <c r="F921" s="1" t="s">
        <v>51</v>
      </c>
      <c r="G921" s="1">
        <v>177.0</v>
      </c>
      <c r="H921" s="1" t="s">
        <v>52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53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54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56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57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f t="shared" si="1"/>
        <v>141</v>
      </c>
      <c r="AM921" s="1">
        <v>177.0</v>
      </c>
      <c r="AN921" s="1">
        <v>189.0</v>
      </c>
      <c r="AO921" s="1">
        <v>37.0</v>
      </c>
      <c r="AP921" s="2">
        <v>11.0</v>
      </c>
      <c r="AQ921" s="1">
        <v>140.0</v>
      </c>
      <c r="AR921" s="1">
        <v>140.0</v>
      </c>
      <c r="AS921" s="1" t="s">
        <v>2082</v>
      </c>
      <c r="AT921" s="3" t="str">
        <f>HYPERLINK("https://icf.clappia.com/app/GMB253374/submission/PEK80075830/ICF247370-GMB253374-40gfco7980mc00000000/SIG-20250701_1133co8k5.jpeg", "SIG-20250701_1133co8k5.jpeg")</f>
        <v>SIG-20250701_1133co8k5.jpeg</v>
      </c>
      <c r="AU921" s="1" t="s">
        <v>2083</v>
      </c>
      <c r="AV921" s="3" t="str">
        <f>HYPERLINK("https://icf.clappia.com/app/GMB253374/submission/PEK80075830/ICF247370-GMB253374-3lfigembnk9a00000000/SIG-20250701_113415mcii.jpeg", "SIG-20250701_113415mcii.jpeg")</f>
        <v>SIG-20250701_113415mcii.jpeg</v>
      </c>
      <c r="AW921" s="1" t="s">
        <v>2084</v>
      </c>
      <c r="AX921" s="3" t="str">
        <f>HYPERLINK("https://icf.clappia.com/app/GMB253374/submission/PEK80075830/ICF247370-GMB253374-2o2jf8hl7c5800000000/SIG-20250701_1134145d.jpeg", "SIG-20250701_1134145d.jpeg")</f>
        <v>SIG-20250701_1134145d.jpeg</v>
      </c>
      <c r="AY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2" t="s">
        <v>47</v>
      </c>
      <c r="C922" s="1" t="s">
        <v>2883</v>
      </c>
      <c r="D922" s="1" t="s">
        <v>2883</v>
      </c>
      <c r="E922" s="1" t="s">
        <v>4538</v>
      </c>
      <c r="F922" s="1" t="s">
        <v>51</v>
      </c>
      <c r="G922" s="1">
        <v>150.0</v>
      </c>
      <c r="H922" s="1" t="s">
        <v>52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53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54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56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57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f t="shared" si="1"/>
        <v>197</v>
      </c>
      <c r="AM922" s="1">
        <v>150.0</v>
      </c>
      <c r="AN922" s="1">
        <v>162.0</v>
      </c>
      <c r="AO922" s="1">
        <v>105.0</v>
      </c>
      <c r="AP922" s="2">
        <v>11.0</v>
      </c>
      <c r="AQ922" s="1">
        <v>45.0</v>
      </c>
      <c r="AR922" s="1">
        <v>45.0</v>
      </c>
      <c r="AS922" s="1" t="s">
        <v>673</v>
      </c>
      <c r="AT922" s="3" t="str">
        <f>HYPERLINK("https://icf.clappia.com/app/GMB253374/submission/GOZ33057107/ICF247370-GMB253374-3o50o99o5ad600000000/SIG-20250701_1130179eg4.jpeg", "SIG-20250701_1130179eg4.jpeg")</f>
        <v>SIG-20250701_1130179eg4.jpeg</v>
      </c>
      <c r="AU922" s="1" t="s">
        <v>674</v>
      </c>
      <c r="AV922" s="3" t="str">
        <f>HYPERLINK("https://icf.clappia.com/app/GMB253374/submission/GOZ33057107/ICF247370-GMB253374-3jpmk6o2onao00000000/SIG-20250701_113417jjl9.jpeg", "SIG-20250701_113417jjl9.jpeg")</f>
        <v>SIG-20250701_113417jjl9.jpeg</v>
      </c>
      <c r="AW922" s="1" t="s">
        <v>4539</v>
      </c>
      <c r="AX922" s="3" t="str">
        <f>HYPERLINK("https://icf.clappia.com/app/GMB253374/submission/GOZ33057107/ICF247370-GMB253374-46b56lpklj4o00000000/SIG-20250701_1130400pc.jpeg", "SIG-20250701_1130400pc.jpeg")</f>
        <v>SIG-20250701_1130400pc.jpeg</v>
      </c>
      <c r="AY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2" t="s">
        <v>47</v>
      </c>
      <c r="C923" s="1" t="s">
        <v>4350</v>
      </c>
      <c r="D923" s="1" t="s">
        <v>4350</v>
      </c>
      <c r="E923" s="1" t="s">
        <v>4541</v>
      </c>
      <c r="F923" s="1" t="s">
        <v>51</v>
      </c>
      <c r="G923" s="1">
        <v>250.0</v>
      </c>
      <c r="H923" s="1" t="s">
        <v>52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53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54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56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57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f t="shared" si="1"/>
        <v>228</v>
      </c>
      <c r="AM923" s="1">
        <v>250.0</v>
      </c>
      <c r="AN923" s="1">
        <v>262.0</v>
      </c>
      <c r="AO923" s="1">
        <v>228.0</v>
      </c>
      <c r="AP923" s="2">
        <v>11.0</v>
      </c>
      <c r="AQ923" s="1">
        <v>22.0</v>
      </c>
      <c r="AR923" s="1">
        <v>22.0</v>
      </c>
      <c r="AS923" s="1" t="s">
        <v>1912</v>
      </c>
      <c r="AT923" s="3" t="str">
        <f>HYPERLINK("https://icf.clappia.com/app/GMB253374/submission/BJO54116400/ICF247370-GMB253374-4ie57bl8e02000000000/SIG-20250701_1131bbmg8.jpeg", "SIG-20250701_1131bbmg8.jpeg")</f>
        <v>SIG-20250701_1131bbmg8.jpeg</v>
      </c>
      <c r="AU923" s="1" t="s">
        <v>3142</v>
      </c>
      <c r="AV923" s="3" t="str">
        <f>HYPERLINK("https://icf.clappia.com/app/GMB253374/submission/BJO54116400/ICF247370-GMB253374-59f6347hbnli00000000/SIG-20250701_1132i1ll4.jpeg", "SIG-20250701_1132i1ll4.jpeg")</f>
        <v>SIG-20250701_1132i1ll4.jpeg</v>
      </c>
      <c r="AW923" s="1" t="s">
        <v>3143</v>
      </c>
      <c r="AX923" s="3" t="str">
        <f>HYPERLINK("https://icf.clappia.com/app/GMB253374/submission/BJO54116400/ICF247370-GMB253374-4hpegbmi9g5m00000000/SIG-20250701_11321pjhj.jpeg", "SIG-20250701_11321pjhj.jpeg")</f>
        <v>SIG-20250701_11321pjhj.jpeg</v>
      </c>
      <c r="AY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2" t="s">
        <v>47</v>
      </c>
      <c r="C924" s="1" t="s">
        <v>4350</v>
      </c>
      <c r="D924" s="1" t="s">
        <v>4350</v>
      </c>
      <c r="E924" s="1" t="s">
        <v>4543</v>
      </c>
      <c r="F924" s="1" t="s">
        <v>51</v>
      </c>
      <c r="G924" s="1">
        <v>700.0</v>
      </c>
      <c r="H924" s="1" t="s">
        <v>52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53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54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56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57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f t="shared" si="1"/>
        <v>670</v>
      </c>
      <c r="AM924" s="1">
        <v>700.0</v>
      </c>
      <c r="AN924" s="1">
        <v>712.0</v>
      </c>
      <c r="AO924" s="1">
        <v>662.0</v>
      </c>
      <c r="AP924" s="2">
        <v>11.0</v>
      </c>
      <c r="AQ924" s="1">
        <v>38.0</v>
      </c>
      <c r="AR924" s="1">
        <v>38.0</v>
      </c>
      <c r="AS924" s="1" t="s">
        <v>4544</v>
      </c>
      <c r="AT924" s="3" t="str">
        <f>HYPERLINK("https://icf.clappia.com/app/GMB253374/submission/MCI18771322/ICF247370-GMB253374-51b8l35c9f0g00000000/SIG-20250701_1131gk460.jpeg", "SIG-20250701_1131gk460.jpeg")</f>
        <v>SIG-20250701_1131gk460.jpeg</v>
      </c>
      <c r="AU924" s="1" t="s">
        <v>4545</v>
      </c>
      <c r="AV924" s="3" t="str">
        <f>HYPERLINK("https://icf.clappia.com/app/GMB253374/submission/MCI18771322/ICF247370-GMB253374-18b4dbpodf6ko0000000/SIG-20250701_113251gla.jpeg", "SIG-20250701_113251gla.jpeg")</f>
        <v>SIG-20250701_113251gla.jpeg</v>
      </c>
      <c r="AW924" s="1" t="s">
        <v>4546</v>
      </c>
      <c r="AX924" s="3" t="str">
        <f>HYPERLINK("https://icf.clappia.com/app/GMB253374/submission/MCI18771322/ICF247370-GMB253374-16g45a5p100g00000000/SIG-20250701_1132112i8k.jpeg", "SIG-20250701_1132112i8k.jpeg")</f>
        <v>SIG-20250701_1132112i8k.jpeg</v>
      </c>
      <c r="AY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2" t="s">
        <v>47</v>
      </c>
      <c r="C925" s="1" t="s">
        <v>4548</v>
      </c>
      <c r="D925" s="1" t="s">
        <v>4548</v>
      </c>
      <c r="E925" s="1" t="s">
        <v>4549</v>
      </c>
      <c r="F925" s="1" t="s">
        <v>51</v>
      </c>
      <c r="G925" s="1">
        <v>261.0</v>
      </c>
      <c r="H925" s="1" t="s">
        <v>52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53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54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56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57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f t="shared" si="1"/>
        <v>256</v>
      </c>
      <c r="AM925" s="1">
        <v>261.0</v>
      </c>
      <c r="AN925" s="1">
        <v>273.0</v>
      </c>
      <c r="AO925" s="1">
        <v>255.0</v>
      </c>
      <c r="AP925" s="2">
        <v>11.0</v>
      </c>
      <c r="AQ925" s="1">
        <v>6.0</v>
      </c>
      <c r="AR925" s="1">
        <v>6.0</v>
      </c>
      <c r="AS925" s="1" t="s">
        <v>1027</v>
      </c>
      <c r="AT925" s="3" t="str">
        <f>HYPERLINK("https://icf.clappia.com/app/GMB253374/submission/XNR23817995/ICF247370-GMB253374-664majmp1na400000000/SIG-20250701_104616fhh4.jpeg", "SIG-20250701_104616fhh4.jpeg")</f>
        <v>SIG-20250701_104616fhh4.jpeg</v>
      </c>
      <c r="AU925" s="1" t="s">
        <v>4550</v>
      </c>
      <c r="AV925" s="3" t="str">
        <f>HYPERLINK("https://icf.clappia.com/app/GMB253374/submission/XNR23817995/ICF247370-GMB253374-2fm6dmncoo3800000000/SIG-20250701_1047199mc2.jpeg", "SIG-20250701_1047199mc2.jpeg")</f>
        <v>SIG-20250701_1047199mc2.jpeg</v>
      </c>
      <c r="AW925" s="1" t="s">
        <v>4551</v>
      </c>
      <c r="AX925" s="3" t="str">
        <f>HYPERLINK("https://icf.clappia.com/app/GMB253374/submission/XNR23817995/ICF247370-GMB253374-3g4gaahbg77a00000000/SIG-20250701_1048o4k7h.jpeg", "SIG-20250701_1048o4k7h.jpeg")</f>
        <v>SIG-20250701_1048o4k7h.jpeg</v>
      </c>
      <c r="AY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2" t="s">
        <v>47</v>
      </c>
      <c r="C926" s="1" t="s">
        <v>4553</v>
      </c>
      <c r="D926" s="1" t="s">
        <v>4553</v>
      </c>
      <c r="E926" s="1" t="s">
        <v>4554</v>
      </c>
      <c r="F926" s="1" t="s">
        <v>51</v>
      </c>
      <c r="G926" s="1">
        <v>227.0</v>
      </c>
      <c r="H926" s="1" t="s">
        <v>52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53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54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56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57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f t="shared" si="1"/>
        <v>217</v>
      </c>
      <c r="AM926" s="1">
        <v>227.0</v>
      </c>
      <c r="AN926" s="1">
        <v>239.0</v>
      </c>
      <c r="AO926" s="1">
        <v>217.0</v>
      </c>
      <c r="AP926" s="2">
        <v>11.0</v>
      </c>
      <c r="AQ926" s="1">
        <v>10.0</v>
      </c>
      <c r="AR926" s="1">
        <v>10.0</v>
      </c>
      <c r="AS926" s="1" t="s">
        <v>3286</v>
      </c>
      <c r="AT926" s="3" t="str">
        <f>HYPERLINK("https://icf.clappia.com/app/GMB253374/submission/ZDK96596224/ICF247370-GMB253374-78pbgolhod6a0000000/SIG-20250701_1125b7kdh.jpeg", "SIG-20250701_1125b7kdh.jpeg")</f>
        <v>SIG-20250701_1125b7kdh.jpeg</v>
      </c>
      <c r="AU926" s="1" t="s">
        <v>4555</v>
      </c>
      <c r="AV926" s="3" t="str">
        <f>HYPERLINK("https://icf.clappia.com/app/GMB253374/submission/ZDK96596224/ICF247370-GMB253374-17b32g2eb4efi0000000/SIG-20250701_112746mm1.jpeg", "SIG-20250701_112746mm1.jpeg")</f>
        <v>SIG-20250701_112746mm1.jpeg</v>
      </c>
      <c r="AW926" s="1" t="s">
        <v>3288</v>
      </c>
      <c r="AX926" s="3" t="str">
        <f>HYPERLINK("https://icf.clappia.com/app/GMB253374/submission/ZDK96596224/ICF247370-GMB253374-35obae0mnep600000000/SIG-20250701_1127ki250.jpeg", "SIG-20250701_1127ki250.jpeg")</f>
        <v>SIG-20250701_1127ki250.jpeg</v>
      </c>
      <c r="AY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2" t="s">
        <v>47</v>
      </c>
      <c r="C927" s="1" t="s">
        <v>182</v>
      </c>
      <c r="D927" s="1" t="s">
        <v>4557</v>
      </c>
      <c r="E927" s="1" t="s">
        <v>4558</v>
      </c>
      <c r="F927" s="1" t="s">
        <v>51</v>
      </c>
      <c r="G927" s="1">
        <v>51.0</v>
      </c>
      <c r="H927" s="1" t="s">
        <v>52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53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54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56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57</v>
      </c>
      <c r="AG927" s="1">
        <v>22.0</v>
      </c>
      <c r="AH927" s="1">
        <v>12.0</v>
      </c>
      <c r="AI927" s="1" t="s">
        <v>55</v>
      </c>
      <c r="AJ927" s="1">
        <v>10.0</v>
      </c>
      <c r="AK927" s="1">
        <v>6.0</v>
      </c>
      <c r="AL927" s="1">
        <f t="shared" si="1"/>
        <v>157</v>
      </c>
      <c r="AM927" s="1">
        <v>51.0</v>
      </c>
      <c r="AN927" s="1">
        <v>63.0</v>
      </c>
      <c r="AO927" s="1">
        <v>50.0</v>
      </c>
      <c r="AP927" s="2">
        <v>11.0</v>
      </c>
      <c r="AQ927" s="1">
        <v>1.0</v>
      </c>
      <c r="AR927" s="1">
        <v>1.0</v>
      </c>
      <c r="AS927" s="1" t="s">
        <v>1190</v>
      </c>
      <c r="AT927" s="3" t="str">
        <f>HYPERLINK("https://icf.clappia.com/app/GMB253374/submission/WZJ62766606/ICF247370-GMB253374-1ha3k12edma720000000/SIG-20250701_10472j6a6.jpeg", "SIG-20250701_10472j6a6.jpeg")</f>
        <v>SIG-20250701_10472j6a6.jpeg</v>
      </c>
      <c r="AU927" s="1" t="s">
        <v>1191</v>
      </c>
      <c r="AV927" s="3" t="str">
        <f>HYPERLINK("https://icf.clappia.com/app/GMB253374/submission/WZJ62766606/ICF247370-GMB253374-58fff0in4bgo00000000/SIG-20250701_1047190pa6.jpeg", "SIG-20250701_1047190pa6.jpeg")</f>
        <v>SIG-20250701_1047190pa6.jpeg</v>
      </c>
      <c r="AW927" s="1" t="s">
        <v>1192</v>
      </c>
      <c r="AX927" s="3" t="str">
        <f>HYPERLINK("https://icf.clappia.com/app/GMB253374/submission/WZJ62766606/ICF247370-GMB253374-3ob47e1km6d600000000/SIG-20250701_1048p45j8.jpeg", "SIG-20250701_1048p45j8.jpeg")</f>
        <v>SIG-20250701_1048p45j8.jpeg</v>
      </c>
      <c r="AY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2" t="s">
        <v>47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50.0</v>
      </c>
      <c r="H928" s="1" t="s">
        <v>52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53</v>
      </c>
      <c r="O928" s="1">
        <v>4.0</v>
      </c>
      <c r="P928" s="1">
        <v>3.0</v>
      </c>
      <c r="Q928" s="1">
        <v>3.0</v>
      </c>
      <c r="R928" s="1">
        <v>1.0</v>
      </c>
      <c r="S928" s="1" t="s">
        <v>55</v>
      </c>
      <c r="T928" s="1" t="s">
        <v>54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56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57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f t="shared" si="1"/>
        <v>40</v>
      </c>
      <c r="AM928" s="1">
        <v>50.0</v>
      </c>
      <c r="AN928" s="1">
        <v>62.0</v>
      </c>
      <c r="AO928" s="1">
        <v>32.0</v>
      </c>
      <c r="AP928" s="2">
        <v>11.0</v>
      </c>
      <c r="AQ928" s="1">
        <v>18.0</v>
      </c>
      <c r="AR928" s="1">
        <v>18.0</v>
      </c>
      <c r="AS928" s="1" t="s">
        <v>1190</v>
      </c>
      <c r="AT928" s="3" t="str">
        <f>HYPERLINK("https://icf.clappia.com/app/GMB253374/submission/BVM45588925/ICF247370-GMB253374-5nf2i9nh8jeg00000000/SIG-20250630_11495fc26.jpeg", "SIG-20250630_11495fc26.jpeg")</f>
        <v>SIG-20250630_11495fc26.jpeg</v>
      </c>
      <c r="AU928" s="1" t="s">
        <v>1191</v>
      </c>
      <c r="AV928" s="3" t="str">
        <f>HYPERLINK("https://icf.clappia.com/app/GMB253374/submission/BVM45588925/ICF247370-GMB253374-3p0e3ldlggig00000000/SIG-20250630_1148i4iea.jpeg", "SIG-20250630_1148i4iea.jpeg")</f>
        <v>SIG-20250630_1148i4iea.jpeg</v>
      </c>
      <c r="AW928" s="1" t="s">
        <v>4562</v>
      </c>
      <c r="AX928" s="3" t="str">
        <f>HYPERLINK("https://icf.clappia.com/app/GMB253374/submission/BVM45588925/ICF247370-GMB253374-2k2m388fj5pc00000000/SIG-20250701_09501o7la.jpeg", "SIG-20250701_09501o7la.jpeg")</f>
        <v>SIG-20250701_09501o7la.jpeg</v>
      </c>
      <c r="AY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2" t="s">
        <v>47</v>
      </c>
      <c r="C929" s="1" t="s">
        <v>4564</v>
      </c>
      <c r="D929" s="1" t="s">
        <v>4564</v>
      </c>
      <c r="E929" s="1" t="s">
        <v>4565</v>
      </c>
      <c r="F929" s="1" t="s">
        <v>51</v>
      </c>
      <c r="G929" s="1">
        <v>300.0</v>
      </c>
      <c r="H929" s="1" t="s">
        <v>52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53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54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56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57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f t="shared" si="1"/>
        <v>314</v>
      </c>
      <c r="AM929" s="1">
        <v>300.0</v>
      </c>
      <c r="AN929" s="1">
        <v>312.0</v>
      </c>
      <c r="AO929" s="1">
        <v>263.0</v>
      </c>
      <c r="AP929" s="2">
        <v>11.0</v>
      </c>
      <c r="AQ929" s="1">
        <v>37.0</v>
      </c>
      <c r="AR929" s="1">
        <v>37.0</v>
      </c>
      <c r="AS929" s="1" t="s">
        <v>4566</v>
      </c>
      <c r="AT929" s="3" t="str">
        <f>HYPERLINK("https://icf.clappia.com/app/GMB253374/submission/UTQ71000270/ICF247370-GMB253374-27hnnpah9nk6c000000/SIG-20250701_112313il29.jpeg", "SIG-20250701_112313il29.jpeg")</f>
        <v>SIG-20250701_112313il29.jpeg</v>
      </c>
      <c r="AU929" s="1" t="s">
        <v>2984</v>
      </c>
      <c r="AV929" s="3" t="str">
        <f>HYPERLINK("https://icf.clappia.com/app/GMB253374/submission/UTQ71000270/ICF247370-GMB253374-15ik3i97pik160000000/SIG-20250701_11244e2c1.jpeg", "SIG-20250701_11244e2c1.jpeg")</f>
        <v>SIG-20250701_11244e2c1.jpeg</v>
      </c>
      <c r="AW929" s="1" t="s">
        <v>4567</v>
      </c>
      <c r="AX929" s="3" t="str">
        <f>HYPERLINK("https://icf.clappia.com/app/GMB253374/submission/UTQ71000270/ICF247370-GMB253374-2c6gd12nfiaa00000000/SIG-20250701_11254d6d0.jpeg", "SIG-20250701_11254d6d0.jpeg")</f>
        <v>SIG-20250701_11254d6d0.jpeg</v>
      </c>
      <c r="AY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2" t="s">
        <v>47</v>
      </c>
      <c r="C930" s="1" t="s">
        <v>4569</v>
      </c>
      <c r="D930" s="1" t="s">
        <v>4569</v>
      </c>
      <c r="E930" s="1" t="s">
        <v>4570</v>
      </c>
      <c r="F930" s="1" t="s">
        <v>51</v>
      </c>
      <c r="G930" s="1">
        <v>150.0</v>
      </c>
      <c r="H930" s="1" t="s">
        <v>52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53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54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56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57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f t="shared" si="1"/>
        <v>145</v>
      </c>
      <c r="AM930" s="1">
        <v>150.0</v>
      </c>
      <c r="AN930" s="1">
        <v>162.0</v>
      </c>
      <c r="AO930" s="1">
        <v>145.0</v>
      </c>
      <c r="AP930" s="2">
        <v>11.0</v>
      </c>
      <c r="AQ930" s="1">
        <v>5.0</v>
      </c>
      <c r="AR930" s="1">
        <v>5.0</v>
      </c>
      <c r="AS930" s="1" t="s">
        <v>2699</v>
      </c>
      <c r="AT930" s="3" t="str">
        <f>HYPERLINK("https://icf.clappia.com/app/GMB253374/submission/OIJ83830087/ICF247370-GMB253374-kb53fppca49m0000000/SIG-20250630_131619ddea.jpeg", "SIG-20250630_131619ddea.jpeg")</f>
        <v>SIG-20250630_131619ddea.jpeg</v>
      </c>
      <c r="AU930" s="1" t="s">
        <v>2515</v>
      </c>
      <c r="AV930" s="3" t="str">
        <f>HYPERLINK("https://icf.clappia.com/app/GMB253374/submission/OIJ83830087/ICF247370-GMB253374-b466keple43a0000000/SIG-20250701_100416p71l.jpeg", "SIG-20250701_100416p71l.jpeg")</f>
        <v>SIG-20250701_100416p71l.jpeg</v>
      </c>
      <c r="AW930" s="1" t="s">
        <v>4571</v>
      </c>
      <c r="AX930" s="3" t="str">
        <f>HYPERLINK("https://icf.clappia.com/app/GMB253374/submission/OIJ83830087/ICF247370-GMB253374-168bmnga9nbkk0000000/SIG-20250701_09131nbmg.jpeg", "SIG-20250701_09131nbmg.jpeg")</f>
        <v>SIG-20250701_09131nbmg.jpeg</v>
      </c>
      <c r="AY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2" t="s">
        <v>47</v>
      </c>
      <c r="C931" s="1" t="s">
        <v>4573</v>
      </c>
      <c r="D931" s="1" t="s">
        <v>4573</v>
      </c>
      <c r="E931" s="1" t="s">
        <v>4574</v>
      </c>
      <c r="F931" s="1" t="s">
        <v>51</v>
      </c>
      <c r="G931" s="1">
        <v>150.0</v>
      </c>
      <c r="H931" s="1" t="s">
        <v>52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53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54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56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57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f t="shared" si="1"/>
        <v>118</v>
      </c>
      <c r="AM931" s="1">
        <v>150.0</v>
      </c>
      <c r="AN931" s="1">
        <v>162.0</v>
      </c>
      <c r="AO931" s="1">
        <v>68.0</v>
      </c>
      <c r="AP931" s="2">
        <v>11.0</v>
      </c>
      <c r="AQ931" s="1">
        <v>82.0</v>
      </c>
      <c r="AR931" s="1">
        <v>82.0</v>
      </c>
      <c r="AS931" s="1" t="s">
        <v>2572</v>
      </c>
      <c r="AT931" s="3" t="str">
        <f>HYPERLINK("https://icf.clappia.com/app/GMB253374/submission/IQP72740984/ICF247370-GMB253374-1ked874cfhbc40000000/SIG-20250630_133788d4b.jpeg", "SIG-20250630_133788d4b.jpeg")</f>
        <v>SIG-20250630_133788d4b.jpeg</v>
      </c>
      <c r="AU931" s="1" t="s">
        <v>2573</v>
      </c>
      <c r="AV931" s="3" t="str">
        <f>HYPERLINK("https://icf.clappia.com/app/GMB253374/submission/IQP72740984/ICF247370-GMB253374-67g9334n83gc00000000/SIG-20250630_1338en2hi.jpeg", "SIG-20250630_1338en2hi.jpeg")</f>
        <v>SIG-20250630_1338en2hi.jpeg</v>
      </c>
      <c r="AW931" s="1" t="s">
        <v>4575</v>
      </c>
      <c r="AX931" s="3" t="str">
        <f>HYPERLINK("https://icf.clappia.com/app/GMB253374/submission/IQP72740984/ICF247370-GMB253374-9pf300nh59bk0000000/SIG-20250630_1339lb788.jpeg", "SIG-20250630_1339lb788.jpeg")</f>
        <v>SIG-20250630_1339lb788.jpeg</v>
      </c>
      <c r="AY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2" t="s">
        <v>47</v>
      </c>
      <c r="C932" s="1" t="s">
        <v>4577</v>
      </c>
      <c r="D932" s="1" t="s">
        <v>4577</v>
      </c>
      <c r="E932" s="1" t="s">
        <v>4578</v>
      </c>
      <c r="F932" s="1" t="s">
        <v>51</v>
      </c>
      <c r="G932" s="1">
        <v>248.0</v>
      </c>
      <c r="H932" s="1" t="s">
        <v>52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53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54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56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57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f t="shared" si="1"/>
        <v>246</v>
      </c>
      <c r="AM932" s="1">
        <v>248.0</v>
      </c>
      <c r="AN932" s="1">
        <v>260.0</v>
      </c>
      <c r="AO932" s="1">
        <v>242.0</v>
      </c>
      <c r="AP932" s="2">
        <v>11.0</v>
      </c>
      <c r="AQ932" s="1">
        <v>6.0</v>
      </c>
      <c r="AR932" s="1">
        <v>6.0</v>
      </c>
      <c r="AS932" s="1" t="s">
        <v>4579</v>
      </c>
      <c r="AT932" s="3" t="str">
        <f>HYPERLINK("https://icf.clappia.com/app/GMB253374/submission/MJS46104785/ICF247370-GMB253374-13gjhl4l4hi1m0000000/SIG-20250701_1008gj7le.jpeg", "SIG-20250701_1008gj7le.jpeg")</f>
        <v>SIG-20250701_1008gj7le.jpeg</v>
      </c>
      <c r="AU932" s="1" t="s">
        <v>266</v>
      </c>
      <c r="AV932" s="3" t="str">
        <f>HYPERLINK("https://icf.clappia.com/app/GMB253374/submission/MJS46104785/ICF247370-GMB253374-5410k4ofmkje00000000/SIG-20250701_1005827fb.jpeg", "SIG-20250701_1005827fb.jpeg")</f>
        <v>SIG-20250701_1005827fb.jpeg</v>
      </c>
      <c r="AW932" s="1" t="s">
        <v>4580</v>
      </c>
      <c r="AX932" s="3" t="str">
        <f>HYPERLINK("https://icf.clappia.com/app/GMB253374/submission/MJS46104785/ICF247370-GMB253374-2oim0mmkdlg600000000/SIG-20250701_1007cohl0.jpeg", "SIG-20250701_1007cohl0.jpeg")</f>
        <v>SIG-20250701_1007cohl0.jpeg</v>
      </c>
      <c r="AY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2" t="s">
        <v>47</v>
      </c>
      <c r="C933" s="1" t="s">
        <v>2453</v>
      </c>
      <c r="D933" s="1" t="s">
        <v>2453</v>
      </c>
      <c r="E933" s="1" t="s">
        <v>4582</v>
      </c>
      <c r="F933" s="1" t="s">
        <v>72</v>
      </c>
      <c r="G933" s="1">
        <v>442.0</v>
      </c>
      <c r="H933" s="1" t="s">
        <v>52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53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54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56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57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f t="shared" si="1"/>
        <v>215</v>
      </c>
      <c r="AM933" s="1">
        <v>442.0</v>
      </c>
      <c r="AN933" s="1">
        <v>454.0</v>
      </c>
      <c r="AO933" s="1">
        <v>214.0</v>
      </c>
      <c r="AP933" s="2">
        <v>11.0</v>
      </c>
      <c r="AQ933" s="1">
        <v>228.0</v>
      </c>
      <c r="AR933" s="1">
        <v>228.0</v>
      </c>
      <c r="AS933" s="1" t="s">
        <v>4583</v>
      </c>
      <c r="AT933" s="3" t="str">
        <f>HYPERLINK("https://icf.clappia.com/app/GMB253374/submission/OZA53202850/ICF247370-GMB253374-2pbm2878f716000000/SIG-20250701_105417dok0.jpeg", "SIG-20250701_105417dok0.jpeg")</f>
        <v>SIG-20250701_105417dok0.jpeg</v>
      </c>
      <c r="AU933" s="1" t="s">
        <v>190</v>
      </c>
      <c r="AV933" s="3" t="str">
        <f>HYPERLINK("https://icf.clappia.com/app/GMB253374/submission/OZA53202850/ICF247370-GMB253374-274ckkjka6oj20000000/SIG-20250701_10558kchn.jpeg", "SIG-20250701_10558kchn.jpeg")</f>
        <v>SIG-20250701_10558kchn.jpeg</v>
      </c>
      <c r="AW933" s="1" t="s">
        <v>4584</v>
      </c>
      <c r="AX933" s="3" t="str">
        <f>HYPERLINK("https://icf.clappia.com/app/GMB253374/submission/OZA53202850/ICF247370-GMB253374-59i4h0hdo08200000000/SIG-20250701_111018jpl.jpeg", "SIG-20250701_111018jpl.jpeg")</f>
        <v>SIG-20250701_111018jpl.jpeg</v>
      </c>
      <c r="AY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2" t="s">
        <v>47</v>
      </c>
      <c r="C934" s="1" t="s">
        <v>3759</v>
      </c>
      <c r="D934" s="1" t="s">
        <v>3759</v>
      </c>
      <c r="E934" s="1" t="s">
        <v>4586</v>
      </c>
      <c r="F934" s="1" t="s">
        <v>51</v>
      </c>
      <c r="G934" s="1">
        <v>100.0</v>
      </c>
      <c r="H934" s="1" t="s">
        <v>52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53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54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56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57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f t="shared" si="1"/>
        <v>126</v>
      </c>
      <c r="AM934" s="1">
        <v>100.0</v>
      </c>
      <c r="AN934" s="1">
        <v>112.0</v>
      </c>
      <c r="AO934" s="1">
        <v>90.0</v>
      </c>
      <c r="AP934" s="2">
        <v>11.0</v>
      </c>
      <c r="AQ934" s="1">
        <v>10.0</v>
      </c>
      <c r="AR934" s="1">
        <v>10.0</v>
      </c>
      <c r="AS934" s="1" t="s">
        <v>4587</v>
      </c>
      <c r="AT934" s="3" t="str">
        <f>HYPERLINK("https://icf.clappia.com/app/GMB253374/submission/FBQ20376564/ICF247370-GMB253374-4lb4f7fm5hlg00000000/SIG-20250701_1111e62mk.jpeg", "SIG-20250701_1111e62mk.jpeg")</f>
        <v>SIG-20250701_1111e62mk.jpeg</v>
      </c>
      <c r="AU934" s="1" t="s">
        <v>4588</v>
      </c>
      <c r="AV934" s="3" t="str">
        <f>HYPERLINK("https://icf.clappia.com/app/GMB253374/submission/FBQ20376564/ICF247370-GMB253374-k8iehf6hcj7e0000000/SIG-20250701_111123pjb.jpeg", "SIG-20250701_111123pjb.jpeg")</f>
        <v>SIG-20250701_111123pjb.jpeg</v>
      </c>
      <c r="AW934" s="1" t="s">
        <v>4589</v>
      </c>
      <c r="AX934" s="3" t="str">
        <f>HYPERLINK("https://icf.clappia.com/app/GMB253374/submission/FBQ20376564/ICF247370-GMB253374-2l6ocm3d2laa00000000/SIG-20250701_111110bglg.jpeg", "SIG-20250701_111110bglg.jpeg")</f>
        <v>SIG-20250701_111110bglg.jpeg</v>
      </c>
      <c r="AY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2" t="s">
        <v>47</v>
      </c>
      <c r="C935" s="1" t="s">
        <v>4591</v>
      </c>
      <c r="D935" s="1" t="s">
        <v>4591</v>
      </c>
      <c r="E935" s="1" t="s">
        <v>4592</v>
      </c>
      <c r="F935" s="1" t="s">
        <v>51</v>
      </c>
      <c r="G935" s="1">
        <v>213.0</v>
      </c>
      <c r="H935" s="1" t="s">
        <v>52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53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54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56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57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f t="shared" si="1"/>
        <v>132</v>
      </c>
      <c r="AM935" s="1">
        <v>213.0</v>
      </c>
      <c r="AN935" s="1">
        <v>225.0</v>
      </c>
      <c r="AO935" s="1">
        <v>114.0</v>
      </c>
      <c r="AP935" s="2">
        <v>11.0</v>
      </c>
      <c r="AQ935" s="1">
        <v>99.0</v>
      </c>
      <c r="AR935" s="1">
        <v>99.0</v>
      </c>
      <c r="AS935" s="1" t="s">
        <v>3100</v>
      </c>
      <c r="AT935" s="3" t="str">
        <f>HYPERLINK("https://icf.clappia.com/app/GMB253374/submission/LRH27980931/ICF247370-GMB253374-4j9n6d15fibk00000000/SIG-20250701_1102o8a9n.jpeg", "SIG-20250701_1102o8a9n.jpeg")</f>
        <v>SIG-20250701_1102o8a9n.jpeg</v>
      </c>
      <c r="AU935" s="1" t="s">
        <v>4593</v>
      </c>
      <c r="AV935" s="3" t="str">
        <f>HYPERLINK("https://icf.clappia.com/app/GMB253374/submission/LRH27980931/ICF247370-GMB253374-54b3m65c45eg00000000/SIG-20250701_1109b1ohm.jpeg", "SIG-20250701_1109b1ohm.jpeg")</f>
        <v>SIG-20250701_1109b1ohm.jpeg</v>
      </c>
      <c r="AW935" s="1" t="s">
        <v>4594</v>
      </c>
      <c r="AX935" s="3" t="str">
        <f>HYPERLINK("https://icf.clappia.com/app/GMB253374/submission/LRH27980931/ICF247370-GMB253374-113id5pn86mec0000000/SIG-20250701_1110k0444.jpeg", "SIG-20250701_1110k0444.jpeg")</f>
        <v>SIG-20250701_1110k0444.jpeg</v>
      </c>
      <c r="AY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2" t="s">
        <v>47</v>
      </c>
      <c r="C936" s="1" t="s">
        <v>4596</v>
      </c>
      <c r="D936" s="1" t="s">
        <v>4596</v>
      </c>
      <c r="E936" s="1" t="s">
        <v>4597</v>
      </c>
      <c r="F936" s="1" t="s">
        <v>51</v>
      </c>
      <c r="G936" s="1">
        <v>200.0</v>
      </c>
      <c r="H936" s="1" t="s">
        <v>52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53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54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56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57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f t="shared" si="1"/>
        <v>200</v>
      </c>
      <c r="AM936" s="1">
        <v>200.0</v>
      </c>
      <c r="AN936" s="1">
        <v>212.0</v>
      </c>
      <c r="AO936" s="1">
        <v>185.0</v>
      </c>
      <c r="AP936" s="2">
        <v>11.0</v>
      </c>
      <c r="AQ936" s="1">
        <v>15.0</v>
      </c>
      <c r="AR936" s="1">
        <v>15.0</v>
      </c>
      <c r="AS936" s="1" t="s">
        <v>4598</v>
      </c>
      <c r="AT936" s="3" t="str">
        <f>HYPERLINK("https://icf.clappia.com/app/GMB253374/submission/GWK45260111/ICF247370-GMB253374-4dd2h6e5ofbm00000000/SIG-20250701_1051cj0kf.jpeg", "SIG-20250701_1051cj0kf.jpeg")</f>
        <v>SIG-20250701_1051cj0kf.jpeg</v>
      </c>
      <c r="AU936" s="1" t="s">
        <v>4599</v>
      </c>
      <c r="AV936" s="3" t="str">
        <f>HYPERLINK("https://icf.clappia.com/app/GMB253374/submission/GWK45260111/ICF247370-GMB253374-12ip6jjaf8kj2000000/SIG-20250701_10521750lp.jpeg", "SIG-20250701_10521750lp.jpeg")</f>
        <v>SIG-20250701_10521750lp.jpeg</v>
      </c>
      <c r="AW936" s="1" t="s">
        <v>4600</v>
      </c>
      <c r="AX936" s="3" t="str">
        <f>HYPERLINK("https://icf.clappia.com/app/GMB253374/submission/GWK45260111/ICF247370-GMB253374-2c6a720imgkg00000000/SIG-20250701_11101p20b.jpeg", "SIG-20250701_11101p20b.jpeg")</f>
        <v>SIG-20250701_11101p20b.jpeg</v>
      </c>
      <c r="AY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2" t="s">
        <v>47</v>
      </c>
      <c r="C937" s="1" t="s">
        <v>4602</v>
      </c>
      <c r="D937" s="1" t="s">
        <v>4603</v>
      </c>
      <c r="E937" s="1" t="s">
        <v>4604</v>
      </c>
      <c r="F937" s="1" t="s">
        <v>51</v>
      </c>
      <c r="G937" s="1">
        <v>182.0</v>
      </c>
      <c r="H937" s="1" t="s">
        <v>52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53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54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56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57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f t="shared" si="1"/>
        <v>185</v>
      </c>
      <c r="AM937" s="1">
        <v>182.0</v>
      </c>
      <c r="AN937" s="1">
        <v>194.0</v>
      </c>
      <c r="AO937" s="1">
        <v>179.0</v>
      </c>
      <c r="AP937" s="2">
        <v>11.0</v>
      </c>
      <c r="AQ937" s="1">
        <v>3.0</v>
      </c>
      <c r="AR937" s="1">
        <v>3.0</v>
      </c>
      <c r="AS937" s="1" t="s">
        <v>3433</v>
      </c>
      <c r="AT937" s="3" t="str">
        <f>HYPERLINK("https://icf.clappia.com/app/GMB253374/submission/OYU52127478/ICF247370-GMB253374-5k34ncmal6mc00000000/SIG-20250701_1104c3p4a.jpeg", "SIG-20250701_1104c3p4a.jpeg")</f>
        <v>SIG-20250701_1104c3p4a.jpeg</v>
      </c>
      <c r="AU937" s="1" t="s">
        <v>3434</v>
      </c>
      <c r="AV937" s="3" t="str">
        <f>HYPERLINK("https://icf.clappia.com/app/GMB253374/submission/OYU52127478/ICF247370-GMB253374-1kki24jn937280000000/SIG-20250701_0705l2k42.jpeg", "SIG-20250701_0705l2k42.jpeg")</f>
        <v>SIG-20250701_0705l2k42.jpeg</v>
      </c>
      <c r="AW937" s="1" t="s">
        <v>2277</v>
      </c>
      <c r="AX937" s="3" t="str">
        <f>HYPERLINK("https://icf.clappia.com/app/GMB253374/submission/OYU52127478/ICF247370-GMB253374-k31b65gb6nl20000000/SIG-20250701_110114fgdg.jpeg", "SIG-20250701_110114fgdg.jpeg")</f>
        <v>SIG-20250701_110114fgdg.jpeg</v>
      </c>
      <c r="AY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2" t="s">
        <v>47</v>
      </c>
      <c r="C938" s="1" t="s">
        <v>4606</v>
      </c>
      <c r="D938" s="1" t="s">
        <v>4602</v>
      </c>
      <c r="E938" s="1" t="s">
        <v>4607</v>
      </c>
      <c r="F938" s="1" t="s">
        <v>51</v>
      </c>
      <c r="G938" s="1">
        <v>200.0</v>
      </c>
      <c r="H938" s="1" t="s">
        <v>52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53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54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56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57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f t="shared" si="1"/>
        <v>200</v>
      </c>
      <c r="AM938" s="1">
        <v>200.0</v>
      </c>
      <c r="AN938" s="1">
        <v>212.0</v>
      </c>
      <c r="AO938" s="1">
        <v>116.0</v>
      </c>
      <c r="AP938" s="2">
        <v>11.0</v>
      </c>
      <c r="AQ938" s="1">
        <v>84.0</v>
      </c>
      <c r="AR938" s="1">
        <v>84.0</v>
      </c>
      <c r="AS938" s="1" t="s">
        <v>4608</v>
      </c>
      <c r="AT938" s="3" t="str">
        <f>HYPERLINK("https://icf.clappia.com/app/GMB253374/submission/OIF19242302/ICF247370-GMB253374-1m5ga47o32f680000000/SIG-20250701_1102d3k3d.jpeg", "SIG-20250701_1102d3k3d.jpeg")</f>
        <v>SIG-20250701_1102d3k3d.jpeg</v>
      </c>
      <c r="AU938" s="1" t="s">
        <v>4609</v>
      </c>
      <c r="AV938" s="3" t="str">
        <f>HYPERLINK("https://icf.clappia.com/app/GMB253374/submission/OIF19242302/ICF247370-GMB253374-12d57k0cjl2jo0000000/SIG-20250701_110215155j.jpeg", "SIG-20250701_110215155j.jpeg")</f>
        <v>SIG-20250701_110215155j.jpeg</v>
      </c>
      <c r="AW938" s="1" t="s">
        <v>4610</v>
      </c>
      <c r="AX938" s="3" t="str">
        <f>HYPERLINK("https://icf.clappia.com/app/GMB253374/submission/OIF19242302/ICF247370-GMB253374-631o0klip9i200000000/SIG-20250701_1104a4cho.jpeg", "SIG-20250701_1104a4cho.jpeg")</f>
        <v>SIG-20250701_1104a4cho.jpeg</v>
      </c>
      <c r="AY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2" t="s">
        <v>47</v>
      </c>
      <c r="C939" s="1" t="s">
        <v>4612</v>
      </c>
      <c r="D939" s="1" t="s">
        <v>4612</v>
      </c>
      <c r="E939" s="1" t="s">
        <v>4613</v>
      </c>
      <c r="F939" s="1" t="s">
        <v>51</v>
      </c>
      <c r="G939" s="1">
        <v>200.0</v>
      </c>
      <c r="H939" s="1" t="s">
        <v>52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53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54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56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57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f t="shared" si="1"/>
        <v>204</v>
      </c>
      <c r="AM939" s="1">
        <v>200.0</v>
      </c>
      <c r="AN939" s="1">
        <v>212.0</v>
      </c>
      <c r="AO939" s="1">
        <v>171.0</v>
      </c>
      <c r="AP939" s="2">
        <v>11.0</v>
      </c>
      <c r="AQ939" s="1">
        <v>29.0</v>
      </c>
      <c r="AR939" s="1">
        <v>29.0</v>
      </c>
      <c r="AS939" s="1" t="s">
        <v>4614</v>
      </c>
      <c r="AT939" s="3" t="str">
        <f>HYPERLINK("https://icf.clappia.com/app/GMB253374/submission/STS60504224/ICF247370-GMB253374-54nm5ic43n2600000000/SIG-20250630_163616298k.jpeg", "SIG-20250630_163616298k.jpeg")</f>
        <v>SIG-20250630_163616298k.jpeg</v>
      </c>
      <c r="AU939" s="1" t="s">
        <v>4615</v>
      </c>
      <c r="AV939" s="3" t="str">
        <f>HYPERLINK("https://icf.clappia.com/app/GMB253374/submission/STS60504224/ICF247370-GMB253374-3mc152cgn9ec00000000/SIG-20250630_153511ooj.jpeg", "SIG-20250630_153511ooj.jpeg")</f>
        <v>SIG-20250630_153511ooj.jpeg</v>
      </c>
      <c r="AW939" s="1" t="s">
        <v>4616</v>
      </c>
      <c r="AX939" s="3" t="str">
        <f>HYPERLINK("https://icf.clappia.com/app/GMB253374/submission/STS60504224/ICF247370-GMB253374-e1bfk68m1na80000000/SIG-20250630_15455fme9.jpeg", "SIG-20250630_15455fme9.jpeg")</f>
        <v>SIG-20250630_15455fme9.jpeg</v>
      </c>
      <c r="AY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2" t="s">
        <v>47</v>
      </c>
      <c r="C940" s="1" t="s">
        <v>4606</v>
      </c>
      <c r="D940" s="1" t="s">
        <v>4606</v>
      </c>
      <c r="E940" s="1" t="s">
        <v>4618</v>
      </c>
      <c r="F940" s="1" t="s">
        <v>51</v>
      </c>
      <c r="G940" s="1">
        <v>250.0</v>
      </c>
      <c r="H940" s="1" t="s">
        <v>52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53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54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56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57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f t="shared" si="1"/>
        <v>317</v>
      </c>
      <c r="AM940" s="1">
        <v>250.0</v>
      </c>
      <c r="AN940" s="1">
        <v>262.0</v>
      </c>
      <c r="AO940" s="1">
        <v>233.0</v>
      </c>
      <c r="AP940" s="2">
        <v>11.0</v>
      </c>
      <c r="AQ940" s="1">
        <v>17.0</v>
      </c>
      <c r="AR940" s="1">
        <v>17.0</v>
      </c>
      <c r="AS940" s="1" t="s">
        <v>1804</v>
      </c>
      <c r="AT940" s="3" t="str">
        <f>HYPERLINK("https://icf.clappia.com/app/GMB253374/submission/FUK38145409/ICF247370-GMB253374-6b81n3iaa8ic00000000/SIG-20250701_1102je31o.jpeg", "SIG-20250701_1102je31o.jpeg")</f>
        <v>SIG-20250701_1102je31o.jpeg</v>
      </c>
      <c r="AU940" s="1" t="s">
        <v>1805</v>
      </c>
      <c r="AV940" s="3" t="str">
        <f>HYPERLINK("https://icf.clappia.com/app/GMB253374/submission/FUK38145409/ICF247370-GMB253374-27aop1p65lk3a000000/SIG-20250701_1103a1nij.jpeg", "SIG-20250701_1103a1nij.jpeg")</f>
        <v>SIG-20250701_1103a1nij.jpeg</v>
      </c>
      <c r="AW940" s="1" t="s">
        <v>1806</v>
      </c>
      <c r="AX940" s="3" t="str">
        <f>HYPERLINK("https://icf.clappia.com/app/GMB253374/submission/FUK38145409/ICF247370-GMB253374-5d0d861bo56i00000000/SIG-20250701_1104ilnbl.jpeg", "SIG-20250701_1104ilnbl.jpeg")</f>
        <v>SIG-20250701_1104ilnbl.jpeg</v>
      </c>
      <c r="AY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2" t="s">
        <v>47</v>
      </c>
      <c r="C941" s="1" t="s">
        <v>4620</v>
      </c>
      <c r="D941" s="1" t="s">
        <v>4620</v>
      </c>
      <c r="E941" s="1" t="s">
        <v>4621</v>
      </c>
      <c r="F941" s="1" t="s">
        <v>51</v>
      </c>
      <c r="G941" s="1">
        <v>100.0</v>
      </c>
      <c r="H941" s="1" t="s">
        <v>52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53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54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56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57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f t="shared" si="1"/>
        <v>170</v>
      </c>
      <c r="AM941" s="1">
        <v>100.0</v>
      </c>
      <c r="AN941" s="1">
        <v>112.0</v>
      </c>
      <c r="AO941" s="1">
        <v>86.0</v>
      </c>
      <c r="AP941" s="2">
        <v>11.0</v>
      </c>
      <c r="AQ941" s="1">
        <v>14.0</v>
      </c>
      <c r="AR941" s="1">
        <v>14.0</v>
      </c>
      <c r="AS941" s="1" t="s">
        <v>2239</v>
      </c>
      <c r="AT941" s="3" t="str">
        <f>HYPERLINK("https://icf.clappia.com/app/GMB253374/submission/FHD14816722/ICF247370-GMB253374-2c1jd84ebk0400000000/SIG-20250701_11028dln3.jpeg", "SIG-20250701_11028dln3.jpeg")</f>
        <v>SIG-20250701_11028dln3.jpeg</v>
      </c>
      <c r="AU941" s="1" t="s">
        <v>2240</v>
      </c>
      <c r="AV941" s="3" t="str">
        <f>HYPERLINK("https://icf.clappia.com/app/GMB253374/submission/FHD14816722/ICF247370-GMB253374-82pnjoadc4n20000000/SIG-20250701_11037637e.jpeg", "SIG-20250701_11037637e.jpeg")</f>
        <v>SIG-20250701_11037637e.jpeg</v>
      </c>
      <c r="AW941" s="1" t="s">
        <v>2241</v>
      </c>
      <c r="AX941" s="3" t="str">
        <f>HYPERLINK("https://icf.clappia.com/app/GMB253374/submission/FHD14816722/ICF247370-GMB253374-653523fh6ji800000000/SIG-20250701_1104892ln.jpeg", "SIG-20250701_1104892ln.jpeg")</f>
        <v>SIG-20250701_1104892ln.jpeg</v>
      </c>
      <c r="AY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2" t="s">
        <v>47</v>
      </c>
      <c r="C942" s="1" t="s">
        <v>4623</v>
      </c>
      <c r="D942" s="1" t="s">
        <v>4624</v>
      </c>
      <c r="E942" s="1" t="s">
        <v>4625</v>
      </c>
      <c r="F942" s="1" t="s">
        <v>51</v>
      </c>
      <c r="G942" s="1">
        <v>188.0</v>
      </c>
      <c r="H942" s="1" t="s">
        <v>52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53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54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56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57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f t="shared" si="1"/>
        <v>207</v>
      </c>
      <c r="AM942" s="1">
        <v>188.0</v>
      </c>
      <c r="AN942" s="1">
        <v>200.0</v>
      </c>
      <c r="AO942" s="1">
        <v>188.0</v>
      </c>
      <c r="AP942" s="2">
        <v>11.0</v>
      </c>
      <c r="AQ942" s="1">
        <v>0.0</v>
      </c>
      <c r="AR942" s="1">
        <v>0.0</v>
      </c>
      <c r="AS942" s="1" t="s">
        <v>4626</v>
      </c>
      <c r="AT942" s="3" t="str">
        <f>HYPERLINK("https://icf.clappia.com/app/GMB253374/submission/MKC08191328/ICF247370-GMB253374-36lbmjn2j98c00000000/SIG-20250701_1052dg147.jpeg", "SIG-20250701_1052dg147.jpeg")</f>
        <v>SIG-20250701_1052dg147.jpeg</v>
      </c>
      <c r="AU942" s="1" t="s">
        <v>4627</v>
      </c>
      <c r="AV942" s="3" t="str">
        <f>HYPERLINK("https://icf.clappia.com/app/GMB253374/submission/MKC08191328/ICF247370-GMB253374-2c6ob9neiff600000000/SIG-20250701_1053832kf.jpeg", "SIG-20250701_1053832kf.jpeg")</f>
        <v>SIG-20250701_1053832kf.jpeg</v>
      </c>
      <c r="AW942" s="1" t="s">
        <v>4628</v>
      </c>
      <c r="AX942" s="3" t="str">
        <f>HYPERLINK("https://icf.clappia.com/app/GMB253374/submission/MKC08191328/ICF247370-GMB253374-20bggdjb18m5g0000000/SIG-20250701_10542kaei.jpeg", "SIG-20250701_10542kaei.jpeg")</f>
        <v>SIG-20250701_10542kaei.jpeg</v>
      </c>
      <c r="AY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2" t="s">
        <v>47</v>
      </c>
      <c r="C943" s="1" t="s">
        <v>4630</v>
      </c>
      <c r="D943" s="1" t="s">
        <v>4630</v>
      </c>
      <c r="E943" s="1" t="s">
        <v>4631</v>
      </c>
      <c r="F943" s="1" t="s">
        <v>51</v>
      </c>
      <c r="G943" s="1">
        <v>350.0</v>
      </c>
      <c r="H943" s="1" t="s">
        <v>52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53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54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56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57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f t="shared" si="1"/>
        <v>122</v>
      </c>
      <c r="AM943" s="1">
        <v>350.0</v>
      </c>
      <c r="AN943" s="1">
        <v>362.0</v>
      </c>
      <c r="AO943" s="1">
        <v>109.0</v>
      </c>
      <c r="AP943" s="2">
        <v>11.0</v>
      </c>
      <c r="AQ943" s="1">
        <v>241.0</v>
      </c>
      <c r="AR943" s="1">
        <v>241.0</v>
      </c>
      <c r="AS943" s="1" t="s">
        <v>3266</v>
      </c>
      <c r="AT943" s="3" t="str">
        <f>HYPERLINK("https://icf.clappia.com/app/GMB253374/submission/HXJ43335621/ICF247370-GMB253374-2bnk2dlphj1200000000/SIG-20250701_1051h822c.jpeg", "SIG-20250701_1051h822c.jpeg")</f>
        <v>SIG-20250701_1051h822c.jpeg</v>
      </c>
      <c r="AU943" s="1" t="s">
        <v>4632</v>
      </c>
      <c r="AV943" s="3" t="str">
        <f>HYPERLINK("https://icf.clappia.com/app/GMB253374/submission/HXJ43335621/ICF247370-GMB253374-64f8877jae6g0000000/SIG-20250701_1052ecbh4.jpeg", "SIG-20250701_1052ecbh4.jpeg")</f>
        <v>SIG-20250701_1052ecbh4.jpeg</v>
      </c>
      <c r="AW943" s="1" t="s">
        <v>4633</v>
      </c>
      <c r="AX943" s="3" t="str">
        <f>HYPERLINK("https://icf.clappia.com/app/GMB253374/submission/HXJ43335621/ICF247370-GMB253374-4m4cogn1h9ma00000000/SIG-20250701_1053a794n.jpeg", "SIG-20250701_1053a794n.jpeg")</f>
        <v>SIG-20250701_1053a794n.jpeg</v>
      </c>
      <c r="AY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2" t="s">
        <v>47</v>
      </c>
      <c r="C944" s="1" t="s">
        <v>4635</v>
      </c>
      <c r="D944" s="1" t="s">
        <v>4635</v>
      </c>
      <c r="E944" s="1" t="s">
        <v>4636</v>
      </c>
      <c r="F944" s="1" t="s">
        <v>51</v>
      </c>
      <c r="G944" s="1">
        <v>160.0</v>
      </c>
      <c r="H944" s="1" t="s">
        <v>52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53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54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56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57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f t="shared" si="1"/>
        <v>131</v>
      </c>
      <c r="AM944" s="1">
        <v>160.0</v>
      </c>
      <c r="AN944" s="1">
        <v>172.0</v>
      </c>
      <c r="AO944" s="1">
        <v>50.0</v>
      </c>
      <c r="AP944" s="2">
        <v>11.0</v>
      </c>
      <c r="AQ944" s="1">
        <v>110.0</v>
      </c>
      <c r="AR944" s="1">
        <v>110.0</v>
      </c>
      <c r="AS944" s="1" t="s">
        <v>4637</v>
      </c>
      <c r="AT944" s="3" t="str">
        <f>HYPERLINK("https://icf.clappia.com/app/GMB253374/submission/JUT02683789/ICF247370-GMB253374-halk45lgnj7m0000000/SIG-20250701_1056n7748.jpeg", "SIG-20250701_1056n7748.jpeg")</f>
        <v>SIG-20250701_1056n7748.jpeg</v>
      </c>
      <c r="AU944" s="1" t="s">
        <v>2017</v>
      </c>
      <c r="AV944" s="3" t="str">
        <f>HYPERLINK("https://icf.clappia.com/app/GMB253374/submission/JUT02683789/ICF247370-GMB253374-lo29fjl3l3i8000000/SIG-20250701_1057m615h.jpeg", "SIG-20250701_1057m615h.jpeg")</f>
        <v>SIG-20250701_1057m615h.jpeg</v>
      </c>
      <c r="AW944" s="1" t="s">
        <v>4638</v>
      </c>
      <c r="AX944" s="3" t="str">
        <f>HYPERLINK("https://icf.clappia.com/app/GMB253374/submission/JUT02683789/ICF247370-GMB253374-4pn1bi6pg20a0000000/SIG-20250701_1057n2p2g.jpeg", "SIG-20250701_1057n2p2g.jpeg")</f>
        <v>SIG-20250701_1057n2p2g.jpeg</v>
      </c>
      <c r="AY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2" t="s">
        <v>47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250.0</v>
      </c>
      <c r="H945" s="1" t="s">
        <v>52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53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54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56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57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f t="shared" si="1"/>
        <v>202</v>
      </c>
      <c r="AM945" s="1">
        <v>250.0</v>
      </c>
      <c r="AN945" s="1">
        <v>262.0</v>
      </c>
      <c r="AO945" s="1">
        <v>200.0</v>
      </c>
      <c r="AP945" s="2">
        <v>11.0</v>
      </c>
      <c r="AQ945" s="1">
        <v>50.0</v>
      </c>
      <c r="AR945" s="1">
        <v>50.0</v>
      </c>
      <c r="AS945" s="1" t="s">
        <v>4642</v>
      </c>
      <c r="AT945" s="3" t="str">
        <f>HYPERLINK("https://icf.clappia.com/app/GMB253374/submission/QKT58739764/ICF247370-GMB253374-6abak97lf84c00000000/SIG-20250701_1051fdbfn.jpeg", "SIG-20250701_1051fdbfn.jpeg")</f>
        <v>SIG-20250701_1051fdbfn.jpeg</v>
      </c>
      <c r="AU945" s="1" t="s">
        <v>1149</v>
      </c>
      <c r="AV945" s="3" t="str">
        <f>HYPERLINK("https://icf.clappia.com/app/GMB253374/submission/QKT58739764/ICF247370-GMB253374-3566lggibo3e00000000/SIG-20250701_10527be83.jpeg", "SIG-20250701_10527be83.jpeg")</f>
        <v>SIG-20250701_10527be83.jpeg</v>
      </c>
      <c r="AW945" s="1" t="s">
        <v>1150</v>
      </c>
      <c r="AX945" s="3" t="str">
        <f>HYPERLINK("https://icf.clappia.com/app/GMB253374/submission/QKT58739764/ICF247370-GMB253374-3ab3ok5pml2400000000/SIG-20250701_105317npf1.jpeg", "SIG-20250701_105317npf1.jpeg")</f>
        <v>SIG-20250701_105317npf1.jpeg</v>
      </c>
      <c r="AY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2" t="s">
        <v>47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150.0</v>
      </c>
      <c r="H946" s="1" t="s">
        <v>52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53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54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56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57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f t="shared" si="1"/>
        <v>150</v>
      </c>
      <c r="AM946" s="1">
        <v>150.0</v>
      </c>
      <c r="AN946" s="1">
        <v>162.0</v>
      </c>
      <c r="AO946" s="1">
        <v>146.0</v>
      </c>
      <c r="AP946" s="2">
        <v>11.0</v>
      </c>
      <c r="AQ946" s="1">
        <v>4.0</v>
      </c>
      <c r="AR946" s="1">
        <v>4.0</v>
      </c>
      <c r="AS946" s="1" t="s">
        <v>4646</v>
      </c>
      <c r="AT946" s="3" t="str">
        <f>HYPERLINK("https://icf.clappia.com/app/GMB253374/submission/KSF41589875/ICF247370-GMB253374-3697k02f6ca000000000/SIG-20250701_105018ciof.jpeg", "SIG-20250701_105018ciof.jpeg")</f>
        <v>SIG-20250701_105018ciof.jpeg</v>
      </c>
      <c r="AU946" s="1" t="s">
        <v>4647</v>
      </c>
      <c r="AV946" s="3" t="str">
        <f>HYPERLINK("https://icf.clappia.com/app/GMB253374/submission/KSF41589875/ICF247370-GMB253374-5bbp1d0528jm00000000/SIG-20250701_1018ko408.jpeg", "SIG-20250701_1018ko408.jpeg")</f>
        <v>SIG-20250701_1018ko408.jpeg</v>
      </c>
      <c r="AW946" s="1" t="s">
        <v>4648</v>
      </c>
      <c r="AX946" s="3" t="str">
        <f>HYPERLINK("https://icf.clappia.com/app/GMB253374/submission/KSF41589875/ICF247370-GMB253374-2094dhecne0h60000000/SIG-20250701_1019aali5.jpeg", "SIG-20250701_1019aali5.jpeg")</f>
        <v>SIG-20250701_1019aali5.jpeg</v>
      </c>
      <c r="AY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2" t="s">
        <v>47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222.0</v>
      </c>
      <c r="H947" s="1" t="s">
        <v>52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53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54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56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57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f t="shared" si="1"/>
        <v>212</v>
      </c>
      <c r="AM947" s="1">
        <v>222.0</v>
      </c>
      <c r="AN947" s="1">
        <v>234.0</v>
      </c>
      <c r="AO947" s="1">
        <v>212.0</v>
      </c>
      <c r="AP947" s="2">
        <v>11.0</v>
      </c>
      <c r="AQ947" s="1">
        <v>10.0</v>
      </c>
      <c r="AR947" s="1">
        <v>10.0</v>
      </c>
      <c r="AS947" s="1" t="s">
        <v>4652</v>
      </c>
      <c r="AT947" s="3" t="str">
        <f>HYPERLINK("https://icf.clappia.com/app/GMB253374/submission/GLA43017726/ICF247370-GMB253374-5dmmef60keko00000000/SIG-20250701_1048bm8ck.jpeg", "SIG-20250701_1048bm8ck.jpeg")</f>
        <v>SIG-20250701_1048bm8ck.jpeg</v>
      </c>
      <c r="AU947" s="1" t="s">
        <v>1319</v>
      </c>
      <c r="AV947" s="3" t="str">
        <f>HYPERLINK("https://icf.clappia.com/app/GMB253374/submission/GLA43017726/ICF247370-GMB253374-22p5bc6onojjm0000000/SIG-20250701_1049d2n8d.jpeg", "SIG-20250701_1049d2n8d.jpeg")</f>
        <v>SIG-20250701_1049d2n8d.jpeg</v>
      </c>
      <c r="AW947" s="1" t="s">
        <v>1320</v>
      </c>
      <c r="AX947" s="3" t="str">
        <f>HYPERLINK("https://icf.clappia.com/app/GMB253374/submission/GLA43017726/ICF247370-GMB253374-5d3agbndh6gi0000000/SIG-20250701_104915jo5l.jpeg", "SIG-20250701_104915jo5l.jpeg")</f>
        <v>SIG-20250701_104915jo5l.jpeg</v>
      </c>
      <c r="AY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2" t="s">
        <v>47</v>
      </c>
      <c r="C948" s="1" t="s">
        <v>4654</v>
      </c>
      <c r="D948" s="1" t="s">
        <v>4654</v>
      </c>
      <c r="E948" s="1" t="s">
        <v>4655</v>
      </c>
      <c r="F948" s="1" t="s">
        <v>51</v>
      </c>
      <c r="G948" s="1">
        <v>56.0</v>
      </c>
      <c r="H948" s="1" t="s">
        <v>52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53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54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56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57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f t="shared" si="1"/>
        <v>97</v>
      </c>
      <c r="AM948" s="1">
        <v>56.0</v>
      </c>
      <c r="AN948" s="1">
        <v>68.0</v>
      </c>
      <c r="AO948" s="1">
        <v>56.0</v>
      </c>
      <c r="AP948" s="2">
        <v>11.0</v>
      </c>
      <c r="AQ948" s="1">
        <v>0.0</v>
      </c>
      <c r="AR948" s="1">
        <v>0.0</v>
      </c>
      <c r="AS948" s="1" t="s">
        <v>4656</v>
      </c>
      <c r="AT948" s="3" t="str">
        <f>HYPERLINK("https://icf.clappia.com/app/GMB253374/submission/JSR07650837/ICF247370-GMB253374-5ikhlkniemog00000000/SIG-20250701_1049e3pp6.jpeg", "SIG-20250701_1049e3pp6.jpeg")</f>
        <v>SIG-20250701_1049e3pp6.jpeg</v>
      </c>
      <c r="AU948" s="1" t="s">
        <v>55</v>
      </c>
      <c r="AV948" s="3" t="str">
        <f>HYPERLINK("https://icf.clappia.com/app/GMB253374/submission/JSR07650837/ICF247370-GMB253374-d18k113hbe9m0000000/SIG-20250701_1050d4bhh.jpeg", "SIG-20250701_1050d4bhh.jpeg")</f>
        <v>SIG-20250701_1050d4bhh.jpeg</v>
      </c>
      <c r="AW948" s="1" t="s">
        <v>55</v>
      </c>
      <c r="AX948" s="3" t="str">
        <f>HYPERLINK("https://icf.clappia.com/app/GMB253374/submission/JSR07650837/ICF247370-GMB253374-9hg47l1bgp440000000/SIG-20250701_1050l1a3p.jpeg", "SIG-20250701_1050l1a3p.jpeg")</f>
        <v>SIG-20250701_1050l1a3p.jpeg</v>
      </c>
      <c r="AY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2" t="s">
        <v>47</v>
      </c>
      <c r="C949" s="1" t="s">
        <v>4658</v>
      </c>
      <c r="D949" s="1" t="s">
        <v>4658</v>
      </c>
      <c r="E949" s="1" t="s">
        <v>4659</v>
      </c>
      <c r="F949" s="1" t="s">
        <v>51</v>
      </c>
      <c r="G949" s="1">
        <v>150.0</v>
      </c>
      <c r="H949" s="1" t="s">
        <v>52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53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54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56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57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f t="shared" si="1"/>
        <v>166</v>
      </c>
      <c r="AM949" s="1">
        <v>150.0</v>
      </c>
      <c r="AN949" s="1">
        <v>162.0</v>
      </c>
      <c r="AO949" s="1">
        <v>130.0</v>
      </c>
      <c r="AP949" s="2">
        <v>11.0</v>
      </c>
      <c r="AQ949" s="1">
        <v>20.0</v>
      </c>
      <c r="AR949" s="1">
        <v>20.0</v>
      </c>
      <c r="AS949" s="1" t="s">
        <v>4660</v>
      </c>
      <c r="AT949" s="3" t="str">
        <f>HYPERLINK("https://icf.clappia.com/app/GMB253374/submission/ETA77302378/ICF247370-GMB253374-4lg423k2393800000000/SIG-20250701_1043a7jg6.jpeg", "SIG-20250701_1043a7jg6.jpeg")</f>
        <v>SIG-20250701_1043a7jg6.jpeg</v>
      </c>
      <c r="AU949" s="1" t="s">
        <v>4661</v>
      </c>
      <c r="AV949" s="3" t="str">
        <f>HYPERLINK("https://icf.clappia.com/app/GMB253374/submission/ETA77302378/ICF247370-GMB253374-5p5kdhfeimgc00000000/SIG-20250701_104416bmjf.jpeg", "SIG-20250701_104416bmjf.jpeg")</f>
        <v>SIG-20250701_104416bmjf.jpeg</v>
      </c>
      <c r="AW949" s="1" t="s">
        <v>2677</v>
      </c>
      <c r="AX949" s="3" t="str">
        <f>HYPERLINK("https://icf.clappia.com/app/GMB253374/submission/ETA77302378/ICF247370-GMB253374-5domll765an200000000/SIG-20250701_10481mgcp.jpeg", "SIG-20250701_10481mgcp.jpeg")</f>
        <v>SIG-20250701_10481mgcp.jpeg</v>
      </c>
      <c r="AY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2" t="s">
        <v>47</v>
      </c>
      <c r="C950" s="1" t="s">
        <v>4658</v>
      </c>
      <c r="D950" s="1" t="s">
        <v>4658</v>
      </c>
      <c r="E950" s="1" t="s">
        <v>4663</v>
      </c>
      <c r="F950" s="1" t="s">
        <v>51</v>
      </c>
      <c r="G950" s="1">
        <v>278.0</v>
      </c>
      <c r="H950" s="1" t="s">
        <v>52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53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54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56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57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f t="shared" si="1"/>
        <v>273</v>
      </c>
      <c r="AM950" s="1">
        <v>278.0</v>
      </c>
      <c r="AN950" s="1">
        <v>290.0</v>
      </c>
      <c r="AO950" s="1">
        <v>255.0</v>
      </c>
      <c r="AP950" s="2">
        <v>11.0</v>
      </c>
      <c r="AQ950" s="1">
        <v>23.0</v>
      </c>
      <c r="AR950" s="1">
        <v>23.0</v>
      </c>
      <c r="AS950" s="1" t="s">
        <v>1696</v>
      </c>
      <c r="AT950" s="3" t="str">
        <f>HYPERLINK("https://icf.clappia.com/app/GMB253374/submission/EII94130708/ICF247370-GMB253374-4jmghgbjkk7i00000000/SIG-20250701_1040onmjh.jpeg", "SIG-20250701_1040onmjh.jpeg")</f>
        <v>SIG-20250701_1040onmjh.jpeg</v>
      </c>
      <c r="AU950" s="1" t="s">
        <v>4664</v>
      </c>
      <c r="AV950" s="3" t="str">
        <f>HYPERLINK("https://icf.clappia.com/app/GMB253374/submission/EII94130708/ICF247370-GMB253374-65ofongp542c00000000/SIG-20250701_1040hao0c.jpeg", "SIG-20250701_1040hao0c.jpeg")</f>
        <v>SIG-20250701_1040hao0c.jpeg</v>
      </c>
      <c r="AW950" s="1" t="s">
        <v>4665</v>
      </c>
      <c r="AX950" s="3" t="str">
        <f>HYPERLINK("https://icf.clappia.com/app/GMB253374/submission/EII94130708/ICF247370-GMB253374-5m58lgpag44800000000/SIG-20250701_1040142j50.jpeg", "SIG-20250701_1040142j50.jpeg")</f>
        <v>SIG-20250701_1040142j50.jpeg</v>
      </c>
      <c r="AY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2" t="s">
        <v>47</v>
      </c>
      <c r="C951" s="1" t="s">
        <v>4667</v>
      </c>
      <c r="D951" s="1" t="s">
        <v>4667</v>
      </c>
      <c r="E951" s="1" t="s">
        <v>4668</v>
      </c>
      <c r="F951" s="1" t="s">
        <v>51</v>
      </c>
      <c r="G951" s="1">
        <v>100.0</v>
      </c>
      <c r="H951" s="1" t="s">
        <v>52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53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54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56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57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f t="shared" si="1"/>
        <v>100</v>
      </c>
      <c r="AM951" s="1">
        <v>100.0</v>
      </c>
      <c r="AN951" s="1">
        <v>112.0</v>
      </c>
      <c r="AO951" s="1">
        <v>90.0</v>
      </c>
      <c r="AP951" s="2">
        <v>11.0</v>
      </c>
      <c r="AQ951" s="1">
        <v>10.0</v>
      </c>
      <c r="AR951" s="1">
        <v>10.0</v>
      </c>
      <c r="AS951" s="1" t="s">
        <v>1221</v>
      </c>
      <c r="AT951" s="3" t="str">
        <f>HYPERLINK("https://icf.clappia.com/app/GMB253374/submission/MUA44752009/ICF247370-GMB253374-44f9n5pd9o0c0000000/SIG-20250701_10431969go.jpeg", "SIG-20250701_10431969go.jpeg")</f>
        <v>SIG-20250701_10431969go.jpeg</v>
      </c>
      <c r="AU951" s="1" t="s">
        <v>4669</v>
      </c>
      <c r="AV951" s="3" t="str">
        <f>HYPERLINK("https://icf.clappia.com/app/GMB253374/submission/MUA44752009/ICF247370-GMB253374-50ahhh5jig6k00000000/SIG-20250701_1044ldfln.jpeg", "SIG-20250701_1044ldfln.jpeg")</f>
        <v>SIG-20250701_1044ldfln.jpeg</v>
      </c>
      <c r="AW951" s="1" t="s">
        <v>4670</v>
      </c>
      <c r="AX951" s="3" t="str">
        <f>HYPERLINK("https://icf.clappia.com/app/GMB253374/submission/MUA44752009/ICF247370-GMB253374-4a1nffi967ek00000000/SIG-20250701_1045nik71.jpeg", "SIG-20250701_1045nik71.jpeg")</f>
        <v>SIG-20250701_1045nik71.jpeg</v>
      </c>
      <c r="AY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2" t="s">
        <v>47</v>
      </c>
      <c r="C952" s="1" t="s">
        <v>758</v>
      </c>
      <c r="D952" s="1" t="s">
        <v>758</v>
      </c>
      <c r="E952" s="1" t="s">
        <v>4672</v>
      </c>
      <c r="F952" s="1" t="s">
        <v>51</v>
      </c>
      <c r="G952" s="1">
        <v>200.0</v>
      </c>
      <c r="H952" s="1" t="s">
        <v>52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53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54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56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57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f t="shared" si="1"/>
        <v>184</v>
      </c>
      <c r="AM952" s="1">
        <v>200.0</v>
      </c>
      <c r="AN952" s="1">
        <v>212.0</v>
      </c>
      <c r="AO952" s="1">
        <v>174.0</v>
      </c>
      <c r="AP952" s="2">
        <v>11.0</v>
      </c>
      <c r="AQ952" s="1">
        <v>26.0</v>
      </c>
      <c r="AR952" s="1">
        <v>26.0</v>
      </c>
      <c r="AS952" s="1" t="s">
        <v>4673</v>
      </c>
      <c r="AT952" s="3" t="str">
        <f>HYPERLINK("https://icf.clappia.com/app/GMB253374/submission/ZOB12453186/ICF247370-GMB253374-16267o5i7e5280000000/SIG-20250701_1039h43h.jpeg", "SIG-20250701_1039h43h.jpeg")</f>
        <v>SIG-20250701_1039h43h.jpeg</v>
      </c>
      <c r="AU952" s="1" t="s">
        <v>4674</v>
      </c>
      <c r="AV952" s="3" t="str">
        <f>HYPERLINK("https://icf.clappia.com/app/GMB253374/submission/ZOB12453186/ICF247370-GMB253374-5ijlmgdgpdha00000000/SIG-20250701_1040191h1n.jpeg", "SIG-20250701_1040191h1n.jpeg")</f>
        <v>SIG-20250701_1040191h1n.jpeg</v>
      </c>
      <c r="AW952" s="1" t="s">
        <v>4345</v>
      </c>
      <c r="AX952" s="3" t="str">
        <f>HYPERLINK("https://icf.clappia.com/app/GMB253374/submission/ZOB12453186/ICF247370-GMB253374-99npdj0h6fda0000000/SIG-20250701_10411481j2.jpeg", "SIG-20250701_10411481j2.jpeg")</f>
        <v>SIG-20250701_10411481j2.jpeg</v>
      </c>
      <c r="AY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2" t="s">
        <v>47</v>
      </c>
      <c r="C953" s="1" t="s">
        <v>758</v>
      </c>
      <c r="D953" s="1" t="s">
        <v>758</v>
      </c>
      <c r="E953" s="1" t="s">
        <v>4676</v>
      </c>
      <c r="F953" s="1" t="s">
        <v>72</v>
      </c>
      <c r="G953" s="1">
        <v>104.0</v>
      </c>
      <c r="H953" s="1" t="s">
        <v>52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53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54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56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57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f t="shared" si="1"/>
        <v>104</v>
      </c>
      <c r="AM953" s="1">
        <v>104.0</v>
      </c>
      <c r="AN953" s="1">
        <v>116.0</v>
      </c>
      <c r="AO953" s="1">
        <v>100.0</v>
      </c>
      <c r="AP953" s="2">
        <v>11.0</v>
      </c>
      <c r="AQ953" s="1">
        <v>4.0</v>
      </c>
      <c r="AR953" s="1">
        <v>4.0</v>
      </c>
      <c r="AS953" s="1" t="s">
        <v>4677</v>
      </c>
      <c r="AT953" s="3" t="str">
        <f>HYPERLINK("https://icf.clappia.com/app/GMB253374/submission/TXP17581121/ICF247370-GMB253374-3a97a51h75n400000000/SIG-20250630_120083fjo.jpeg", "SIG-20250630_120083fjo.jpeg")</f>
        <v>SIG-20250630_120083fjo.jpeg</v>
      </c>
      <c r="AU953" s="1" t="s">
        <v>1009</v>
      </c>
      <c r="AV953" s="3" t="str">
        <f>HYPERLINK("https://icf.clappia.com/app/GMB253374/submission/TXP17581121/ICF247370-GMB253374-34eoajao0e4i0000000/SIG-20250630_120011p08h.jpeg", "SIG-20250630_120011p08h.jpeg")</f>
        <v>SIG-20250630_120011p08h.jpeg</v>
      </c>
      <c r="AW953" s="1" t="s">
        <v>1010</v>
      </c>
      <c r="AX953" s="3" t="str">
        <f>HYPERLINK("https://icf.clappia.com/app/GMB253374/submission/TXP17581121/ICF247370-GMB253374-115h1jmgnf5fe0000000/SIG-20250630_1200lpa1b.jpeg", "SIG-20250630_1200lpa1b.jpeg")</f>
        <v>SIG-20250630_1200lpa1b.jpeg</v>
      </c>
      <c r="AY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2" t="s">
        <v>47</v>
      </c>
      <c r="C954" s="1" t="s">
        <v>4679</v>
      </c>
      <c r="D954" s="1" t="s">
        <v>4679</v>
      </c>
      <c r="E954" s="1" t="s">
        <v>4680</v>
      </c>
      <c r="F954" s="1" t="s">
        <v>51</v>
      </c>
      <c r="G954" s="1">
        <v>200.0</v>
      </c>
      <c r="H954" s="1" t="s">
        <v>52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53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54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56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57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f t="shared" si="1"/>
        <v>184</v>
      </c>
      <c r="AM954" s="1">
        <v>200.0</v>
      </c>
      <c r="AN954" s="1">
        <v>212.0</v>
      </c>
      <c r="AO954" s="1">
        <v>171.0</v>
      </c>
      <c r="AP954" s="2">
        <v>11.0</v>
      </c>
      <c r="AQ954" s="1">
        <v>29.0</v>
      </c>
      <c r="AR954" s="1">
        <v>29.0</v>
      </c>
      <c r="AS954" s="1" t="s">
        <v>2402</v>
      </c>
      <c r="AT954" s="3" t="str">
        <f>HYPERLINK("https://icf.clappia.com/app/GMB253374/submission/SRK40758155/ICF247370-GMB253374-mldbl02hmf680000000/SIG-20250701_100458dh9.jpeg", "SIG-20250701_100458dh9.jpeg")</f>
        <v>SIG-20250701_100458dh9.jpeg</v>
      </c>
      <c r="AU954" s="1" t="s">
        <v>2403</v>
      </c>
      <c r="AV954" s="3" t="str">
        <f>HYPERLINK("https://icf.clappia.com/app/GMB253374/submission/SRK40758155/ICF247370-GMB253374-1c44o2khjl1eo0000000/SIG-20250701_10055l35a.jpeg", "SIG-20250701_10055l35a.jpeg")</f>
        <v>SIG-20250701_10055l35a.jpeg</v>
      </c>
      <c r="AW954" s="1" t="s">
        <v>4681</v>
      </c>
      <c r="AX954" s="3" t="str">
        <f>HYPERLINK("https://icf.clappia.com/app/GMB253374/submission/SRK40758155/ICF247370-GMB253374-5o21i0o3m60a00000000/SIG-20250701_100616fjp2.jpeg", "SIG-20250701_100616fjp2.jpeg")</f>
        <v>SIG-20250701_100616fjp2.jpeg</v>
      </c>
      <c r="AY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2" t="s">
        <v>47</v>
      </c>
      <c r="C955" s="1" t="s">
        <v>4683</v>
      </c>
      <c r="D955" s="1" t="s">
        <v>4683</v>
      </c>
      <c r="E955" s="1" t="s">
        <v>4684</v>
      </c>
      <c r="F955" s="1" t="s">
        <v>51</v>
      </c>
      <c r="G955" s="1">
        <v>350.0</v>
      </c>
      <c r="H955" s="1" t="s">
        <v>52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53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54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56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57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f t="shared" si="1"/>
        <v>361</v>
      </c>
      <c r="AM955" s="1">
        <v>350.0</v>
      </c>
      <c r="AN955" s="1">
        <v>362.0</v>
      </c>
      <c r="AO955" s="1">
        <v>278.0</v>
      </c>
      <c r="AP955" s="2">
        <v>11.0</v>
      </c>
      <c r="AQ955" s="1">
        <v>72.0</v>
      </c>
      <c r="AR955" s="1">
        <v>72.0</v>
      </c>
      <c r="AS955" s="1" t="s">
        <v>4685</v>
      </c>
      <c r="AT955" s="3" t="str">
        <f>HYPERLINK("https://icf.clappia.com/app/GMB253374/submission/HGA20285151/ICF247370-GMB253374-1h0i3p9c5e0ii0000000/SIG-20250701_1034oa7p6.jpeg", "SIG-20250701_1034oa7p6.jpeg")</f>
        <v>SIG-20250701_1034oa7p6.jpeg</v>
      </c>
      <c r="AU955" s="1" t="s">
        <v>4686</v>
      </c>
      <c r="AV955" s="3" t="str">
        <f>HYPERLINK("https://icf.clappia.com/app/GMB253374/submission/HGA20285151/ICF247370-GMB253374-569ll0bofgc000000000/SIG-20250701_1034b73h7.jpeg", "SIG-20250701_1034b73h7.jpeg")</f>
        <v>SIG-20250701_1034b73h7.jpeg</v>
      </c>
      <c r="AW955" s="1" t="s">
        <v>2312</v>
      </c>
      <c r="AX955" s="3" t="str">
        <f>HYPERLINK("https://icf.clappia.com/app/GMB253374/submission/HGA20285151/ICF247370-GMB253374-4hp2jj556nk600000000/SIG-20250701_103714k7c9.jpeg", "SIG-20250701_103714k7c9.jpeg")</f>
        <v>SIG-20250701_103714k7c9.jpeg</v>
      </c>
      <c r="AY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2" t="s">
        <v>47</v>
      </c>
      <c r="C956" s="1" t="s">
        <v>4688</v>
      </c>
      <c r="D956" s="1" t="s">
        <v>4689</v>
      </c>
      <c r="E956" s="1" t="s">
        <v>4690</v>
      </c>
      <c r="F956" s="1" t="s">
        <v>51</v>
      </c>
      <c r="G956" s="1">
        <v>251.0</v>
      </c>
      <c r="H956" s="1" t="s">
        <v>52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53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54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56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57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f t="shared" si="1"/>
        <v>221</v>
      </c>
      <c r="AM956" s="1">
        <v>251.0</v>
      </c>
      <c r="AN956" s="1">
        <v>263.0</v>
      </c>
      <c r="AO956" s="1">
        <v>208.0</v>
      </c>
      <c r="AP956" s="2">
        <v>11.0</v>
      </c>
      <c r="AQ956" s="1">
        <v>43.0</v>
      </c>
      <c r="AR956" s="1">
        <v>43.0</v>
      </c>
      <c r="AS956" s="1" t="s">
        <v>1457</v>
      </c>
      <c r="AT956" s="3" t="str">
        <f>HYPERLINK("https://icf.clappia.com/app/GMB253374/submission/QEA63295360/ICF247370-GMB253374-3kj1e64c462800000000/SIG-20250701_1017123ed5.jpeg", "SIG-20250701_1017123ed5.jpeg")</f>
        <v>SIG-20250701_1017123ed5.jpeg</v>
      </c>
      <c r="AU956" s="1" t="s">
        <v>1456</v>
      </c>
      <c r="AV956" s="3" t="str">
        <f>HYPERLINK("https://icf.clappia.com/app/GMB253374/submission/QEA63295360/ICF247370-GMB253374-2dgka8j5m5f200000000/SIG-20250701_103189fm9.jpeg", "SIG-20250701_103189fm9.jpeg")</f>
        <v>SIG-20250701_103189fm9.jpeg</v>
      </c>
      <c r="AW956" s="1" t="s">
        <v>4691</v>
      </c>
      <c r="AX956" s="3" t="str">
        <f>HYPERLINK("https://icf.clappia.com/app/GMB253374/submission/QEA63295360/ICF247370-GMB253374-353n1eomif8m00000000/SIG-20250701_103119h09f.jpeg", "SIG-20250701_103119h09f.jpeg")</f>
        <v>SIG-20250701_103119h09f.jpeg</v>
      </c>
      <c r="AY956" s="3" t="str">
        <f t="shared" ref="AY956:AY957" si="9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2" t="s">
        <v>47</v>
      </c>
      <c r="C957" s="1" t="s">
        <v>4688</v>
      </c>
      <c r="D957" s="1" t="s">
        <v>4689</v>
      </c>
      <c r="E957" s="1" t="s">
        <v>4690</v>
      </c>
      <c r="F957" s="1" t="s">
        <v>51</v>
      </c>
      <c r="G957" s="1">
        <v>251.0</v>
      </c>
      <c r="H957" s="1" t="s">
        <v>52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53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54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56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57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f t="shared" si="1"/>
        <v>221</v>
      </c>
      <c r="AM957" s="1">
        <v>251.0</v>
      </c>
      <c r="AN957" s="1">
        <v>263.0</v>
      </c>
      <c r="AO957" s="1">
        <v>208.0</v>
      </c>
      <c r="AP957" s="2">
        <v>11.0</v>
      </c>
      <c r="AQ957" s="1">
        <v>43.0</v>
      </c>
      <c r="AR957" s="1">
        <v>43.0</v>
      </c>
      <c r="AS957" s="1" t="s">
        <v>1457</v>
      </c>
      <c r="AT957" s="3" t="str">
        <f>HYPERLINK("https://icf.clappia.com/app/GMB253374/submission/LYY85073400/ICF247370-GMB253374-3kj1e64c462800000000/SIG-20250701_1017123ed5.jpeg", "SIG-20250701_1017123ed5.jpeg")</f>
        <v>SIG-20250701_1017123ed5.jpeg</v>
      </c>
      <c r="AU957" s="1" t="s">
        <v>1456</v>
      </c>
      <c r="AV957" s="3" t="str">
        <f>HYPERLINK("https://icf.clappia.com/app/GMB253374/submission/LYY85073400/ICF247370-GMB253374-2dgka8j5m5f200000000/SIG-20250701_103189fm9.jpeg", "SIG-20250701_103189fm9.jpeg")</f>
        <v>SIG-20250701_103189fm9.jpeg</v>
      </c>
      <c r="AW957" s="1" t="s">
        <v>4691</v>
      </c>
      <c r="AX957" s="3" t="str">
        <f>HYPERLINK("https://icf.clappia.com/app/GMB253374/submission/LYY85073400/ICF247370-GMB253374-353n1eomif8m00000000/SIG-20250701_103119h09f.jpeg", "SIG-20250701_103119h09f.jpeg")</f>
        <v>SIG-20250701_103119h09f.jpeg</v>
      </c>
      <c r="AY957" s="3" t="str">
        <f t="shared" si="9"/>
        <v>8.6965133,-12.1473317</v>
      </c>
    </row>
    <row r="958" ht="15.75" customHeight="1">
      <c r="A958" s="1" t="s">
        <v>4693</v>
      </c>
      <c r="B958" s="2" t="s">
        <v>47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150.0</v>
      </c>
      <c r="H958" s="1" t="s">
        <v>52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53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54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56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57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f t="shared" si="1"/>
        <v>150</v>
      </c>
      <c r="AM958" s="1">
        <v>150.0</v>
      </c>
      <c r="AN958" s="1">
        <v>162.0</v>
      </c>
      <c r="AO958" s="1">
        <v>150.0</v>
      </c>
      <c r="AP958" s="2">
        <v>11.0</v>
      </c>
      <c r="AQ958" s="1">
        <v>0.0</v>
      </c>
      <c r="AR958" s="1">
        <v>0.0</v>
      </c>
      <c r="AS958" s="1" t="s">
        <v>969</v>
      </c>
      <c r="AT958" s="3" t="str">
        <f>HYPERLINK("https://icf.clappia.com/app/GMB253374/submission/JVS06542318/ICF247370-GMB253374-3ifik24g6fck00000000/SIG-20250701_09296efbl.jpeg", "SIG-20250701_09296efbl.jpeg")</f>
        <v>SIG-20250701_09296efbl.jpeg</v>
      </c>
      <c r="AU958" s="1" t="s">
        <v>4695</v>
      </c>
      <c r="AV958" s="3" t="str">
        <f>HYPERLINK("https://icf.clappia.com/app/GMB253374/submission/JVS06542318/ICF247370-GMB253374-11b2i02aceedm0000000/SIG-20250701_092915p5h2.jpeg", "SIG-20250701_092915p5h2.jpeg")</f>
        <v>SIG-20250701_092915p5h2.jpeg</v>
      </c>
      <c r="AW958" s="1" t="s">
        <v>4696</v>
      </c>
      <c r="AX958" s="3" t="str">
        <f>HYPERLINK("https://icf.clappia.com/app/GMB253374/submission/JVS06542318/ICF247370-GMB253374-1e8542o22l8d60000000/SIG-20250701_0930e10e3.jpeg", "SIG-20250701_0930e10e3.jpeg")</f>
        <v>SIG-20250701_0930e10e3.jpeg</v>
      </c>
      <c r="AY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2" t="s">
        <v>47</v>
      </c>
      <c r="C959" s="1" t="s">
        <v>4698</v>
      </c>
      <c r="D959" s="1" t="s">
        <v>4689</v>
      </c>
      <c r="E959" s="2" t="s">
        <v>4699</v>
      </c>
      <c r="F959" s="1" t="s">
        <v>51</v>
      </c>
      <c r="G959" s="1">
        <v>100.0</v>
      </c>
      <c r="H959" s="1" t="s">
        <v>52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53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54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56</v>
      </c>
      <c r="AA959" s="1" t="s">
        <v>55</v>
      </c>
      <c r="AB959" s="1" t="s">
        <v>55</v>
      </c>
      <c r="AC959" s="1" t="s">
        <v>55</v>
      </c>
      <c r="AD959" s="1" t="s">
        <v>55</v>
      </c>
      <c r="AE959" s="1" t="s">
        <v>55</v>
      </c>
      <c r="AF959" s="1" t="s">
        <v>57</v>
      </c>
      <c r="AG959" s="1" t="s">
        <v>55</v>
      </c>
      <c r="AH959" s="1" t="s">
        <v>55</v>
      </c>
      <c r="AI959" s="1" t="s">
        <v>55</v>
      </c>
      <c r="AJ959" s="1" t="s">
        <v>55</v>
      </c>
      <c r="AK959" s="1" t="s">
        <v>55</v>
      </c>
      <c r="AL959" s="1">
        <f t="shared" si="1"/>
        <v>76</v>
      </c>
      <c r="AM959" s="1">
        <v>100.0</v>
      </c>
      <c r="AN959" s="1">
        <v>112.0</v>
      </c>
      <c r="AO959" s="1">
        <v>76.0</v>
      </c>
      <c r="AP959" s="2">
        <v>11.0</v>
      </c>
      <c r="AQ959" s="1">
        <v>24.0</v>
      </c>
      <c r="AR959" s="1">
        <v>24.0</v>
      </c>
      <c r="AS959" s="1" t="s">
        <v>3487</v>
      </c>
      <c r="AT959" s="3" t="str">
        <f>HYPERLINK("https://icf.clappia.com/app/GMB253374/submission/MLW44363936/ICF247370-GMB253374-4keee05iabjk00000000/SIG-20250701_1010eodkc.jpeg", "SIG-20250701_1010eodkc.jpeg")</f>
        <v>SIG-20250701_1010eodkc.jpeg</v>
      </c>
      <c r="AU959" s="1" t="s">
        <v>4700</v>
      </c>
      <c r="AV959" s="3" t="str">
        <f>HYPERLINK("https://icf.clappia.com/app/GMB253374/submission/MLW44363936/ICF247370-GMB253374-1d9dpelbof5840000000/SIG-20250701_1012179mc3.jpeg", "SIG-20250701_1012179mc3.jpeg")</f>
        <v>SIG-20250701_1012179mc3.jpeg</v>
      </c>
      <c r="AW959" s="1" t="s">
        <v>4701</v>
      </c>
      <c r="AX959" s="3" t="str">
        <f>HYPERLINK("https://icf.clappia.com/app/GMB253374/submission/MLW44363936/ICF247370-GMB253374-4flm0jpj4ide00000000/SIG-20250701_1013j6p44.jpeg", "SIG-20250701_1013j6p44.jpeg")</f>
        <v>SIG-20250701_1013j6p44.jpeg</v>
      </c>
      <c r="AY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2" t="s">
        <v>47</v>
      </c>
      <c r="C960" s="1" t="s">
        <v>4688</v>
      </c>
      <c r="D960" s="1" t="s">
        <v>4703</v>
      </c>
      <c r="E960" s="1" t="s">
        <v>4704</v>
      </c>
      <c r="F960" s="1" t="s">
        <v>51</v>
      </c>
      <c r="G960" s="1">
        <v>200.0</v>
      </c>
      <c r="H960" s="1" t="s">
        <v>52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53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54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56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57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f t="shared" si="1"/>
        <v>199</v>
      </c>
      <c r="AM960" s="1">
        <v>200.0</v>
      </c>
      <c r="AN960" s="1">
        <v>212.0</v>
      </c>
      <c r="AO960" s="1">
        <v>199.0</v>
      </c>
      <c r="AP960" s="2">
        <v>11.0</v>
      </c>
      <c r="AQ960" s="1">
        <v>1.0</v>
      </c>
      <c r="AR960" s="1">
        <v>1.0</v>
      </c>
      <c r="AS960" s="1" t="s">
        <v>947</v>
      </c>
      <c r="AT960" s="3" t="str">
        <f>HYPERLINK("https://icf.clappia.com/app/GMB253374/submission/QUW33878009/ICF247370-GMB253374-5hlem90h05og00000000/SIG-20250701_10294pi43.jpeg", "SIG-20250701_10294pi43.jpeg")</f>
        <v>SIG-20250701_10294pi43.jpeg</v>
      </c>
      <c r="AU960" s="1" t="s">
        <v>4705</v>
      </c>
      <c r="AV960" s="3" t="str">
        <f>HYPERLINK("https://icf.clappia.com/app/GMB253374/submission/QUW33878009/ICF247370-GMB253374-5enn82d6n46800000000/SIG-20250701_1030hbhj3.jpeg", "SIG-20250701_1030hbhj3.jpeg")</f>
        <v>SIG-20250701_1030hbhj3.jpeg</v>
      </c>
      <c r="AW960" s="1" t="s">
        <v>4706</v>
      </c>
      <c r="AX960" s="3" t="str">
        <f>HYPERLINK("https://icf.clappia.com/app/GMB253374/submission/QUW33878009/ICF247370-GMB253374-34ehk38adjli00000000/SIG-20250701_10307dea3.jpeg", "SIG-20250701_10307dea3.jpeg")</f>
        <v>SIG-20250701_10307dea3.jpeg</v>
      </c>
      <c r="AY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2" t="s">
        <v>47</v>
      </c>
      <c r="C961" s="1" t="s">
        <v>4708</v>
      </c>
      <c r="D961" s="1" t="s">
        <v>4708</v>
      </c>
      <c r="E961" s="1" t="s">
        <v>4709</v>
      </c>
      <c r="F961" s="1" t="s">
        <v>51</v>
      </c>
      <c r="G961" s="1">
        <v>151.0</v>
      </c>
      <c r="H961" s="1" t="s">
        <v>52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53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54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56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57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f t="shared" si="1"/>
        <v>150</v>
      </c>
      <c r="AM961" s="1">
        <v>151.0</v>
      </c>
      <c r="AN961" s="1">
        <v>163.0</v>
      </c>
      <c r="AO961" s="1">
        <v>150.0</v>
      </c>
      <c r="AP961" s="2">
        <v>11.0</v>
      </c>
      <c r="AQ961" s="1">
        <v>1.0</v>
      </c>
      <c r="AR961" s="1">
        <v>1.0</v>
      </c>
      <c r="AS961" s="1" t="s">
        <v>4710</v>
      </c>
      <c r="AT961" s="3" t="str">
        <f>HYPERLINK("https://icf.clappia.com/app/GMB253374/submission/HTK38737529/ICF247370-GMB253374-21bc460cb7e4o0000000/SIG-20250630_1258h4aga.jpeg", "SIG-20250630_1258h4aga.jpeg")</f>
        <v>SIG-20250630_1258h4aga.jpeg</v>
      </c>
      <c r="AU961" s="1" t="s">
        <v>4711</v>
      </c>
      <c r="AV961" s="3" t="str">
        <f>HYPERLINK("https://icf.clappia.com/app/GMB253374/submission/HTK38737529/ICF247370-GMB253374-bh2k46mlpacg0000000/SIG-20250630_1259ci70e.jpeg", "SIG-20250630_1259ci70e.jpeg")</f>
        <v>SIG-20250630_1259ci70e.jpeg</v>
      </c>
      <c r="AW961" s="1" t="s">
        <v>4712</v>
      </c>
      <c r="AX961" s="3" t="str">
        <f>HYPERLINK("https://icf.clappia.com/app/GMB253374/submission/HTK38737529/ICF247370-GMB253374-pkgko4bbg9oc0000000/SIG-20250630_1300fj2ka.jpeg", "SIG-20250630_1300fj2ka.jpeg")</f>
        <v>SIG-20250630_1300fj2ka.jpeg</v>
      </c>
      <c r="AY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2" t="s">
        <v>47</v>
      </c>
      <c r="C962" s="1" t="s">
        <v>4714</v>
      </c>
      <c r="D962" s="1" t="s">
        <v>4715</v>
      </c>
      <c r="E962" s="1" t="s">
        <v>4716</v>
      </c>
      <c r="F962" s="1" t="s">
        <v>51</v>
      </c>
      <c r="G962" s="1">
        <v>433.0</v>
      </c>
      <c r="H962" s="1" t="s">
        <v>52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53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54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56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57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f t="shared" si="1"/>
        <v>401</v>
      </c>
      <c r="AM962" s="1">
        <v>433.0</v>
      </c>
      <c r="AN962" s="1">
        <v>445.0</v>
      </c>
      <c r="AO962" s="1">
        <v>401.0</v>
      </c>
      <c r="AP962" s="2">
        <v>11.0</v>
      </c>
      <c r="AQ962" s="1">
        <v>32.0</v>
      </c>
      <c r="AR962" s="1">
        <v>32.0</v>
      </c>
      <c r="AS962" s="1" t="s">
        <v>4717</v>
      </c>
      <c r="AT962" s="3" t="str">
        <f>HYPERLINK("https://icf.clappia.com/app/GMB253374/submission/SYQ73975854/ICF247370-GMB253374-1n8amle8b7b2o0000000/SIG-20250701_10158kel5.jpeg", "SIG-20250701_10158kel5.jpeg")</f>
        <v>SIG-20250701_10158kel5.jpeg</v>
      </c>
      <c r="AU962" s="1" t="s">
        <v>4718</v>
      </c>
      <c r="AV962" s="3" t="str">
        <f>HYPERLINK("https://icf.clappia.com/app/GMB253374/submission/SYQ73975854/ICF247370-GMB253374-4d603fg5kkkg00000000/SIG-20250701_10161a3g4a.jpeg", "SIG-20250701_10161a3g4a.jpeg")</f>
        <v>SIG-20250701_10161a3g4a.jpeg</v>
      </c>
      <c r="AW962" s="1" t="s">
        <v>4719</v>
      </c>
      <c r="AX962" s="3" t="str">
        <f>HYPERLINK("https://icf.clappia.com/app/GMB253374/submission/SYQ73975854/ICF247370-GMB253374-4joa4cegl4o400000000/SIG-20250701_101712ph1m.jpeg", "SIG-20250701_101712ph1m.jpeg")</f>
        <v>SIG-20250701_101712ph1m.jpeg</v>
      </c>
      <c r="AY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2" t="s">
        <v>47</v>
      </c>
      <c r="C963" s="1" t="s">
        <v>4721</v>
      </c>
      <c r="D963" s="1" t="s">
        <v>4721</v>
      </c>
      <c r="E963" s="1" t="s">
        <v>4722</v>
      </c>
      <c r="F963" s="1" t="s">
        <v>51</v>
      </c>
      <c r="G963" s="1">
        <v>100.0</v>
      </c>
      <c r="H963" s="1" t="s">
        <v>52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53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54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56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57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f t="shared" si="1"/>
        <v>93</v>
      </c>
      <c r="AM963" s="1">
        <v>100.0</v>
      </c>
      <c r="AN963" s="1">
        <v>112.0</v>
      </c>
      <c r="AO963" s="1">
        <v>70.0</v>
      </c>
      <c r="AP963" s="2">
        <v>11.0</v>
      </c>
      <c r="AQ963" s="1">
        <v>30.0</v>
      </c>
      <c r="AR963" s="1">
        <v>30.0</v>
      </c>
      <c r="AS963" s="1" t="s">
        <v>4723</v>
      </c>
      <c r="AT963" s="3" t="str">
        <f>HYPERLINK("https://icf.clappia.com/app/GMB253374/submission/VTW44374928/ICF247370-GMB253374-2nhldfo7cl2a00000000/SIG-20250701_1010emd98.jpeg", "SIG-20250701_1010emd98.jpeg")</f>
        <v>SIG-20250701_1010emd98.jpeg</v>
      </c>
      <c r="AU963" s="1" t="s">
        <v>3302</v>
      </c>
      <c r="AV963" s="3" t="str">
        <f>HYPERLINK("https://icf.clappia.com/app/GMB253374/submission/VTW44374928/ICF247370-GMB253374-4cd8h0njcm7200000000/SIG-20250701_10138le28.jpeg", "SIG-20250701_10138le28.jpeg")</f>
        <v>SIG-20250701_10138le28.jpeg</v>
      </c>
      <c r="AW963" s="1" t="s">
        <v>3303</v>
      </c>
      <c r="AX963" s="3" t="str">
        <f>HYPERLINK("https://icf.clappia.com/app/GMB253374/submission/VTW44374928/ICF247370-GMB253374-1jb1eoaogkfoe0000000/SIG-20250701_1020dhp6b.jpeg", "SIG-20250701_1020dhp6b.jpeg")</f>
        <v>SIG-20250701_1020dhp6b.jpeg</v>
      </c>
      <c r="AY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2" t="s">
        <v>47</v>
      </c>
      <c r="C964" s="1" t="s">
        <v>4714</v>
      </c>
      <c r="D964" s="1" t="s">
        <v>4714</v>
      </c>
      <c r="E964" s="1" t="s">
        <v>4725</v>
      </c>
      <c r="F964" s="1" t="s">
        <v>51</v>
      </c>
      <c r="G964" s="1">
        <v>172.0</v>
      </c>
      <c r="H964" s="1" t="s">
        <v>52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53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54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56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57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f t="shared" si="1"/>
        <v>180</v>
      </c>
      <c r="AM964" s="1">
        <v>172.0</v>
      </c>
      <c r="AN964" s="1">
        <v>184.0</v>
      </c>
      <c r="AO964" s="1">
        <v>135.0</v>
      </c>
      <c r="AP964" s="2">
        <v>11.0</v>
      </c>
      <c r="AQ964" s="1">
        <v>37.0</v>
      </c>
      <c r="AR964" s="1">
        <v>37.0</v>
      </c>
      <c r="AS964" s="1" t="s">
        <v>4726</v>
      </c>
      <c r="AT964" s="3" t="str">
        <f>HYPERLINK("https://icf.clappia.com/app/GMB253374/submission/AVA35866469/ICF247370-GMB253374-2elj3bi828ag00000000/SIG-20250701_1015g701o.jpeg", "SIG-20250701_1015g701o.jpeg")</f>
        <v>SIG-20250701_1015g701o.jpeg</v>
      </c>
      <c r="AU964" s="1" t="s">
        <v>4727</v>
      </c>
      <c r="AV964" s="3" t="str">
        <f>HYPERLINK("https://icf.clappia.com/app/GMB253374/submission/AVA35866469/ICF247370-GMB253374-15mhm64edpna80000000/SIG-20250701_101511a104.jpeg", "SIG-20250701_101511a104.jpeg")</f>
        <v>SIG-20250701_101511a104.jpeg</v>
      </c>
      <c r="AW964" s="1" t="s">
        <v>4728</v>
      </c>
      <c r="AX964" s="3" t="str">
        <f>HYPERLINK("https://icf.clappia.com/app/GMB253374/submission/AVA35866469/ICF247370-GMB253374-37f1la18o9jg00000000/SIG-20250701_10169hcfj.jpeg", "SIG-20250701_10169hcfj.jpeg")</f>
        <v>SIG-20250701_10169hcfj.jpeg</v>
      </c>
      <c r="AY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2" t="s">
        <v>47</v>
      </c>
      <c r="C965" s="1" t="s">
        <v>4730</v>
      </c>
      <c r="D965" s="1" t="s">
        <v>4730</v>
      </c>
      <c r="E965" s="1" t="s">
        <v>4731</v>
      </c>
      <c r="F965" s="1" t="s">
        <v>51</v>
      </c>
      <c r="G965" s="1">
        <v>148.0</v>
      </c>
      <c r="H965" s="1" t="s">
        <v>52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53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54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56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57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f t="shared" si="1"/>
        <v>148</v>
      </c>
      <c r="AM965" s="1">
        <v>148.0</v>
      </c>
      <c r="AN965" s="1">
        <v>160.0</v>
      </c>
      <c r="AO965" s="1">
        <v>148.0</v>
      </c>
      <c r="AP965" s="2">
        <v>11.0</v>
      </c>
      <c r="AQ965" s="1">
        <v>0.0</v>
      </c>
      <c r="AR965" s="1">
        <v>0.0</v>
      </c>
      <c r="AS965" s="1" t="s">
        <v>4732</v>
      </c>
      <c r="AT965" s="3" t="str">
        <f>HYPERLINK("https://icf.clappia.com/app/GMB253374/submission/KWW29200947/ICF247370-GMB253374-5g212m9k9i7e00000000/SIG-20250701_1011mmo55.jpeg", "SIG-20250701_1011mmo55.jpeg")</f>
        <v>SIG-20250701_1011mmo55.jpeg</v>
      </c>
      <c r="AU965" s="1" t="s">
        <v>4733</v>
      </c>
      <c r="AV965" s="3" t="str">
        <f>HYPERLINK("https://icf.clappia.com/app/GMB253374/submission/KWW29200947/ICF247370-GMB253374-2on5gpe4bklk00000000/SIG-20250701_101215a3nh.jpeg", "SIG-20250701_101215a3nh.jpeg")</f>
        <v>SIG-20250701_101215a3nh.jpeg</v>
      </c>
      <c r="AW965" s="1" t="s">
        <v>4734</v>
      </c>
      <c r="AX965" s="3" t="str">
        <f>HYPERLINK("https://icf.clappia.com/app/GMB253374/submission/KWW29200947/ICF247370-GMB253374-63cb1pihdjhm00000000/SIG-20250701_1013pno1n.jpeg", "SIG-20250701_1013pno1n.jpeg")</f>
        <v>SIG-20250701_1013pno1n.jpeg</v>
      </c>
      <c r="AY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2" t="s">
        <v>47</v>
      </c>
      <c r="C966" s="1" t="s">
        <v>4736</v>
      </c>
      <c r="D966" s="1" t="s">
        <v>4736</v>
      </c>
      <c r="E966" s="1" t="s">
        <v>4737</v>
      </c>
      <c r="F966" s="1" t="s">
        <v>51</v>
      </c>
      <c r="G966" s="1">
        <v>188.0</v>
      </c>
      <c r="H966" s="1" t="s">
        <v>52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53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54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56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57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f t="shared" si="1"/>
        <v>188</v>
      </c>
      <c r="AM966" s="1">
        <v>188.0</v>
      </c>
      <c r="AN966" s="1">
        <v>200.0</v>
      </c>
      <c r="AO966" s="1">
        <v>188.0</v>
      </c>
      <c r="AP966" s="2">
        <v>11.0</v>
      </c>
      <c r="AQ966" s="1">
        <v>0.0</v>
      </c>
      <c r="AR966" s="1">
        <v>0.0</v>
      </c>
      <c r="AS966" s="1" t="s">
        <v>3292</v>
      </c>
      <c r="AT966" s="3" t="str">
        <f>HYPERLINK("https://icf.clappia.com/app/GMB253374/submission/WUA66582019/ICF247370-GMB253374-42b2cn3cn32400000000/SIG-20250630_13586eimk.jpeg", "SIG-20250630_13586eimk.jpeg")</f>
        <v>SIG-20250630_13586eimk.jpeg</v>
      </c>
      <c r="AU966" s="1" t="s">
        <v>3293</v>
      </c>
      <c r="AV966" s="3" t="str">
        <f>HYPERLINK("https://icf.clappia.com/app/GMB253374/submission/WUA66582019/ICF247370-GMB253374-34ime6aecgf600000000/SIG-20250630_1359kn19c.jpeg", "SIG-20250630_1359kn19c.jpeg")</f>
        <v>SIG-20250630_1359kn19c.jpeg</v>
      </c>
      <c r="AW966" s="1" t="s">
        <v>4738</v>
      </c>
      <c r="AX966" s="3" t="str">
        <f>HYPERLINK("https://icf.clappia.com/app/GMB253374/submission/WUA66582019/ICF247370-GMB253374-1mi17npin9ab20000000/SIG-20250630_1401c0fkb.jpeg", "SIG-20250630_1401c0fkb.jpeg")</f>
        <v>SIG-20250630_1401c0fkb.jpeg</v>
      </c>
      <c r="AY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2" t="s">
        <v>47</v>
      </c>
      <c r="C967" s="1" t="s">
        <v>4740</v>
      </c>
      <c r="D967" s="1" t="s">
        <v>4740</v>
      </c>
      <c r="E967" s="1" t="s">
        <v>4741</v>
      </c>
      <c r="F967" s="1" t="s">
        <v>51</v>
      </c>
      <c r="G967" s="1">
        <v>215.0</v>
      </c>
      <c r="H967" s="1" t="s">
        <v>52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53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54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56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57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f t="shared" si="1"/>
        <v>215</v>
      </c>
      <c r="AM967" s="1">
        <v>215.0</v>
      </c>
      <c r="AN967" s="1">
        <v>227.0</v>
      </c>
      <c r="AO967" s="1">
        <v>215.0</v>
      </c>
      <c r="AP967" s="2">
        <v>11.0</v>
      </c>
      <c r="AQ967" s="1">
        <v>0.0</v>
      </c>
      <c r="AR967" s="1">
        <v>0.0</v>
      </c>
      <c r="AS967" s="1" t="s">
        <v>4742</v>
      </c>
      <c r="AT967" s="3" t="str">
        <f>HYPERLINK("https://icf.clappia.com/app/GMB253374/submission/VXH83724778/ICF247370-GMB253374-43blckb3inm000000000/SIG-20250701_0945g4nh9.jpeg", "SIG-20250701_0945g4nh9.jpeg")</f>
        <v>SIG-20250701_0945g4nh9.jpeg</v>
      </c>
      <c r="AU967" s="1" t="s">
        <v>4743</v>
      </c>
      <c r="AV967" s="3" t="str">
        <f>HYPERLINK("https://icf.clappia.com/app/GMB253374/submission/VXH83724778/ICF247370-GMB253374-530gf90n8fae00000000/SIG-20250701_0946114273.jpeg", "SIG-20250701_0946114273.jpeg")</f>
        <v>SIG-20250701_0946114273.jpeg</v>
      </c>
      <c r="AW967" s="1" t="s">
        <v>4744</v>
      </c>
      <c r="AX967" s="3" t="str">
        <f>HYPERLINK("https://icf.clappia.com/app/GMB253374/submission/VXH83724778/ICF247370-GMB253374-3lep4cd544ao00000000/SIG-20250701_0949n2d2.jpeg", "SIG-20250701_0949n2d2.jpeg")</f>
        <v>SIG-20250701_0949n2d2.jpeg</v>
      </c>
      <c r="AY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2" t="s">
        <v>47</v>
      </c>
      <c r="C968" s="1" t="s">
        <v>4746</v>
      </c>
      <c r="D968" s="1" t="s">
        <v>4746</v>
      </c>
      <c r="E968" s="1" t="s">
        <v>4747</v>
      </c>
      <c r="F968" s="1" t="s">
        <v>51</v>
      </c>
      <c r="G968" s="1">
        <v>119.0</v>
      </c>
      <c r="H968" s="1" t="s">
        <v>52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53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54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56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57</v>
      </c>
      <c r="AG968" s="1" t="s">
        <v>55</v>
      </c>
      <c r="AH968" s="1" t="s">
        <v>55</v>
      </c>
      <c r="AI968" s="1" t="s">
        <v>55</v>
      </c>
      <c r="AJ968" s="1" t="s">
        <v>55</v>
      </c>
      <c r="AK968" s="1" t="s">
        <v>55</v>
      </c>
      <c r="AL968" s="1">
        <f t="shared" si="1"/>
        <v>279</v>
      </c>
      <c r="AM968" s="1">
        <v>119.0</v>
      </c>
      <c r="AN968" s="1">
        <v>131.0</v>
      </c>
      <c r="AO968" s="1">
        <v>119.0</v>
      </c>
      <c r="AP968" s="2">
        <v>11.0</v>
      </c>
      <c r="AQ968" s="1">
        <v>0.0</v>
      </c>
      <c r="AR968" s="1">
        <v>0.0</v>
      </c>
      <c r="AS968" s="1" t="s">
        <v>667</v>
      </c>
      <c r="AT968" s="3" t="str">
        <f>HYPERLINK("https://icf.clappia.com/app/GMB253374/submission/URD92346918/ICF247370-GMB253374-4a4o5am4l83c00000000/SIG-20250701_0927o4i3j.jpeg", "SIG-20250701_0927o4i3j.jpeg")</f>
        <v>SIG-20250701_0927o4i3j.jpeg</v>
      </c>
      <c r="AU968" s="1" t="s">
        <v>668</v>
      </c>
      <c r="AV968" s="3" t="str">
        <f>HYPERLINK("https://icf.clappia.com/app/GMB253374/submission/URD92346918/ICF247370-GMB253374-koigejipaf6o0000000/SIG-20250701_0928g4oij.jpeg", "SIG-20250701_0928g4oij.jpeg")</f>
        <v>SIG-20250701_0928g4oij.jpeg</v>
      </c>
      <c r="AW968" s="1" t="s">
        <v>669</v>
      </c>
      <c r="AX968" s="3" t="str">
        <f>HYPERLINK("https://icf.clappia.com/app/GMB253374/submission/URD92346918/ICF247370-GMB253374-3kdl6ioga83600000000/SIG-20250701_0930179426.jpeg", "SIG-20250701_0930179426.jpeg")</f>
        <v>SIG-20250701_0930179426.jpeg</v>
      </c>
      <c r="AY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2" t="s">
        <v>47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200.0</v>
      </c>
      <c r="H969" s="1" t="s">
        <v>52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53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54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56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57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f t="shared" si="1"/>
        <v>170</v>
      </c>
      <c r="AM969" s="1">
        <v>200.0</v>
      </c>
      <c r="AN969" s="1">
        <v>212.0</v>
      </c>
      <c r="AO969" s="1">
        <v>169.0</v>
      </c>
      <c r="AP969" s="2">
        <v>11.0</v>
      </c>
      <c r="AQ969" s="1">
        <v>31.0</v>
      </c>
      <c r="AR969" s="1">
        <v>31.0</v>
      </c>
      <c r="AS969" s="1" t="s">
        <v>4751</v>
      </c>
      <c r="AT969" s="3" t="str">
        <f>HYPERLINK("https://icf.clappia.com/app/GMB253374/submission/BZJ18681722/ICF247370-GMB253374-48gp6p0ifi8g00000000/SIG-20250701_0926ladb8.jpeg", "SIG-20250701_0926ladb8.jpeg")</f>
        <v>SIG-20250701_0926ladb8.jpeg</v>
      </c>
      <c r="AU969" s="1" t="s">
        <v>1095</v>
      </c>
      <c r="AV969" s="3" t="str">
        <f>HYPERLINK("https://icf.clappia.com/app/GMB253374/submission/BZJ18681722/ICF247370-GMB253374-112k23o71dgk00000000/SIG-20250701_092712aggl.jpeg", "SIG-20250701_092712aggl.jpeg")</f>
        <v>SIG-20250701_092712aggl.jpeg</v>
      </c>
      <c r="AW969" s="1" t="s">
        <v>4752</v>
      </c>
      <c r="AX969" s="3" t="str">
        <f>HYPERLINK("https://icf.clappia.com/app/GMB253374/submission/BZJ18681722/ICF247370-GMB253374-4pi3oc4pe5kg00000000/SIG-20250701_092717km62.jpeg", "SIG-20250701_092717km62.jpeg")</f>
        <v>SIG-20250701_092717km62.jpeg</v>
      </c>
      <c r="AY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2" t="s">
        <v>47</v>
      </c>
      <c r="C970" s="1" t="s">
        <v>4754</v>
      </c>
      <c r="D970" s="1" t="s">
        <v>4754</v>
      </c>
      <c r="E970" s="1" t="s">
        <v>4755</v>
      </c>
      <c r="F970" s="1" t="s">
        <v>51</v>
      </c>
      <c r="G970" s="1">
        <v>100.0</v>
      </c>
      <c r="H970" s="1" t="s">
        <v>52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53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54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56</v>
      </c>
      <c r="AA970" s="1">
        <v>45.0</v>
      </c>
      <c r="AB970" s="1">
        <v>15.0</v>
      </c>
      <c r="AC970" s="1" t="s">
        <v>55</v>
      </c>
      <c r="AD970" s="1">
        <v>30.0</v>
      </c>
      <c r="AE970" s="1" t="s">
        <v>55</v>
      </c>
      <c r="AF970" s="1" t="s">
        <v>57</v>
      </c>
      <c r="AG970" s="1">
        <v>52.0</v>
      </c>
      <c r="AH970" s="1">
        <v>18.0</v>
      </c>
      <c r="AI970" s="1" t="s">
        <v>55</v>
      </c>
      <c r="AJ970" s="1">
        <v>34.0</v>
      </c>
      <c r="AK970" s="1" t="s">
        <v>55</v>
      </c>
      <c r="AL970" s="1">
        <f t="shared" si="1"/>
        <v>251</v>
      </c>
      <c r="AM970" s="1">
        <v>100.0</v>
      </c>
      <c r="AN970" s="1">
        <v>112.0</v>
      </c>
      <c r="AO970" s="1">
        <v>100.0</v>
      </c>
      <c r="AP970" s="2">
        <v>11.0</v>
      </c>
      <c r="AQ970" s="1">
        <v>0.0</v>
      </c>
      <c r="AR970" s="1">
        <v>0.0</v>
      </c>
      <c r="AS970" s="1" t="s">
        <v>4756</v>
      </c>
      <c r="AT970" s="3" t="str">
        <f>HYPERLINK("https://icf.clappia.com/app/GMB253374/submission/YHR18484705/ICF247370-GMB253374-1bc55mmf98ohm0000000/SIG-20250630_1149iccnb.jpeg", "SIG-20250630_1149iccnb.jpeg")</f>
        <v>SIG-20250630_1149iccnb.jpeg</v>
      </c>
      <c r="AU970" s="1" t="s">
        <v>2252</v>
      </c>
      <c r="AV970" s="3" t="str">
        <f>HYPERLINK("https://icf.clappia.com/app/GMB253374/submission/YHR18484705/ICF247370-GMB253374-6689nbbpm3oc00000000/SIG-20250630_115119ibnj.jpeg", "SIG-20250630_115119ibnj.jpeg")</f>
        <v>SIG-20250630_115119ibnj.jpeg</v>
      </c>
      <c r="AW970" s="1" t="s">
        <v>4757</v>
      </c>
      <c r="AX970" s="3" t="str">
        <f>HYPERLINK("https://icf.clappia.com/app/GMB253374/submission/YHR18484705/ICF247370-GMB253374-5ojfj2hdggck00000000/SIG-20250630_120084a2b.jpeg", "SIG-20250630_120084a2b.jpeg")</f>
        <v>SIG-20250630_120084a2b.jpeg</v>
      </c>
      <c r="AY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2" t="s">
        <v>47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234.0</v>
      </c>
      <c r="H971" s="1" t="s">
        <v>52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53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54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56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57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f t="shared" si="1"/>
        <v>234</v>
      </c>
      <c r="AM971" s="1">
        <v>234.0</v>
      </c>
      <c r="AN971" s="1">
        <v>246.0</v>
      </c>
      <c r="AO971" s="1">
        <v>234.0</v>
      </c>
      <c r="AP971" s="2">
        <v>11.0</v>
      </c>
      <c r="AQ971" s="1">
        <v>0.0</v>
      </c>
      <c r="AR971" s="1">
        <v>0.0</v>
      </c>
      <c r="AS971" s="1" t="s">
        <v>2344</v>
      </c>
      <c r="AT971" s="3" t="str">
        <f>HYPERLINK("https://icf.clappia.com/app/GMB253374/submission/USE08551012/ICF247370-GMB253374-51h45g86mlg000000000/SIG-20250701_0849ofo84.jpeg", "SIG-20250701_0849ofo84.jpeg")</f>
        <v>SIG-20250701_0849ofo84.jpeg</v>
      </c>
      <c r="AU971" s="1" t="s">
        <v>3493</v>
      </c>
      <c r="AV971" s="3" t="str">
        <f>HYPERLINK("https://icf.clappia.com/app/GMB253374/submission/USE08551012/ICF247370-GMB253374-3op62c7ma84i00000000/SIG-20250701_08501af4go.jpeg", "SIG-20250701_08501af4go.jpeg")</f>
        <v>SIG-20250701_08501af4go.jpeg</v>
      </c>
      <c r="AW971" s="1" t="s">
        <v>2346</v>
      </c>
      <c r="AX971" s="3" t="str">
        <f>HYPERLINK("https://icf.clappia.com/app/GMB253374/submission/USE08551012/ICF247370-GMB253374-39ca046k9jpg00000000/SIG-20250701_0850o500n.jpeg", "SIG-20250701_0850o500n.jpeg")</f>
        <v>SIG-20250701_0850o500n.jpeg</v>
      </c>
      <c r="AY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2" t="s">
        <v>47</v>
      </c>
      <c r="C972" s="1" t="s">
        <v>1749</v>
      </c>
      <c r="D972" s="1" t="s">
        <v>4762</v>
      </c>
      <c r="E972" s="1" t="s">
        <v>4763</v>
      </c>
      <c r="F972" s="1" t="s">
        <v>51</v>
      </c>
      <c r="G972" s="1">
        <v>250.0</v>
      </c>
      <c r="H972" s="1" t="s">
        <v>52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53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54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56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57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f t="shared" si="1"/>
        <v>184</v>
      </c>
      <c r="AM972" s="1">
        <v>250.0</v>
      </c>
      <c r="AN972" s="1">
        <v>262.0</v>
      </c>
      <c r="AO972" s="1">
        <v>183.0</v>
      </c>
      <c r="AP972" s="2">
        <v>11.0</v>
      </c>
      <c r="AQ972" s="1">
        <v>67.0</v>
      </c>
      <c r="AR972" s="1">
        <v>67.0</v>
      </c>
      <c r="AS972" s="1" t="s">
        <v>3970</v>
      </c>
      <c r="AT972" s="3" t="str">
        <f>HYPERLINK("https://icf.clappia.com/app/GMB253374/submission/KKG78096800/ICF247370-GMB253374-4lh59j08gnk000000000/SIG-20250630_1419gene7.jpeg", "SIG-20250630_1419gene7.jpeg")</f>
        <v>SIG-20250630_1419gene7.jpeg</v>
      </c>
      <c r="AU972" s="1" t="s">
        <v>3972</v>
      </c>
      <c r="AV972" s="3" t="str">
        <f>HYPERLINK("https://icf.clappia.com/app/GMB253374/submission/KKG78096800/ICF247370-GMB253374-1a3cnc434i9be0000000/SIG-20250630_1412f42m2.jpeg", "SIG-20250630_1412f42m2.jpeg")</f>
        <v>SIG-20250630_1412f42m2.jpeg</v>
      </c>
      <c r="AW972" s="1" t="s">
        <v>3970</v>
      </c>
      <c r="AX972" s="3" t="str">
        <f>HYPERLINK("https://icf.clappia.com/app/GMB253374/submission/KKG78096800/ICF247370-GMB253374-3gp31d05elkg00000000/SIG-20250630_14189hmbh.jpeg", "SIG-20250630_14189hmbh.jpeg")</f>
        <v>SIG-20250630_14189hmbh.jpeg</v>
      </c>
      <c r="AY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2" t="s">
        <v>47</v>
      </c>
      <c r="C973" s="1" t="s">
        <v>4765</v>
      </c>
      <c r="D973" s="1" t="s">
        <v>4766</v>
      </c>
      <c r="E973" s="1" t="s">
        <v>4767</v>
      </c>
      <c r="F973" s="1" t="s">
        <v>51</v>
      </c>
      <c r="G973" s="1">
        <v>171.0</v>
      </c>
      <c r="H973" s="1" t="s">
        <v>52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53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54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56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57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f t="shared" si="1"/>
        <v>171</v>
      </c>
      <c r="AM973" s="1">
        <v>171.0</v>
      </c>
      <c r="AN973" s="1">
        <v>183.0</v>
      </c>
      <c r="AO973" s="1">
        <v>171.0</v>
      </c>
      <c r="AP973" s="2">
        <v>11.0</v>
      </c>
      <c r="AQ973" s="1">
        <v>0.0</v>
      </c>
      <c r="AR973" s="1">
        <v>0.0</v>
      </c>
      <c r="AS973" s="1">
        <v>1.0</v>
      </c>
      <c r="AT973" s="3" t="str">
        <f>HYPERLINK("https://icf.clappia.com/app/GMB253374/submission/WMK85435294/ICF247370-GMB253374-5gdh11b84i8g00000000/SIG-20250630_12281a9a4b.jpeg", "SIG-20250630_12281a9a4b.jpeg")</f>
        <v>SIG-20250630_12281a9a4b.jpeg</v>
      </c>
      <c r="AU973" s="1" t="s">
        <v>55</v>
      </c>
      <c r="AV973" s="3" t="str">
        <f>HYPERLINK("https://icf.clappia.com/app/GMB253374/submission/WMK85435294/ICF247370-GMB253374-5oacfe3hi7oo00000000/SIG-20250630_1228eak76.jpeg", "SIG-20250630_1228eak76.jpeg")</f>
        <v>SIG-20250630_1228eak76.jpeg</v>
      </c>
      <c r="AW973" s="1" t="s">
        <v>55</v>
      </c>
      <c r="AX973" s="3" t="str">
        <f>HYPERLINK("https://icf.clappia.com/app/GMB253374/submission/WMK85435294/ICF247370-GMB253374-17i4da6lnf45m0000000/SIG-20250630_1229loo5c.jpeg", "SIG-20250630_1229loo5c.jpeg")</f>
        <v>SIG-20250630_1229loo5c.jpeg</v>
      </c>
      <c r="AY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2" t="s">
        <v>47</v>
      </c>
      <c r="C974" s="1" t="s">
        <v>4769</v>
      </c>
      <c r="D974" s="1" t="s">
        <v>4770</v>
      </c>
      <c r="E974" s="1" t="s">
        <v>4771</v>
      </c>
      <c r="F974" s="1" t="s">
        <v>51</v>
      </c>
      <c r="G974" s="1">
        <v>155.0</v>
      </c>
      <c r="H974" s="1" t="s">
        <v>52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53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54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56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57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f t="shared" si="1"/>
        <v>185</v>
      </c>
      <c r="AM974" s="1">
        <v>155.0</v>
      </c>
      <c r="AN974" s="1">
        <v>167.0</v>
      </c>
      <c r="AO974" s="1">
        <v>149.0</v>
      </c>
      <c r="AP974" s="2">
        <v>11.0</v>
      </c>
      <c r="AQ974" s="1">
        <v>6.0</v>
      </c>
      <c r="AR974" s="1">
        <v>6.0</v>
      </c>
      <c r="AS974" s="1" t="s">
        <v>4772</v>
      </c>
      <c r="AT974" s="3" t="str">
        <f>HYPERLINK("https://icf.clappia.com/app/GMB253374/submission/ICQ11049008/ICF247370-GMB253374-5pomj8fd18go00000000/SIG-20250630_13194klfi.jpeg", "SIG-20250630_13194klfi.jpeg")</f>
        <v>SIG-20250630_13194klfi.jpeg</v>
      </c>
      <c r="AU974" s="1" t="s">
        <v>4773</v>
      </c>
      <c r="AV974" s="3" t="str">
        <f>HYPERLINK("https://icf.clappia.com/app/GMB253374/submission/ICQ11049008/ICF247370-GMB253374-1j54jibjm49ke0000000/SIG-20250630_1320116lff.jpeg", "SIG-20250630_1320116lff.jpeg")</f>
        <v>SIG-20250630_1320116lff.jpeg</v>
      </c>
      <c r="AW974" s="1" t="s">
        <v>4774</v>
      </c>
      <c r="AX974" s="3" t="str">
        <f>HYPERLINK("https://icf.clappia.com/app/GMB253374/submission/ICQ11049008/ICF247370-GMB253374-5l9ciefp6jck00000000/SIG-20250630_1321168faf.jpeg", "SIG-20250630_1321168faf.jpeg")</f>
        <v>SIG-20250630_1321168faf.jpeg</v>
      </c>
      <c r="AY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2" t="s">
        <v>47</v>
      </c>
      <c r="C975" s="1" t="s">
        <v>4776</v>
      </c>
      <c r="D975" s="1" t="s">
        <v>4777</v>
      </c>
      <c r="E975" s="1" t="s">
        <v>4778</v>
      </c>
      <c r="F975" s="1" t="s">
        <v>51</v>
      </c>
      <c r="G975" s="1">
        <v>208.0</v>
      </c>
      <c r="H975" s="1" t="s">
        <v>52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53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54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56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57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f t="shared" si="1"/>
        <v>135</v>
      </c>
      <c r="AM975" s="1">
        <v>208.0</v>
      </c>
      <c r="AN975" s="1">
        <v>220.0</v>
      </c>
      <c r="AO975" s="1">
        <v>135.0</v>
      </c>
      <c r="AP975" s="2">
        <v>11.0</v>
      </c>
      <c r="AQ975" s="1">
        <v>73.0</v>
      </c>
      <c r="AR975" s="1">
        <v>73.0</v>
      </c>
      <c r="AS975" s="1" t="s">
        <v>309</v>
      </c>
      <c r="AT975" s="3" t="str">
        <f>HYPERLINK("https://icf.clappia.com/app/GMB253374/submission/NOQ91683801/ICF247370-GMB253374-5hhlhdofa50o00000000/SIG-20250630_14341029cp.jpeg", "SIG-20250630_14341029cp.jpeg")</f>
        <v>SIG-20250630_14341029cp.jpeg</v>
      </c>
      <c r="AU975" s="1" t="s">
        <v>2619</v>
      </c>
      <c r="AV975" s="3" t="str">
        <f>HYPERLINK("https://icf.clappia.com/app/GMB253374/submission/NOQ91683801/ICF247370-GMB253374-2ei70jf9ed5o00000000/SIG-20250630_14359i087.jpeg", "SIG-20250630_14359i087.jpeg")</f>
        <v>SIG-20250630_14359i087.jpeg</v>
      </c>
      <c r="AW975" s="1" t="s">
        <v>2608</v>
      </c>
      <c r="AX975" s="3" t="str">
        <f>HYPERLINK("https://icf.clappia.com/app/GMB253374/submission/NOQ91683801/ICF247370-GMB253374-56a9g4l3fceo00000000/SIG-20250630_143816omh0.jpeg", "SIG-20250630_143816omh0.jpeg")</f>
        <v>SIG-20250630_143816omh0.jpeg</v>
      </c>
      <c r="AY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2" t="s">
        <v>47</v>
      </c>
      <c r="C976" s="1" t="s">
        <v>4780</v>
      </c>
      <c r="D976" s="1" t="s">
        <v>4780</v>
      </c>
      <c r="E976" s="1" t="s">
        <v>4781</v>
      </c>
      <c r="F976" s="1" t="s">
        <v>51</v>
      </c>
      <c r="G976" s="1">
        <v>56.0</v>
      </c>
      <c r="H976" s="1" t="s">
        <v>52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53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54</v>
      </c>
      <c r="U976" s="1" t="s">
        <v>55</v>
      </c>
      <c r="V976" s="1" t="s">
        <v>55</v>
      </c>
      <c r="W976" s="1" t="s">
        <v>55</v>
      </c>
      <c r="X976" s="1" t="s">
        <v>55</v>
      </c>
      <c r="Y976" s="1" t="s">
        <v>55</v>
      </c>
      <c r="Z976" s="1" t="s">
        <v>56</v>
      </c>
      <c r="AA976" s="1" t="s">
        <v>55</v>
      </c>
      <c r="AB976" s="1" t="s">
        <v>55</v>
      </c>
      <c r="AC976" s="1" t="s">
        <v>55</v>
      </c>
      <c r="AD976" s="1" t="s">
        <v>55</v>
      </c>
      <c r="AE976" s="1" t="s">
        <v>55</v>
      </c>
      <c r="AF976" s="1" t="s">
        <v>57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f t="shared" si="1"/>
        <v>56</v>
      </c>
      <c r="AM976" s="1">
        <v>56.0</v>
      </c>
      <c r="AN976" s="1">
        <v>68.0</v>
      </c>
      <c r="AO976" s="1">
        <v>21.0</v>
      </c>
      <c r="AP976" s="2">
        <v>11.0</v>
      </c>
      <c r="AQ976" s="1">
        <v>35.0</v>
      </c>
      <c r="AR976" s="1">
        <v>35.0</v>
      </c>
      <c r="AS976" s="1" t="s">
        <v>4782</v>
      </c>
      <c r="AT976" s="3" t="str">
        <f>HYPERLINK("https://icf.clappia.com/app/GMB253374/submission/BUF26935488/ICF247370-GMB253374-iog7ffanbclm0000000/SIG-20250630_1756nfh48.jpeg", "SIG-20250630_1756nfh48.jpeg")</f>
        <v>SIG-20250630_1756nfh48.jpeg</v>
      </c>
      <c r="AU976" s="1" t="s">
        <v>4783</v>
      </c>
      <c r="AV976" s="3" t="str">
        <f>HYPERLINK("https://icf.clappia.com/app/GMB253374/submission/BUF26935488/ICF247370-GMB253374-3ob739f3leo000000000/SIG-20250630_175710mpl9.jpeg", "SIG-20250630_175710mpl9.jpeg")</f>
        <v>SIG-20250630_175710mpl9.jpeg</v>
      </c>
      <c r="AW976" s="1" t="s">
        <v>4784</v>
      </c>
      <c r="AX976" s="3" t="str">
        <f>HYPERLINK("https://icf.clappia.com/app/GMB253374/submission/BUF26935488/ICF247370-GMB253374-3jec6m9i9gck00000000/SIG-20250630_1758190k47.jpeg", "SIG-20250630_1758190k47.jpeg")</f>
        <v>SIG-20250630_1758190k47.jpeg</v>
      </c>
      <c r="AY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2" t="s">
        <v>47</v>
      </c>
      <c r="C977" s="1" t="s">
        <v>4786</v>
      </c>
      <c r="D977" s="1" t="s">
        <v>4787</v>
      </c>
      <c r="E977" s="1" t="s">
        <v>4788</v>
      </c>
      <c r="F977" s="1" t="s">
        <v>51</v>
      </c>
      <c r="G977" s="1">
        <v>150.0</v>
      </c>
      <c r="H977" s="1" t="s">
        <v>52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53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54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56</v>
      </c>
      <c r="AA977" s="1" t="s">
        <v>55</v>
      </c>
      <c r="AB977" s="1" t="s">
        <v>55</v>
      </c>
      <c r="AC977" s="1" t="s">
        <v>55</v>
      </c>
      <c r="AD977" s="1" t="s">
        <v>55</v>
      </c>
      <c r="AE977" s="1" t="s">
        <v>55</v>
      </c>
      <c r="AF977" s="1" t="s">
        <v>57</v>
      </c>
      <c r="AG977" s="1" t="s">
        <v>55</v>
      </c>
      <c r="AH977" s="1" t="s">
        <v>55</v>
      </c>
      <c r="AI977" s="1" t="s">
        <v>55</v>
      </c>
      <c r="AJ977" s="1" t="s">
        <v>55</v>
      </c>
      <c r="AK977" s="1" t="s">
        <v>55</v>
      </c>
      <c r="AL977" s="1">
        <f t="shared" si="1"/>
        <v>190</v>
      </c>
      <c r="AM977" s="1">
        <v>150.0</v>
      </c>
      <c r="AN977" s="1">
        <v>162.0</v>
      </c>
      <c r="AO977" s="1">
        <v>75.0</v>
      </c>
      <c r="AP977" s="2">
        <v>11.0</v>
      </c>
      <c r="AQ977" s="1">
        <v>75.0</v>
      </c>
      <c r="AR977" s="1">
        <v>75.0</v>
      </c>
      <c r="AS977" s="1" t="s">
        <v>4789</v>
      </c>
      <c r="AT977" s="3" t="str">
        <f>HYPERLINK("https://icf.clappia.com/app/GMB253374/submission/VWD64796897/ICF247370-GMB253374-396n46d0jo600000000/SIG-20250630_1636enbbm.jpeg", "SIG-20250630_1636enbbm.jpeg")</f>
        <v>SIG-20250630_1636enbbm.jpeg</v>
      </c>
      <c r="AU977" s="1" t="s">
        <v>4790</v>
      </c>
      <c r="AV977" s="3" t="str">
        <f>HYPERLINK("https://icf.clappia.com/app/GMB253374/submission/VWD64796897/ICF247370-GMB253374-61n1fgk5k9620000000/SIG-20250630_163810hh3a.jpeg", "SIG-20250630_163810hh3a.jpeg")</f>
        <v>SIG-20250630_163810hh3a.jpeg</v>
      </c>
      <c r="AW977" s="1" t="s">
        <v>260</v>
      </c>
      <c r="AX977" s="3" t="str">
        <f>HYPERLINK("https://icf.clappia.com/app/GMB253374/submission/VWD64796897/ICF247370-GMB253374-68ibhajgln4g00000000/SIG-20250630_16391dj9p.jpeg", "SIG-20250630_16391dj9p.jpeg")</f>
        <v>SIG-20250630_16391dj9p.jpeg</v>
      </c>
      <c r="AY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2" t="s">
        <v>47</v>
      </c>
      <c r="C978" s="1" t="s">
        <v>4792</v>
      </c>
      <c r="D978" s="1" t="s">
        <v>4792</v>
      </c>
      <c r="E978" s="1" t="s">
        <v>4793</v>
      </c>
      <c r="F978" s="1" t="s">
        <v>51</v>
      </c>
      <c r="G978" s="1">
        <v>250.0</v>
      </c>
      <c r="H978" s="1" t="s">
        <v>52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53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54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2000</v>
      </c>
      <c r="Z978" s="1" t="s">
        <v>56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57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f t="shared" si="1"/>
        <v>343</v>
      </c>
      <c r="AM978" s="1">
        <v>250.0</v>
      </c>
      <c r="AN978" s="1">
        <v>262.0</v>
      </c>
      <c r="AO978" s="1">
        <v>189.0</v>
      </c>
      <c r="AP978" s="2">
        <v>11.0</v>
      </c>
      <c r="AQ978" s="1">
        <v>61.0</v>
      </c>
      <c r="AR978" s="1">
        <v>61.0</v>
      </c>
      <c r="AS978" s="1" t="s">
        <v>4794</v>
      </c>
      <c r="AT978" s="3" t="str">
        <f>HYPERLINK("https://icf.clappia.com/app/GMB253374/submission/DAZ36915321/ICF247370-GMB253374-4357pe0572jc00000000/SIG-20250630_1850pmio2.jpeg", "SIG-20250630_1850pmio2.jpeg")</f>
        <v>SIG-20250630_1850pmio2.jpeg</v>
      </c>
      <c r="AU978" s="1" t="s">
        <v>3621</v>
      </c>
      <c r="AV978" s="3" t="str">
        <f>HYPERLINK("https://icf.clappia.com/app/GMB253374/submission/DAZ36915321/ICF247370-GMB253374-52fml5go60ba00000000/SIG-20250630_18513f4d4.jpeg", "SIG-20250630_18513f4d4.jpeg")</f>
        <v>SIG-20250630_18513f4d4.jpeg</v>
      </c>
      <c r="AW978" s="1" t="s">
        <v>4795</v>
      </c>
      <c r="AX978" s="3" t="str">
        <f>HYPERLINK("https://icf.clappia.com/app/GMB253374/submission/DAZ36915321/ICF247370-GMB253374-1pkcc7gdd72800000000/SIG-20250630_185227fc3.jpeg", "SIG-20250630_185227fc3.jpeg")</f>
        <v>SIG-20250630_185227fc3.jpeg</v>
      </c>
      <c r="AY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2" t="s">
        <v>47</v>
      </c>
      <c r="C979" s="1" t="s">
        <v>4797</v>
      </c>
      <c r="D979" s="1" t="s">
        <v>4798</v>
      </c>
      <c r="E979" s="1" t="s">
        <v>4799</v>
      </c>
      <c r="F979" s="1" t="s">
        <v>51</v>
      </c>
      <c r="G979" s="1">
        <v>204.0</v>
      </c>
      <c r="H979" s="1" t="s">
        <v>52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53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54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56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57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f t="shared" si="1"/>
        <v>204</v>
      </c>
      <c r="AM979" s="1">
        <v>204.0</v>
      </c>
      <c r="AN979" s="1">
        <v>216.0</v>
      </c>
      <c r="AO979" s="1">
        <v>152.0</v>
      </c>
      <c r="AP979" s="2">
        <v>11.0</v>
      </c>
      <c r="AQ979" s="1">
        <v>52.0</v>
      </c>
      <c r="AR979" s="1">
        <v>52.0</v>
      </c>
      <c r="AS979" s="1" t="s">
        <v>4614</v>
      </c>
      <c r="AT979" s="3" t="str">
        <f>HYPERLINK("https://icf.clappia.com/app/GMB253374/submission/YZZ16535539/ICF247370-GMB253374-274oi3n69bmna0000000/SIG-20250630_145240l8m.jpeg", "SIG-20250630_145240l8m.jpeg")</f>
        <v>SIG-20250630_145240l8m.jpeg</v>
      </c>
      <c r="AU979" s="1" t="s">
        <v>4800</v>
      </c>
      <c r="AV979" s="3" t="str">
        <f>HYPERLINK("https://icf.clappia.com/app/GMB253374/submission/YZZ16535539/ICF247370-GMB253374-1io0g55be151a0000000/SIG-20250630_14588cgn8.jpeg", "SIG-20250630_14588cgn8.jpeg")</f>
        <v>SIG-20250630_14588cgn8.jpeg</v>
      </c>
      <c r="AW979" s="1" t="s">
        <v>4616</v>
      </c>
      <c r="AX979" s="3" t="str">
        <f>HYPERLINK("https://icf.clappia.com/app/GMB253374/submission/YZZ16535539/ICF247370-GMB253374-5ol7dc78b7k000000000/SIG-20250630_15141c07f.jpeg", "SIG-20250630_15141c07f.jpeg")</f>
        <v>SIG-20250630_15141c07f.jpeg</v>
      </c>
      <c r="AY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2" t="s">
        <v>47</v>
      </c>
      <c r="C980" s="1" t="s">
        <v>4802</v>
      </c>
      <c r="D980" s="1" t="s">
        <v>4802</v>
      </c>
      <c r="E980" s="1" t="s">
        <v>4803</v>
      </c>
      <c r="F980" s="1" t="s">
        <v>51</v>
      </c>
      <c r="G980" s="1">
        <v>200.0</v>
      </c>
      <c r="H980" s="1" t="s">
        <v>52</v>
      </c>
      <c r="I980" s="1" t="s">
        <v>55</v>
      </c>
      <c r="J980" s="1" t="s">
        <v>55</v>
      </c>
      <c r="K980" s="1" t="s">
        <v>55</v>
      </c>
      <c r="L980" s="1" t="s">
        <v>55</v>
      </c>
      <c r="M980" s="1" t="s">
        <v>55</v>
      </c>
      <c r="N980" s="1" t="s">
        <v>53</v>
      </c>
      <c r="O980" s="1" t="s">
        <v>55</v>
      </c>
      <c r="P980" s="1" t="s">
        <v>55</v>
      </c>
      <c r="Q980" s="1" t="s">
        <v>55</v>
      </c>
      <c r="R980" s="1" t="s">
        <v>55</v>
      </c>
      <c r="S980" s="1" t="s">
        <v>55</v>
      </c>
      <c r="T980" s="1" t="s">
        <v>54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56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57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f t="shared" si="1"/>
        <v>107</v>
      </c>
      <c r="AM980" s="1">
        <v>200.0</v>
      </c>
      <c r="AN980" s="1">
        <v>212.0</v>
      </c>
      <c r="AO980" s="1">
        <v>93.0</v>
      </c>
      <c r="AP980" s="2">
        <v>11.0</v>
      </c>
      <c r="AQ980" s="1">
        <v>107.0</v>
      </c>
      <c r="AR980" s="1">
        <v>107.0</v>
      </c>
      <c r="AS980" s="1" t="s">
        <v>4804</v>
      </c>
      <c r="AT980" s="3" t="str">
        <f>HYPERLINK("https://icf.clappia.com/app/GMB253374/submission/HNK42926931/ICF247370-GMB253374-29om2d3ho07b60000000/SIG-20250630_185719h7oo.jpeg", "SIG-20250630_185719h7oo.jpeg")</f>
        <v>SIG-20250630_185719h7oo.jpeg</v>
      </c>
      <c r="AU980" s="1" t="s">
        <v>4805</v>
      </c>
      <c r="AV980" s="3" t="str">
        <f>HYPERLINK("https://icf.clappia.com/app/GMB253374/submission/HNK42926931/ICF247370-GMB253374-15p2ippbdhfnm0000000/SIG-20250630_182511kjhd.jpeg", "SIG-20250630_182511kjhd.jpeg")</f>
        <v>SIG-20250630_182511kjhd.jpeg</v>
      </c>
      <c r="AW980" s="1" t="s">
        <v>4806</v>
      </c>
      <c r="AX980" s="3" t="str">
        <f>HYPERLINK("https://icf.clappia.com/app/GMB253374/submission/HNK42926931/ICF247370-GMB253374-i9m28pgoofe00000000/SIG-20250630_18265efb7.jpeg", "SIG-20250630_18265efb7.jpeg")</f>
        <v>SIG-20250630_18265efb7.jpeg</v>
      </c>
      <c r="AY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2" t="s">
        <v>47</v>
      </c>
      <c r="C981" s="1" t="s">
        <v>4808</v>
      </c>
      <c r="D981" s="1" t="s">
        <v>4808</v>
      </c>
      <c r="E981" s="1" t="s">
        <v>4809</v>
      </c>
      <c r="F981" s="1" t="s">
        <v>51</v>
      </c>
      <c r="G981" s="1">
        <v>278.0</v>
      </c>
      <c r="H981" s="1" t="s">
        <v>52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53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54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56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57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f t="shared" si="1"/>
        <v>267</v>
      </c>
      <c r="AM981" s="1">
        <v>278.0</v>
      </c>
      <c r="AN981" s="1">
        <v>290.0</v>
      </c>
      <c r="AO981" s="1">
        <v>267.0</v>
      </c>
      <c r="AP981" s="2">
        <v>11.0</v>
      </c>
      <c r="AQ981" s="1">
        <v>11.0</v>
      </c>
      <c r="AR981" s="1">
        <v>11.0</v>
      </c>
      <c r="AS981" s="1" t="s">
        <v>2676</v>
      </c>
      <c r="AT981" s="3" t="str">
        <f>HYPERLINK("https://icf.clappia.com/app/GMB253374/submission/MKN84198463/ICF247370-GMB253374-3fa9pkebd97o00000000/SIG-20250630_1747jk8jp.jpeg", "SIG-20250630_1747jk8jp.jpeg")</f>
        <v>SIG-20250630_1747jk8jp.jpeg</v>
      </c>
      <c r="AU981" s="1" t="s">
        <v>2677</v>
      </c>
      <c r="AV981" s="3" t="str">
        <f>HYPERLINK("https://icf.clappia.com/app/GMB253374/submission/MKN84198463/ICF247370-GMB253374-5507o34abkoo00000000/SIG-20250630_1751e100n.jpeg", "SIG-20250630_1751e100n.jpeg")</f>
        <v>SIG-20250630_1751e100n.jpeg</v>
      </c>
      <c r="AW981" s="1" t="s">
        <v>2678</v>
      </c>
      <c r="AX981" s="3" t="str">
        <f>HYPERLINK("https://icf.clappia.com/app/GMB253374/submission/MKN84198463/ICF247370-GMB253374-4fcm0ccmhjcg00000000/SIG-20250630_1748dfpob.jpeg", "SIG-20250630_1748dfpob.jpeg")</f>
        <v>SIG-20250630_1748dfpob.jpeg</v>
      </c>
      <c r="AY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2" t="s">
        <v>47</v>
      </c>
      <c r="C982" s="1" t="s">
        <v>4811</v>
      </c>
      <c r="D982" s="1" t="s">
        <v>4811</v>
      </c>
      <c r="E982" s="1" t="s">
        <v>4812</v>
      </c>
      <c r="F982" s="1" t="s">
        <v>51</v>
      </c>
      <c r="G982" s="1">
        <v>300.0</v>
      </c>
      <c r="H982" s="1" t="s">
        <v>52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53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54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56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57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f t="shared" si="1"/>
        <v>292</v>
      </c>
      <c r="AM982" s="1">
        <v>300.0</v>
      </c>
      <c r="AN982" s="1">
        <v>312.0</v>
      </c>
      <c r="AO982" s="1">
        <v>226.0</v>
      </c>
      <c r="AP982" s="2">
        <v>11.0</v>
      </c>
      <c r="AQ982" s="1">
        <v>74.0</v>
      </c>
      <c r="AR982" s="1">
        <v>74.0</v>
      </c>
      <c r="AS982" s="1" t="s">
        <v>4813</v>
      </c>
      <c r="AT982" s="3" t="str">
        <f>HYPERLINK("https://icf.clappia.com/app/GMB253374/submission/NYW32262992/ICF247370-GMB253374-653jab00gbmg00000000/SIG-20250630_18346m8n9.jpeg", "SIG-20250630_18346m8n9.jpeg")</f>
        <v>SIG-20250630_18346m8n9.jpeg</v>
      </c>
      <c r="AU982" s="1" t="s">
        <v>2423</v>
      </c>
      <c r="AV982" s="3" t="str">
        <f>HYPERLINK("https://icf.clappia.com/app/GMB253374/submission/NYW32262992/ICF247370-GMB253374-einkg0fej1ok0000000/SIG-20250630_1835g4e2i.jpeg", "SIG-20250630_1835g4e2i.jpeg")</f>
        <v>SIG-20250630_1835g4e2i.jpeg</v>
      </c>
      <c r="AW982" s="1" t="s">
        <v>2424</v>
      </c>
      <c r="AX982" s="3" t="str">
        <f>HYPERLINK("https://icf.clappia.com/app/GMB253374/submission/NYW32262992/ICF247370-GMB253374-4hcm7c32ikba0000000/SIG-20250630_183610g322.jpeg", "SIG-20250630_183610g322.jpeg")</f>
        <v>SIG-20250630_183610g322.jpeg</v>
      </c>
      <c r="AY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2" t="s">
        <v>47</v>
      </c>
      <c r="C983" s="1" t="s">
        <v>4811</v>
      </c>
      <c r="D983" s="1" t="s">
        <v>4811</v>
      </c>
      <c r="E983" s="1" t="s">
        <v>4815</v>
      </c>
      <c r="F983" s="1" t="s">
        <v>51</v>
      </c>
      <c r="G983" s="1">
        <v>200.0</v>
      </c>
      <c r="H983" s="1" t="s">
        <v>52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53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54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56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57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f t="shared" si="1"/>
        <v>137</v>
      </c>
      <c r="AM983" s="1">
        <v>200.0</v>
      </c>
      <c r="AN983" s="1">
        <v>212.0</v>
      </c>
      <c r="AO983" s="1">
        <v>110.0</v>
      </c>
      <c r="AP983" s="2">
        <v>11.0</v>
      </c>
      <c r="AQ983" s="1">
        <v>90.0</v>
      </c>
      <c r="AR983" s="1">
        <v>90.0</v>
      </c>
      <c r="AS983" s="1" t="s">
        <v>3678</v>
      </c>
      <c r="AT983" s="3" t="str">
        <f>HYPERLINK("https://icf.clappia.com/app/GMB253374/submission/OVE35326311/ICF247370-GMB253374-3d0ecp34pg0000000000/SIG-20250630_1136mm53o.jpeg", "SIG-20250630_1136mm53o.jpeg")</f>
        <v>SIG-20250630_1136mm53o.jpeg</v>
      </c>
      <c r="AU983" s="1" t="s">
        <v>3679</v>
      </c>
      <c r="AV983" s="3" t="str">
        <f>HYPERLINK("https://icf.clappia.com/app/GMB253374/submission/OVE35326311/ICF247370-GMB253374-2h1dp727ja9o00000000/SIG-20250630_18331fmel.jpeg", "SIG-20250630_18331fmel.jpeg")</f>
        <v>SIG-20250630_18331fmel.jpeg</v>
      </c>
      <c r="AW983" s="1" t="s">
        <v>4816</v>
      </c>
      <c r="AX983" s="3" t="str">
        <f>HYPERLINK("https://icf.clappia.com/app/GMB253374/submission/OVE35326311/ICF247370-GMB253374-100ko3f75el5a0000000/SIG-20250630_1833dba5h.jpeg", "SIG-20250630_1833dba5h.jpeg")</f>
        <v>SIG-20250630_1833dba5h.jpeg</v>
      </c>
      <c r="AY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2" t="s">
        <v>47</v>
      </c>
      <c r="C984" s="1" t="s">
        <v>4818</v>
      </c>
      <c r="D984" s="1" t="s">
        <v>4818</v>
      </c>
      <c r="E984" s="1" t="s">
        <v>4819</v>
      </c>
      <c r="F984" s="1" t="s">
        <v>51</v>
      </c>
      <c r="G984" s="1">
        <v>150.0</v>
      </c>
      <c r="H984" s="1" t="s">
        <v>52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53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54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56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57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f t="shared" si="1"/>
        <v>203</v>
      </c>
      <c r="AM984" s="1">
        <v>150.0</v>
      </c>
      <c r="AN984" s="1">
        <v>162.0</v>
      </c>
      <c r="AO984" s="1">
        <v>150.0</v>
      </c>
      <c r="AP984" s="2">
        <v>11.0</v>
      </c>
      <c r="AQ984" s="1">
        <v>0.0</v>
      </c>
      <c r="AR984" s="1">
        <v>0.0</v>
      </c>
      <c r="AS984" s="1" t="s">
        <v>4820</v>
      </c>
      <c r="AT984" s="3" t="str">
        <f>HYPERLINK("https://icf.clappia.com/app/GMB253374/submission/LNY32389523/ICF247370-GMB253374-678f2pcocj6o00000000/SIG-20250630_153761mn2.jpeg", "SIG-20250630_153761mn2.jpeg")</f>
        <v>SIG-20250630_153761mn2.jpeg</v>
      </c>
      <c r="AU984" s="1" t="s">
        <v>4821</v>
      </c>
      <c r="AV984" s="3" t="str">
        <f>HYPERLINK("https://icf.clappia.com/app/GMB253374/submission/LNY32389523/ICF247370-GMB253374-3lp62a7k7h6c00000000/SIG-20250630_1539ggjj.jpeg", "SIG-20250630_1539ggjj.jpeg")</f>
        <v>SIG-20250630_1539ggjj.jpeg</v>
      </c>
      <c r="AW984" s="1" t="s">
        <v>1319</v>
      </c>
      <c r="AX984" s="3" t="str">
        <f>HYPERLINK("https://icf.clappia.com/app/GMB253374/submission/LNY32389523/ICF247370-GMB253374-1976bcejpbo240000000/SIG-20250630_15407n7g2.jpeg", "SIG-20250630_15407n7g2.jpeg")</f>
        <v>SIG-20250630_15407n7g2.jpeg</v>
      </c>
      <c r="AY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2" t="s">
        <v>47</v>
      </c>
      <c r="C985" s="1" t="s">
        <v>4823</v>
      </c>
      <c r="D985" s="1" t="s">
        <v>4824</v>
      </c>
      <c r="E985" s="1" t="s">
        <v>4825</v>
      </c>
      <c r="F985" s="1" t="s">
        <v>51</v>
      </c>
      <c r="G985" s="1">
        <v>400.0</v>
      </c>
      <c r="H985" s="1" t="s">
        <v>52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53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54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56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57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f t="shared" si="1"/>
        <v>305</v>
      </c>
      <c r="AM985" s="1">
        <v>400.0</v>
      </c>
      <c r="AN985" s="1">
        <v>412.0</v>
      </c>
      <c r="AO985" s="1">
        <v>278.0</v>
      </c>
      <c r="AP985" s="2">
        <v>11.0</v>
      </c>
      <c r="AQ985" s="1">
        <v>122.0</v>
      </c>
      <c r="AR985" s="1">
        <v>122.0</v>
      </c>
      <c r="AS985" s="1" t="s">
        <v>4826</v>
      </c>
      <c r="AT985" s="3" t="str">
        <f>HYPERLINK("https://icf.clappia.com/app/GMB253374/submission/MJM95206729/ICF247370-GMB253374-2aj9j32ofla160000000/SIG-20250630_1804jijdf.jpeg", "SIG-20250630_1804jijdf.jpeg")</f>
        <v>SIG-20250630_1804jijdf.jpeg</v>
      </c>
      <c r="AU985" s="1" t="s">
        <v>4827</v>
      </c>
      <c r="AV985" s="3" t="str">
        <f>HYPERLINK("https://icf.clappia.com/app/GMB253374/submission/MJM95206729/ICF247370-GMB253374-4ec1h4eali780000000/SIG-20250630_1804jamef.jpeg", "SIG-20250630_1804jamef.jpeg")</f>
        <v>SIG-20250630_1804jamef.jpeg</v>
      </c>
      <c r="AW985" s="1" t="s">
        <v>4828</v>
      </c>
      <c r="AX985" s="3" t="str">
        <f>HYPERLINK("https://icf.clappia.com/app/GMB253374/submission/MJM95206729/ICF247370-GMB253374-4ei6f4fh1km600000000/SIG-20250630_180419ccfe.jpeg", "SIG-20250630_180419ccfe.jpeg")</f>
        <v>SIG-20250630_180419ccfe.jpeg</v>
      </c>
      <c r="AY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2" t="s">
        <v>47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146.0</v>
      </c>
      <c r="H986" s="1" t="s">
        <v>52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53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54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56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57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f t="shared" si="1"/>
        <v>146</v>
      </c>
      <c r="AM986" s="1">
        <v>146.0</v>
      </c>
      <c r="AN986" s="1">
        <v>158.0</v>
      </c>
      <c r="AO986" s="1">
        <v>136.0</v>
      </c>
      <c r="AP986" s="2">
        <v>11.0</v>
      </c>
      <c r="AQ986" s="1">
        <v>10.0</v>
      </c>
      <c r="AR986" s="1">
        <v>10.0</v>
      </c>
      <c r="AS986" s="1" t="s">
        <v>1888</v>
      </c>
      <c r="AT986" s="3" t="str">
        <f>HYPERLINK("https://icf.clappia.com/app/GMB253374/submission/ZXJ08047363/ICF247370-GMB253374-343hm5c0ee2200000000/SIG-20250630_153413049n.jpeg", "SIG-20250630_153413049n.jpeg")</f>
        <v>SIG-20250630_153413049n.jpeg</v>
      </c>
      <c r="AU986" s="1" t="s">
        <v>1889</v>
      </c>
      <c r="AV986" s="3" t="str">
        <f>HYPERLINK("https://icf.clappia.com/app/GMB253374/submission/ZXJ08047363/ICF247370-GMB253374-4hl17glffn4o00000000/SIG-20250630_1519192aa1.jpeg", "SIG-20250630_1519192aa1.jpeg")</f>
        <v>SIG-20250630_1519192aa1.jpeg</v>
      </c>
      <c r="AW986" s="1" t="s">
        <v>4832</v>
      </c>
      <c r="AX986" s="3" t="str">
        <f>HYPERLINK("https://icf.clappia.com/app/GMB253374/submission/ZXJ08047363/ICF247370-GMB253374-dj99ocbeean20000000/SIG-20250630_15347baip.jpeg", "SIG-20250630_15347baip.jpeg")</f>
        <v>SIG-20250630_15347baip.jpeg</v>
      </c>
      <c r="AY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2" t="s">
        <v>47</v>
      </c>
      <c r="C987" s="1" t="s">
        <v>4834</v>
      </c>
      <c r="D987" s="1" t="s">
        <v>4834</v>
      </c>
      <c r="E987" s="1" t="s">
        <v>4835</v>
      </c>
      <c r="F987" s="1" t="s">
        <v>51</v>
      </c>
      <c r="G987" s="1">
        <v>220.0</v>
      </c>
      <c r="H987" s="1" t="s">
        <v>52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53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54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56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57</v>
      </c>
      <c r="AG987" s="1" t="s">
        <v>55</v>
      </c>
      <c r="AH987" s="1" t="s">
        <v>55</v>
      </c>
      <c r="AI987" s="1" t="s">
        <v>55</v>
      </c>
      <c r="AJ987" s="1" t="s">
        <v>55</v>
      </c>
      <c r="AK987" s="1" t="s">
        <v>55</v>
      </c>
      <c r="AL987" s="1">
        <f t="shared" si="1"/>
        <v>370</v>
      </c>
      <c r="AM987" s="1">
        <v>220.0</v>
      </c>
      <c r="AN987" s="1">
        <v>232.0</v>
      </c>
      <c r="AO987" s="1">
        <v>220.0</v>
      </c>
      <c r="AP987" s="2">
        <v>11.0</v>
      </c>
      <c r="AQ987" s="1">
        <v>0.0</v>
      </c>
      <c r="AR987" s="1">
        <v>0.0</v>
      </c>
      <c r="AS987" s="1" t="s">
        <v>3879</v>
      </c>
      <c r="AT987" s="3" t="str">
        <f>HYPERLINK("https://icf.clappia.com/app/GMB253374/submission/DJR47577182/ICF247370-GMB253374-3hg5nkl2g17800000000/SIG-20250630_17137o48n.jpeg", "SIG-20250630_17137o48n.jpeg")</f>
        <v>SIG-20250630_17137o48n.jpeg</v>
      </c>
      <c r="AU987" s="1" t="s">
        <v>3880</v>
      </c>
      <c r="AV987" s="3" t="str">
        <f>HYPERLINK("https://icf.clappia.com/app/GMB253374/submission/DJR47577182/ICF247370-GMB253374-29432mkc5pp8k000000/SIG-20250630_17141hkpp.jpeg", "SIG-20250630_17141hkpp.jpeg")</f>
        <v>SIG-20250630_17141hkpp.jpeg</v>
      </c>
      <c r="AW987" s="1" t="s">
        <v>4836</v>
      </c>
      <c r="AX987" s="3" t="str">
        <f>HYPERLINK("https://icf.clappia.com/app/GMB253374/submission/DJR47577182/ICF247370-GMB253374-3g93dfdd89a800000000/SIG-20250630_17176ajd7.jpeg", "SIG-20250630_17176ajd7.jpeg")</f>
        <v>SIG-20250630_17176ajd7.jpeg</v>
      </c>
      <c r="AY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2" t="s">
        <v>47</v>
      </c>
      <c r="C988" s="1" t="s">
        <v>4838</v>
      </c>
      <c r="D988" s="1" t="s">
        <v>4838</v>
      </c>
      <c r="E988" s="1" t="s">
        <v>4839</v>
      </c>
      <c r="F988" s="1" t="s">
        <v>51</v>
      </c>
      <c r="G988" s="1">
        <v>100.0</v>
      </c>
      <c r="H988" s="1" t="s">
        <v>52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53</v>
      </c>
      <c r="O988" s="1" t="s">
        <v>55</v>
      </c>
      <c r="P988" s="1" t="s">
        <v>55</v>
      </c>
      <c r="Q988" s="1" t="s">
        <v>55</v>
      </c>
      <c r="R988" s="1" t="s">
        <v>55</v>
      </c>
      <c r="S988" s="1" t="s">
        <v>55</v>
      </c>
      <c r="T988" s="1" t="s">
        <v>54</v>
      </c>
      <c r="U988" s="1" t="s">
        <v>55</v>
      </c>
      <c r="V988" s="1" t="s">
        <v>55</v>
      </c>
      <c r="W988" s="1" t="s">
        <v>55</v>
      </c>
      <c r="X988" s="1" t="s">
        <v>55</v>
      </c>
      <c r="Y988" s="1" t="s">
        <v>55</v>
      </c>
      <c r="Z988" s="1" t="s">
        <v>56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55</v>
      </c>
      <c r="AF988" s="1" t="s">
        <v>57</v>
      </c>
      <c r="AG988" s="1" t="s">
        <v>55</v>
      </c>
      <c r="AH988" s="1" t="s">
        <v>55</v>
      </c>
      <c r="AI988" s="1" t="s">
        <v>55</v>
      </c>
      <c r="AJ988" s="1" t="s">
        <v>55</v>
      </c>
      <c r="AK988" s="1" t="s">
        <v>55</v>
      </c>
      <c r="AL988" s="1">
        <f t="shared" si="1"/>
        <v>94</v>
      </c>
      <c r="AM988" s="1">
        <v>100.0</v>
      </c>
      <c r="AN988" s="1">
        <v>112.0</v>
      </c>
      <c r="AO988" s="1">
        <v>94.0</v>
      </c>
      <c r="AP988" s="2">
        <v>11.0</v>
      </c>
      <c r="AQ988" s="1">
        <v>6.0</v>
      </c>
      <c r="AR988" s="1">
        <v>6.0</v>
      </c>
      <c r="AS988" s="1" t="s">
        <v>1566</v>
      </c>
      <c r="AT988" s="3" t="str">
        <f>HYPERLINK("https://icf.clappia.com/app/GMB253374/submission/OAY41207360/ICF247370-GMB253374-3io7h90j3jk800000000/SIG-20250630_12598dg25.jpeg", "SIG-20250630_12598dg25.jpeg")</f>
        <v>SIG-20250630_12598dg25.jpeg</v>
      </c>
      <c r="AU988" s="1" t="s">
        <v>4840</v>
      </c>
      <c r="AV988" s="3" t="str">
        <f>HYPERLINK("https://icf.clappia.com/app/GMB253374/submission/OAY41207360/ICF247370-GMB253374-4l371b1jol1600000000/SIG-20250630_131619if72.jpeg", "SIG-20250630_131619if72.jpeg")</f>
        <v>SIG-20250630_131619if72.jpeg</v>
      </c>
      <c r="AW988" s="1" t="s">
        <v>4841</v>
      </c>
      <c r="AX988" s="3" t="str">
        <f>HYPERLINK("https://icf.clappia.com/app/GMB253374/submission/OAY41207360/ICF247370-GMB253374-5ne3a79gal2o0000000/SIG-20250630_130212c305.jpeg", "SIG-20250630_130212c305.jpeg")</f>
        <v>SIG-20250630_130212c305.jpeg</v>
      </c>
      <c r="AY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2" t="s">
        <v>47</v>
      </c>
      <c r="C989" s="1" t="s">
        <v>4843</v>
      </c>
      <c r="D989" s="1" t="s">
        <v>4843</v>
      </c>
      <c r="E989" s="1" t="s">
        <v>4844</v>
      </c>
      <c r="F989" s="1" t="s">
        <v>51</v>
      </c>
      <c r="G989" s="1">
        <v>300.0</v>
      </c>
      <c r="H989" s="1" t="s">
        <v>52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53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54</v>
      </c>
      <c r="U989" s="1">
        <v>26.0</v>
      </c>
      <c r="V989" s="1">
        <v>26.0</v>
      </c>
      <c r="W989" s="1">
        <v>12.0</v>
      </c>
      <c r="X989" s="1" t="s">
        <v>55</v>
      </c>
      <c r="Y989" s="1" t="s">
        <v>55</v>
      </c>
      <c r="Z989" s="1" t="s">
        <v>56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57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f t="shared" si="1"/>
        <v>226</v>
      </c>
      <c r="AM989" s="1">
        <v>300.0</v>
      </c>
      <c r="AN989" s="1">
        <v>312.0</v>
      </c>
      <c r="AO989" s="1">
        <v>106.0</v>
      </c>
      <c r="AP989" s="2">
        <v>11.0</v>
      </c>
      <c r="AQ989" s="1">
        <v>194.0</v>
      </c>
      <c r="AR989" s="1">
        <v>194.0</v>
      </c>
      <c r="AS989" s="1" t="s">
        <v>4845</v>
      </c>
      <c r="AT989" s="3" t="str">
        <f>HYPERLINK("https://icf.clappia.com/app/GMB253374/submission/OYV62173863/ICF247370-GMB253374-140oln4i9ol280000000/SIG-20250630_1730f708.jpeg", "SIG-20250630_1730f708.jpeg")</f>
        <v>SIG-20250630_1730f708.jpeg</v>
      </c>
      <c r="AU989" s="1" t="s">
        <v>4846</v>
      </c>
      <c r="AV989" s="3" t="str">
        <f>HYPERLINK("https://icf.clappia.com/app/GMB253374/submission/OYV62173863/ICF247370-GMB253374-48g4gf7e9dkg00000000/SIG-20250630_1730lc2jh.jpeg", "SIG-20250630_1730lc2jh.jpeg")</f>
        <v>SIG-20250630_1730lc2jh.jpeg</v>
      </c>
      <c r="AW989" s="1" t="s">
        <v>4847</v>
      </c>
      <c r="AX989" s="3" t="str">
        <f>HYPERLINK("https://icf.clappia.com/app/GMB253374/submission/OYV62173863/ICF247370-GMB253374-3mppo2g3pb1600000000/SIG-20250630_17314cp2a.jpeg", "SIG-20250630_17314cp2a.jpeg")</f>
        <v>SIG-20250630_17314cp2a.jpeg</v>
      </c>
      <c r="AY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2" t="s">
        <v>47</v>
      </c>
      <c r="C990" s="1" t="s">
        <v>4849</v>
      </c>
      <c r="D990" s="1" t="s">
        <v>4849</v>
      </c>
      <c r="E990" s="1" t="s">
        <v>4850</v>
      </c>
      <c r="F990" s="1" t="s">
        <v>51</v>
      </c>
      <c r="G990" s="1">
        <v>100.0</v>
      </c>
      <c r="H990" s="1" t="s">
        <v>52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53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54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56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57</v>
      </c>
      <c r="AG990" s="1" t="s">
        <v>55</v>
      </c>
      <c r="AH990" s="1" t="s">
        <v>55</v>
      </c>
      <c r="AI990" s="1" t="s">
        <v>55</v>
      </c>
      <c r="AJ990" s="1" t="s">
        <v>55</v>
      </c>
      <c r="AK990" s="1" t="s">
        <v>55</v>
      </c>
      <c r="AL990" s="1">
        <f t="shared" si="1"/>
        <v>98</v>
      </c>
      <c r="AM990" s="1">
        <v>100.0</v>
      </c>
      <c r="AN990" s="1">
        <v>112.0</v>
      </c>
      <c r="AO990" s="1">
        <v>98.0</v>
      </c>
      <c r="AP990" s="2">
        <v>11.0</v>
      </c>
      <c r="AQ990" s="1">
        <v>2.0</v>
      </c>
      <c r="AR990" s="1">
        <v>2.0</v>
      </c>
      <c r="AS990" s="1" t="s">
        <v>2934</v>
      </c>
      <c r="AT990" s="3" t="str">
        <f>HYPERLINK("https://icf.clappia.com/app/GMB253374/submission/QJT10872541/ICF247370-GMB253374-2amhbk2dnpcja0000000/SIG-20250630_1720b98mm.jpeg", "SIG-20250630_1720b98mm.jpeg")</f>
        <v>SIG-20250630_1720b98mm.jpeg</v>
      </c>
      <c r="AU990" s="1" t="s">
        <v>2936</v>
      </c>
      <c r="AV990" s="3" t="str">
        <f>HYPERLINK("https://icf.clappia.com/app/GMB253374/submission/QJT10872541/ICF247370-GMB253374-hm1igm2ei8800000000/SIG-20250630_125814kgk6.jpeg", "SIG-20250630_125814kgk6.jpeg")</f>
        <v>SIG-20250630_125814kgk6.jpeg</v>
      </c>
      <c r="AW990" s="1" t="s">
        <v>2935</v>
      </c>
      <c r="AX990" s="3" t="str">
        <f>HYPERLINK("https://icf.clappia.com/app/GMB253374/submission/QJT10872541/ICF247370-GMB253374-1p8ac870hniac0000000/SIG-20250630_17223pj8g.jpeg", "SIG-20250630_17223pj8g.jpeg")</f>
        <v>SIG-20250630_17223pj8g.jpeg</v>
      </c>
      <c r="AY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2" t="s">
        <v>47</v>
      </c>
      <c r="C991" s="1" t="s">
        <v>4852</v>
      </c>
      <c r="D991" s="1" t="s">
        <v>4852</v>
      </c>
      <c r="E991" s="1" t="s">
        <v>4853</v>
      </c>
      <c r="F991" s="1" t="s">
        <v>51</v>
      </c>
      <c r="G991" s="1">
        <v>242.0</v>
      </c>
      <c r="H991" s="1" t="s">
        <v>52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53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54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56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57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f t="shared" si="1"/>
        <v>242</v>
      </c>
      <c r="AM991" s="1">
        <v>242.0</v>
      </c>
      <c r="AN991" s="1">
        <v>254.0</v>
      </c>
      <c r="AO991" s="1">
        <v>242.0</v>
      </c>
      <c r="AP991" s="2">
        <v>11.0</v>
      </c>
      <c r="AQ991" s="1">
        <v>0.0</v>
      </c>
      <c r="AR991" s="1">
        <v>0.0</v>
      </c>
      <c r="AS991" s="1" t="s">
        <v>2490</v>
      </c>
      <c r="AT991" s="3" t="str">
        <f>HYPERLINK("https://icf.clappia.com/app/GMB253374/submission/JFJ62737058/ICF247370-GMB253374-167ph052o5jm0000000/SIG-20250630_171617nheb.jpeg", "SIG-20250630_171617nheb.jpeg")</f>
        <v>SIG-20250630_171617nheb.jpeg</v>
      </c>
      <c r="AU991" s="1" t="s">
        <v>4854</v>
      </c>
      <c r="AV991" s="3" t="str">
        <f>HYPERLINK("https://icf.clappia.com/app/GMB253374/submission/JFJ62737058/ICF247370-GMB253374-1541lbh6k2i400000000/SIG-20250630_171611d1na.jpeg", "SIG-20250630_171611d1na.jpeg")</f>
        <v>SIG-20250630_171611d1na.jpeg</v>
      </c>
      <c r="AW991" s="1" t="s">
        <v>3737</v>
      </c>
      <c r="AX991" s="3" t="str">
        <f>HYPERLINK("https://icf.clappia.com/app/GMB253374/submission/JFJ62737058/ICF247370-GMB253374-4c49hnhd793800000000/SIG-20250630_171738ggg.jpeg", "SIG-20250630_171738ggg.jpeg")</f>
        <v>SIG-20250630_171738ggg.jpeg</v>
      </c>
      <c r="AY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2" t="s">
        <v>47</v>
      </c>
      <c r="C992" s="1" t="s">
        <v>4856</v>
      </c>
      <c r="D992" s="1" t="s">
        <v>4856</v>
      </c>
      <c r="E992" s="1" t="s">
        <v>4857</v>
      </c>
      <c r="F992" s="1" t="s">
        <v>51</v>
      </c>
      <c r="G992" s="1">
        <v>176.0</v>
      </c>
      <c r="H992" s="1" t="s">
        <v>52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53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54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56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57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f t="shared" si="1"/>
        <v>150</v>
      </c>
      <c r="AM992" s="1">
        <v>176.0</v>
      </c>
      <c r="AN992" s="1">
        <v>188.0</v>
      </c>
      <c r="AO992" s="1">
        <v>148.0</v>
      </c>
      <c r="AP992" s="2">
        <v>11.0</v>
      </c>
      <c r="AQ992" s="1">
        <v>28.0</v>
      </c>
      <c r="AR992" s="1">
        <v>28.0</v>
      </c>
      <c r="AS992" s="1" t="s">
        <v>3921</v>
      </c>
      <c r="AT992" s="3" t="str">
        <f>HYPERLINK("https://icf.clappia.com/app/GMB253374/submission/KCD06759977/ICF247370-GMB253374-5f28gbd3m58400000000/SIG-20250630_1712hpk1o.jpeg", "SIG-20250630_1712hpk1o.jpeg")</f>
        <v>SIG-20250630_1712hpk1o.jpeg</v>
      </c>
      <c r="AU992" s="1" t="s">
        <v>4858</v>
      </c>
      <c r="AV992" s="3" t="str">
        <f>HYPERLINK("https://icf.clappia.com/app/GMB253374/submission/KCD06759977/ICF247370-GMB253374-nokj712k6a3a0000000/SIG-20250630_1712nnkmf.jpeg", "SIG-20250630_1712nnkmf.jpeg")</f>
        <v>SIG-20250630_1712nnkmf.jpeg</v>
      </c>
      <c r="AW992" s="1" t="s">
        <v>4859</v>
      </c>
      <c r="AX992" s="3" t="str">
        <f>HYPERLINK("https://icf.clappia.com/app/GMB253374/submission/KCD06759977/ICF247370-GMB253374-6a2751ji4kb200000000/SIG-20250630_171311ih5b.jpeg", "SIG-20250630_171311ih5b.jpeg")</f>
        <v>SIG-20250630_171311ih5b.jpeg</v>
      </c>
      <c r="AY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2" t="s">
        <v>47</v>
      </c>
      <c r="C993" s="1" t="s">
        <v>4861</v>
      </c>
      <c r="D993" s="1" t="s">
        <v>4861</v>
      </c>
      <c r="E993" s="1" t="s">
        <v>4862</v>
      </c>
      <c r="F993" s="1" t="s">
        <v>51</v>
      </c>
      <c r="G993" s="1">
        <v>110.0</v>
      </c>
      <c r="H993" s="1" t="s">
        <v>52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53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54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56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57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f t="shared" si="1"/>
        <v>189</v>
      </c>
      <c r="AM993" s="1">
        <v>110.0</v>
      </c>
      <c r="AN993" s="1">
        <v>122.0</v>
      </c>
      <c r="AO993" s="1">
        <v>80.0</v>
      </c>
      <c r="AP993" s="2">
        <v>11.0</v>
      </c>
      <c r="AQ993" s="1">
        <v>30.0</v>
      </c>
      <c r="AR993" s="1">
        <v>30.0</v>
      </c>
      <c r="AS993" s="1" t="s">
        <v>779</v>
      </c>
      <c r="AT993" s="3" t="str">
        <f>HYPERLINK("https://icf.clappia.com/app/GMB253374/submission/YRS03343154/ICF247370-GMB253374-57fgb05loecm00000000/SIG-20250630_1246a0hmf.jpeg", "SIG-20250630_1246a0hmf.jpeg")</f>
        <v>SIG-20250630_1246a0hmf.jpeg</v>
      </c>
      <c r="AU993" s="1" t="s">
        <v>780</v>
      </c>
      <c r="AV993" s="3" t="str">
        <f>HYPERLINK("https://icf.clappia.com/app/GMB253374/submission/YRS03343154/ICF247370-GMB253374-pnkj66m9b2de0000000/SIG-20250630_12439flk9.jpeg", "SIG-20250630_12439flk9.jpeg")</f>
        <v>SIG-20250630_12439flk9.jpeg</v>
      </c>
      <c r="AW993" s="1" t="s">
        <v>781</v>
      </c>
      <c r="AX993" s="3" t="str">
        <f>HYPERLINK("https://icf.clappia.com/app/GMB253374/submission/YRS03343154/ICF247370-GMB253374-3od3cdii539m00000000/SIG-20250630_1243175ho.jpeg", "SIG-20250630_1243175ho.jpeg")</f>
        <v>SIG-20250630_1243175ho.jpeg</v>
      </c>
      <c r="AY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2" t="s">
        <v>47</v>
      </c>
      <c r="C994" s="1" t="s">
        <v>4864</v>
      </c>
      <c r="D994" s="1" t="s">
        <v>4864</v>
      </c>
      <c r="E994" s="1" t="s">
        <v>4865</v>
      </c>
      <c r="F994" s="1" t="s">
        <v>51</v>
      </c>
      <c r="G994" s="1">
        <v>450.0</v>
      </c>
      <c r="H994" s="1" t="s">
        <v>52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53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54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56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57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f t="shared" si="1"/>
        <v>490</v>
      </c>
      <c r="AM994" s="1">
        <v>450.0</v>
      </c>
      <c r="AN994" s="1">
        <v>462.0</v>
      </c>
      <c r="AO994" s="1">
        <v>379.0</v>
      </c>
      <c r="AP994" s="2">
        <v>11.0</v>
      </c>
      <c r="AQ994" s="1">
        <v>71.0</v>
      </c>
      <c r="AR994" s="1">
        <v>71.0</v>
      </c>
      <c r="AS994" s="1" t="s">
        <v>4866</v>
      </c>
      <c r="AT994" s="3" t="str">
        <f>HYPERLINK("https://icf.clappia.com/app/GMB253374/submission/JRM39741635/ICF247370-GMB253374-24i826hk0mhk40000000/SIG-20250630_1653310n6.jpeg", "SIG-20250630_1653310n6.jpeg")</f>
        <v>SIG-20250630_1653310n6.jpeg</v>
      </c>
      <c r="AU994" s="1" t="s">
        <v>4867</v>
      </c>
      <c r="AV994" s="3" t="str">
        <f>HYPERLINK("https://icf.clappia.com/app/GMB253374/submission/JRM39741635/ICF247370-GMB253374-193pn4e9nmhao0000000/SIG-20250630_16544593g.jpeg", "SIG-20250630_16544593g.jpeg")</f>
        <v>SIG-20250630_16544593g.jpeg</v>
      </c>
      <c r="AW994" s="1" t="s">
        <v>4868</v>
      </c>
      <c r="AX994" s="3" t="str">
        <f>HYPERLINK("https://icf.clappia.com/app/GMB253374/submission/JRM39741635/ICF247370-GMB253374-3p2345of1mem00000000/SIG-20250630_1655bk20g.jpeg", "SIG-20250630_1655bk20g.jpeg")</f>
        <v>SIG-20250630_1655bk20g.jpeg</v>
      </c>
      <c r="AY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2" t="s">
        <v>47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250.0</v>
      </c>
      <c r="H995" s="1" t="s">
        <v>52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53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54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56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57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f t="shared" si="1"/>
        <v>250</v>
      </c>
      <c r="AM995" s="1">
        <v>250.0</v>
      </c>
      <c r="AN995" s="1">
        <v>262.0</v>
      </c>
      <c r="AO995" s="1">
        <v>250.0</v>
      </c>
      <c r="AP995" s="2">
        <v>11.0</v>
      </c>
      <c r="AQ995" s="1">
        <v>0.0</v>
      </c>
      <c r="AR995" s="1">
        <v>0.0</v>
      </c>
      <c r="AS995" s="1" t="s">
        <v>4872</v>
      </c>
      <c r="AT995" s="3" t="str">
        <f>HYPERLINK("https://icf.clappia.com/app/GMB253374/submission/WMH33741992/ICF247370-GMB253374-4g0364flmdm400000000/SIG-20250630_16531bmh2.jpeg", "SIG-20250630_16531bmh2.jpeg")</f>
        <v>SIG-20250630_16531bmh2.jpeg</v>
      </c>
      <c r="AU995" s="1" t="s">
        <v>4873</v>
      </c>
      <c r="AV995" s="3" t="str">
        <f>HYPERLINK("https://icf.clappia.com/app/GMB253374/submission/WMH33741992/ICF247370-GMB253374-6agll25ompp600000000/SIG-20250630_16535bmg0.jpeg", "SIG-20250630_16535bmg0.jpeg")</f>
        <v>SIG-20250630_16535bmg0.jpeg</v>
      </c>
      <c r="AW995" s="1" t="s">
        <v>4874</v>
      </c>
      <c r="AX995" s="3" t="str">
        <f>HYPERLINK("https://icf.clappia.com/app/GMB253374/submission/WMH33741992/ICF247370-GMB253374-1oaemlipgip7m0000000/SIG-20250630_1651pn34.jpeg", "SIG-20250630_1651pn34.jpeg")</f>
        <v>SIG-20250630_1651pn34.jpeg</v>
      </c>
      <c r="AY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2" t="s">
        <v>47</v>
      </c>
      <c r="C996" s="1" t="s">
        <v>4876</v>
      </c>
      <c r="D996" s="1" t="s">
        <v>4876</v>
      </c>
      <c r="E996" s="1" t="s">
        <v>4877</v>
      </c>
      <c r="F996" s="1" t="s">
        <v>51</v>
      </c>
      <c r="G996" s="1">
        <v>250.0</v>
      </c>
      <c r="H996" s="1" t="s">
        <v>52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53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54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56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57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f t="shared" si="1"/>
        <v>240</v>
      </c>
      <c r="AM996" s="1">
        <v>250.0</v>
      </c>
      <c r="AN996" s="1">
        <v>262.0</v>
      </c>
      <c r="AO996" s="1">
        <v>240.0</v>
      </c>
      <c r="AP996" s="2">
        <v>11.0</v>
      </c>
      <c r="AQ996" s="1">
        <v>10.0</v>
      </c>
      <c r="AR996" s="1">
        <v>10.0</v>
      </c>
      <c r="AS996" s="1" t="s">
        <v>4241</v>
      </c>
      <c r="AT996" s="3" t="str">
        <f>HYPERLINK("https://icf.clappia.com/app/GMB253374/submission/VJD58517894/ICF247370-GMB253374-71gid88nlj2c0000000/SIG-20250630_1556i1a2.jpeg", "SIG-20250630_1556i1a2.jpeg")</f>
        <v>SIG-20250630_1556i1a2.jpeg</v>
      </c>
      <c r="AU996" s="1" t="s">
        <v>4283</v>
      </c>
      <c r="AV996" s="3" t="str">
        <f>HYPERLINK("https://icf.clappia.com/app/GMB253374/submission/VJD58517894/ICF247370-GMB253374-3ca1img075b400000000/SIG-20250630_1601149mmc.jpeg", "SIG-20250630_1601149mmc.jpeg")</f>
        <v>SIG-20250630_1601149mmc.jpeg</v>
      </c>
      <c r="AW996" s="1" t="s">
        <v>4878</v>
      </c>
      <c r="AX996" s="3" t="str">
        <f>HYPERLINK("https://icf.clappia.com/app/GMB253374/submission/VJD58517894/ICF247370-GMB253374-5p8og8gnp3a400000000/SIG-20250630_16412dp22.jpeg", "SIG-20250630_16412dp22.jpeg")</f>
        <v>SIG-20250630_16412dp22.jpeg</v>
      </c>
      <c r="AY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2" t="s">
        <v>47</v>
      </c>
      <c r="C997" s="1" t="s">
        <v>2905</v>
      </c>
      <c r="D997" s="1" t="s">
        <v>2905</v>
      </c>
      <c r="E997" s="1" t="s">
        <v>4880</v>
      </c>
      <c r="F997" s="1" t="s">
        <v>51</v>
      </c>
      <c r="G997" s="1">
        <v>93.0</v>
      </c>
      <c r="H997" s="1" t="s">
        <v>52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53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54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56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57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f t="shared" si="1"/>
        <v>40</v>
      </c>
      <c r="AM997" s="1">
        <v>93.0</v>
      </c>
      <c r="AN997" s="1">
        <v>105.0</v>
      </c>
      <c r="AO997" s="1">
        <v>40.0</v>
      </c>
      <c r="AP997" s="2">
        <v>11.0</v>
      </c>
      <c r="AQ997" s="1">
        <v>53.0</v>
      </c>
      <c r="AR997" s="1">
        <v>53.0</v>
      </c>
      <c r="AS997" s="1" t="s">
        <v>4881</v>
      </c>
      <c r="AT997" s="3" t="str">
        <f>HYPERLINK("https://icf.clappia.com/app/GMB253374/submission/EWO93675810/ICF247370-GMB253374-3mnmc85e5hpa00000000/SIG-20250630_1512ahk2a.jpeg", "SIG-20250630_1512ahk2a.jpeg")</f>
        <v>SIG-20250630_1512ahk2a.jpeg</v>
      </c>
      <c r="AU997" s="1" t="s">
        <v>954</v>
      </c>
      <c r="AV997" s="3" t="str">
        <f>HYPERLINK("https://icf.clappia.com/app/GMB253374/submission/EWO93675810/ICF247370-GMB253374-2lkonom3h5nc00000000/SIG-20250630_1520b52mi.jpeg", "SIG-20250630_1520b52mi.jpeg")</f>
        <v>SIG-20250630_1520b52mi.jpeg</v>
      </c>
      <c r="AW997" s="1" t="s">
        <v>955</v>
      </c>
      <c r="AX997" s="3" t="str">
        <f>HYPERLINK("https://icf.clappia.com/app/GMB253374/submission/EWO93675810/ICF247370-GMB253374-cdh6jgeofi3i0000000/SIG-20250630_151313o4ep.jpeg", "SIG-20250630_151313o4ep.jpeg")</f>
        <v>SIG-20250630_151313o4ep.jpeg</v>
      </c>
      <c r="AY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2" t="s">
        <v>47</v>
      </c>
      <c r="C998" s="1" t="s">
        <v>4883</v>
      </c>
      <c r="D998" s="1" t="s">
        <v>4883</v>
      </c>
      <c r="E998" s="1" t="s">
        <v>4884</v>
      </c>
      <c r="F998" s="1" t="s">
        <v>51</v>
      </c>
      <c r="G998" s="1">
        <v>250.0</v>
      </c>
      <c r="H998" s="1" t="s">
        <v>52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53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54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56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57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f t="shared" si="1"/>
        <v>220</v>
      </c>
      <c r="AM998" s="1">
        <v>250.0</v>
      </c>
      <c r="AN998" s="1">
        <v>262.0</v>
      </c>
      <c r="AO998" s="1">
        <v>209.0</v>
      </c>
      <c r="AP998" s="2">
        <v>11.0</v>
      </c>
      <c r="AQ998" s="1">
        <v>41.0</v>
      </c>
      <c r="AR998" s="1">
        <v>41.0</v>
      </c>
      <c r="AS998" s="1" t="s">
        <v>2693</v>
      </c>
      <c r="AT998" s="3" t="str">
        <f>HYPERLINK("https://icf.clappia.com/app/GMB253374/submission/UEZ52119610/ICF247370-GMB253374-52k3ppjof9hi00000000/SIG-20250630_163638om4.jpeg", "SIG-20250630_163638om4.jpeg")</f>
        <v>SIG-20250630_163638om4.jpeg</v>
      </c>
      <c r="AU998" s="1" t="s">
        <v>2694</v>
      </c>
      <c r="AV998" s="3" t="str">
        <f>HYPERLINK("https://icf.clappia.com/app/GMB253374/submission/UEZ52119610/ICF247370-GMB253374-gch01m2e4em40000000/SIG-20250630_105414fk28.jpeg", "SIG-20250630_105414fk28.jpeg")</f>
        <v>SIG-20250630_105414fk28.jpeg</v>
      </c>
      <c r="AW998" s="1" t="s">
        <v>2695</v>
      </c>
      <c r="AX998" s="3" t="str">
        <f>HYPERLINK("https://icf.clappia.com/app/GMB253374/submission/UEZ52119610/ICF247370-GMB253374-hm8o8o024h920000000/SIG-20250630_10559gmno.jpeg", "SIG-20250630_10559gmno.jpeg")</f>
        <v>SIG-20250630_10559gmno.jpeg</v>
      </c>
      <c r="AY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2" t="s">
        <v>47</v>
      </c>
      <c r="C999" s="1" t="s">
        <v>4886</v>
      </c>
      <c r="D999" s="1" t="s">
        <v>4886</v>
      </c>
      <c r="E999" s="1" t="s">
        <v>4887</v>
      </c>
      <c r="F999" s="1" t="s">
        <v>51</v>
      </c>
      <c r="G999" s="1">
        <v>162.0</v>
      </c>
      <c r="H999" s="1" t="s">
        <v>52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53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54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56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57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f t="shared" si="1"/>
        <v>162</v>
      </c>
      <c r="AM999" s="1">
        <v>162.0</v>
      </c>
      <c r="AN999" s="1">
        <v>174.0</v>
      </c>
      <c r="AO999" s="1">
        <v>159.0</v>
      </c>
      <c r="AP999" s="2">
        <v>11.0</v>
      </c>
      <c r="AQ999" s="1">
        <v>3.0</v>
      </c>
      <c r="AR999" s="1">
        <v>3.0</v>
      </c>
      <c r="AS999" s="1" t="s">
        <v>3799</v>
      </c>
      <c r="AT999" s="3" t="str">
        <f>HYPERLINK("https://icf.clappia.com/app/GMB253374/submission/FXG10233667/ICF247370-GMB253374-389ini2dfca600000000/SIG-20250630_163610lp3i.jpeg", "SIG-20250630_163610lp3i.jpeg")</f>
        <v>SIG-20250630_163610lp3i.jpeg</v>
      </c>
      <c r="AU999" s="1" t="s">
        <v>4888</v>
      </c>
      <c r="AV999" s="3" t="str">
        <f>HYPERLINK("https://icf.clappia.com/app/GMB253374/submission/FXG10233667/ICF247370-GMB253374-knjdcninbc3a0000000/SIG-20250630_16323g6a7.jpeg", "SIG-20250630_16323g6a7.jpeg")</f>
        <v>SIG-20250630_16323g6a7.jpeg</v>
      </c>
      <c r="AW999" s="1" t="s">
        <v>4889</v>
      </c>
      <c r="AX999" s="3" t="str">
        <f>HYPERLINK("https://icf.clappia.com/app/GMB253374/submission/FXG10233667/ICF247370-GMB253374-2af560fceb8g80000000/SIG-20250630_163618a4im.jpeg", "SIG-20250630_163618a4im.jpeg")</f>
        <v>SIG-20250630_163618a4im.jpeg</v>
      </c>
      <c r="AY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2" t="s">
        <v>47</v>
      </c>
      <c r="C1000" s="1" t="s">
        <v>4891</v>
      </c>
      <c r="D1000" s="1" t="s">
        <v>4891</v>
      </c>
      <c r="E1000" s="1" t="s">
        <v>4892</v>
      </c>
      <c r="F1000" s="1" t="s">
        <v>51</v>
      </c>
      <c r="G1000" s="1">
        <v>470.0</v>
      </c>
      <c r="H1000" s="1" t="s">
        <v>52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53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54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56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57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f t="shared" si="1"/>
        <v>443</v>
      </c>
      <c r="AM1000" s="1">
        <v>470.0</v>
      </c>
      <c r="AN1000" s="1">
        <v>482.0</v>
      </c>
      <c r="AO1000" s="1">
        <v>429.0</v>
      </c>
      <c r="AP1000" s="2">
        <v>11.0</v>
      </c>
      <c r="AQ1000" s="1">
        <v>41.0</v>
      </c>
      <c r="AR1000" s="1">
        <v>41.0</v>
      </c>
      <c r="AS1000" s="1" t="s">
        <v>4893</v>
      </c>
      <c r="AT1000" s="3" t="str">
        <f>HYPERLINK("https://icf.clappia.com/app/GMB253374/submission/HCA25665492/ICF247370-GMB253374-1j58g40anfni80000000/SIG-20250630_1633olaeb.jpeg", "SIG-20250630_1633olaeb.jpeg")</f>
        <v>SIG-20250630_1633olaeb.jpeg</v>
      </c>
      <c r="AU1000" s="1" t="s">
        <v>3975</v>
      </c>
      <c r="AV1000" s="3" t="str">
        <f>HYPERLINK("https://icf.clappia.com/app/GMB253374/submission/HCA25665492/ICF247370-GMB253374-1b5lam102bkba0000000/SIG-20250630_1634f3a33.jpeg", "SIG-20250630_1634f3a33.jpeg")</f>
        <v>SIG-20250630_1634f3a33.jpeg</v>
      </c>
      <c r="AW1000" s="1" t="s">
        <v>4894</v>
      </c>
      <c r="AX1000" s="3" t="str">
        <f>HYPERLINK("https://icf.clappia.com/app/GMB253374/submission/HCA25665492/ICF247370-GMB253374-29o56k8kc7m1g0000000/SIG-20250630_1634h2c60.jpeg", "SIG-20250630_1634h2c60.jpeg")</f>
        <v>SIG-20250630_1634h2c60.jpeg</v>
      </c>
      <c r="AY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2" t="s">
        <v>47</v>
      </c>
      <c r="C1001" s="1" t="s">
        <v>4896</v>
      </c>
      <c r="D1001" s="1" t="s">
        <v>4891</v>
      </c>
      <c r="E1001" s="1" t="s">
        <v>4897</v>
      </c>
      <c r="F1001" s="1" t="s">
        <v>51</v>
      </c>
      <c r="G1001" s="1">
        <v>256.0</v>
      </c>
      <c r="H1001" s="1" t="s">
        <v>52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53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54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56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57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f t="shared" si="1"/>
        <v>269</v>
      </c>
      <c r="AM1001" s="1">
        <v>256.0</v>
      </c>
      <c r="AN1001" s="1">
        <v>268.0</v>
      </c>
      <c r="AO1001" s="1">
        <v>208.0</v>
      </c>
      <c r="AP1001" s="2">
        <v>11.0</v>
      </c>
      <c r="AQ1001" s="1">
        <v>48.0</v>
      </c>
      <c r="AR1001" s="1">
        <v>48.0</v>
      </c>
      <c r="AS1001" s="1" t="s">
        <v>4898</v>
      </c>
      <c r="AT1001" s="3" t="str">
        <f>HYPERLINK("https://icf.clappia.com/app/GMB253374/submission/MZF40612812/ICF247370-GMB253374-b4hk2hi9alf40000000/SIG-20250630_132410i9cf.jpeg", "SIG-20250630_132410i9cf.jpeg")</f>
        <v>SIG-20250630_132410i9cf.jpeg</v>
      </c>
      <c r="AU1001" s="1" t="s">
        <v>1709</v>
      </c>
      <c r="AV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W1001" s="1" t="s">
        <v>1710</v>
      </c>
      <c r="AX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Y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2" t="s">
        <v>47</v>
      </c>
      <c r="C1002" s="1" t="s">
        <v>4900</v>
      </c>
      <c r="D1002" s="1" t="s">
        <v>4900</v>
      </c>
      <c r="E1002" s="1" t="s">
        <v>4901</v>
      </c>
      <c r="F1002" s="1" t="s">
        <v>51</v>
      </c>
      <c r="G1002" s="1">
        <v>155.0</v>
      </c>
      <c r="H1002" s="1" t="s">
        <v>52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53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54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56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57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f t="shared" si="1"/>
        <v>234</v>
      </c>
      <c r="AM1002" s="1">
        <v>155.0</v>
      </c>
      <c r="AN1002" s="1">
        <v>167.0</v>
      </c>
      <c r="AO1002" s="1">
        <v>155.0</v>
      </c>
      <c r="AP1002" s="2">
        <v>11.0</v>
      </c>
      <c r="AQ1002" s="1">
        <v>0.0</v>
      </c>
      <c r="AR1002" s="1">
        <v>0.0</v>
      </c>
      <c r="AS1002" s="1" t="s">
        <v>4902</v>
      </c>
      <c r="AT1002" s="3" t="str">
        <f>HYPERLINK("https://icf.clappia.com/app/GMB253374/submission/LQR96085063/ICF247370-GMB253374-3in01amck4c200000000/SIG-20250630_16191cgbp.jpeg", "SIG-20250630_16191cgbp.jpeg")</f>
        <v>SIG-20250630_16191cgbp.jpeg</v>
      </c>
      <c r="AU1002" s="1" t="s">
        <v>4903</v>
      </c>
      <c r="AV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W1002" s="1" t="s">
        <v>654</v>
      </c>
      <c r="AX1002" s="3" t="str">
        <f>HYPERLINK("https://icf.clappia.com/app/GMB253374/submission/LQR96085063/ICF247370-GMB253374-49ap6jcopl3k00000000/SIG-20250630_16208logk.jpeg", "SIG-20250630_16208logk.jpeg")</f>
        <v>SIG-20250630_16208logk.jpeg</v>
      </c>
      <c r="AY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2" t="s">
        <v>47</v>
      </c>
      <c r="C1003" s="1" t="s">
        <v>4905</v>
      </c>
      <c r="D1003" s="1" t="s">
        <v>4905</v>
      </c>
      <c r="E1003" s="1" t="s">
        <v>4906</v>
      </c>
      <c r="F1003" s="1" t="s">
        <v>51</v>
      </c>
      <c r="G1003" s="1">
        <v>500.0</v>
      </c>
      <c r="H1003" s="1" t="s">
        <v>52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53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54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56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57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f t="shared" si="1"/>
        <v>478</v>
      </c>
      <c r="AM1003" s="1">
        <v>500.0</v>
      </c>
      <c r="AN1003" s="1">
        <v>512.0</v>
      </c>
      <c r="AO1003" s="1">
        <v>465.0</v>
      </c>
      <c r="AP1003" s="2">
        <v>11.0</v>
      </c>
      <c r="AQ1003" s="1">
        <v>35.0</v>
      </c>
      <c r="AR1003" s="1">
        <v>35.0</v>
      </c>
      <c r="AS1003" s="1" t="s">
        <v>3416</v>
      </c>
      <c r="AT1003" s="3" t="str">
        <f>HYPERLINK("https://icf.clappia.com/app/GMB253374/submission/XYQ66063858/ICF247370-GMB253374-1j3cib9l9b1gk0000000/SIG-20250630_16256i143.jpeg", "SIG-20250630_16256i143.jpeg")</f>
        <v>SIG-20250630_16256i143.jpeg</v>
      </c>
      <c r="AU1003" s="1" t="s">
        <v>4907</v>
      </c>
      <c r="AV1003" s="3" t="str">
        <f>HYPERLINK("https://icf.clappia.com/app/GMB253374/submission/XYQ66063858/ICF247370-GMB253374-3nm687b8aa8o00000000/SIG-20250630_1626o95f3.jpeg", "SIG-20250630_1626o95f3.jpeg")</f>
        <v>SIG-20250630_1626o95f3.jpeg</v>
      </c>
      <c r="AW1003" s="1" t="s">
        <v>1495</v>
      </c>
      <c r="AX1003" s="3" t="str">
        <f>HYPERLINK("https://icf.clappia.com/app/GMB253374/submission/XYQ66063858/ICF247370-GMB253374-4heomf9i2m1a00000000/SIG-20250630_1627ln5pj.jpeg", "SIG-20250630_1627ln5pj.jpeg")</f>
        <v>SIG-20250630_1627ln5pj.jpeg</v>
      </c>
      <c r="AY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2" t="s">
        <v>47</v>
      </c>
      <c r="C1004" s="1" t="s">
        <v>4905</v>
      </c>
      <c r="D1004" s="1" t="s">
        <v>4905</v>
      </c>
      <c r="E1004" s="1" t="s">
        <v>4865</v>
      </c>
      <c r="F1004" s="1" t="s">
        <v>51</v>
      </c>
      <c r="G1004" s="1">
        <v>450.0</v>
      </c>
      <c r="H1004" s="1" t="s">
        <v>52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53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54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56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57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f t="shared" si="1"/>
        <v>490</v>
      </c>
      <c r="AM1004" s="1">
        <v>450.0</v>
      </c>
      <c r="AN1004" s="1">
        <v>462.0</v>
      </c>
      <c r="AO1004" s="1">
        <v>379.0</v>
      </c>
      <c r="AP1004" s="2">
        <v>11.0</v>
      </c>
      <c r="AQ1004" s="1">
        <v>71.0</v>
      </c>
      <c r="AR1004" s="1">
        <v>71.0</v>
      </c>
      <c r="AS1004" s="1" t="s">
        <v>4909</v>
      </c>
      <c r="AT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U1004" s="1" t="s">
        <v>4910</v>
      </c>
      <c r="AV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W1004" s="1" t="s">
        <v>4868</v>
      </c>
      <c r="AX1004" s="3" t="str">
        <f>HYPERLINK("https://icf.clappia.com/app/GMB253374/submission/YPV96340536/ICF247370-GMB253374-6an638bkp3ag00000000/SIG-20250630_1625pmabf.jpeg", "SIG-20250630_1625pmabf.jpeg")</f>
        <v>SIG-20250630_1625pmabf.jpeg</v>
      </c>
      <c r="AY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2" t="s">
        <v>47</v>
      </c>
      <c r="C1005" s="1" t="s">
        <v>4912</v>
      </c>
      <c r="D1005" s="1" t="s">
        <v>4912</v>
      </c>
      <c r="E1005" s="1" t="s">
        <v>4913</v>
      </c>
      <c r="F1005" s="1" t="s">
        <v>51</v>
      </c>
      <c r="G1005" s="1">
        <v>150.0</v>
      </c>
      <c r="H1005" s="1" t="s">
        <v>52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53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54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56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57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f t="shared" si="1"/>
        <v>131</v>
      </c>
      <c r="AM1005" s="1">
        <v>150.0</v>
      </c>
      <c r="AN1005" s="1">
        <v>162.0</v>
      </c>
      <c r="AO1005" s="1">
        <v>131.0</v>
      </c>
      <c r="AP1005" s="2">
        <v>11.0</v>
      </c>
      <c r="AQ1005" s="1">
        <v>19.0</v>
      </c>
      <c r="AR1005" s="1">
        <v>19.0</v>
      </c>
      <c r="AS1005" s="1" t="s">
        <v>822</v>
      </c>
      <c r="AT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U1005" s="1" t="s">
        <v>3482</v>
      </c>
      <c r="AV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W1005" s="1" t="s">
        <v>3483</v>
      </c>
      <c r="AX1005" s="3" t="str">
        <f>HYPERLINK("https://icf.clappia.com/app/GMB253374/submission/NGM00011530/ICF247370-GMB253374-4ee750od38j200000000/SIG-20250630_16192m5hm.jpeg", "SIG-20250630_16192m5hm.jpeg")</f>
        <v>SIG-20250630_16192m5hm.jpeg</v>
      </c>
      <c r="AY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2" t="s">
        <v>47</v>
      </c>
      <c r="C1006" s="1" t="s">
        <v>4915</v>
      </c>
      <c r="D1006" s="1" t="s">
        <v>4915</v>
      </c>
      <c r="E1006" s="1" t="s">
        <v>4916</v>
      </c>
      <c r="F1006" s="1" t="s">
        <v>51</v>
      </c>
      <c r="G1006" s="1">
        <v>142.0</v>
      </c>
      <c r="H1006" s="1" t="s">
        <v>52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53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54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56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57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f t="shared" si="1"/>
        <v>29</v>
      </c>
      <c r="AM1006" s="1">
        <v>142.0</v>
      </c>
      <c r="AN1006" s="1">
        <v>154.0</v>
      </c>
      <c r="AO1006" s="1">
        <v>29.0</v>
      </c>
      <c r="AP1006" s="2">
        <v>11.0</v>
      </c>
      <c r="AQ1006" s="1">
        <v>113.0</v>
      </c>
      <c r="AR1006" s="1">
        <v>113.0</v>
      </c>
      <c r="AS1006" s="1" t="s">
        <v>4917</v>
      </c>
      <c r="AT1006" s="3" t="str">
        <f>HYPERLINK("https://icf.clappia.com/app/GMB253374/submission/CAL28599111/ICF247370-GMB253374-2opel9a8m0l200000000/SIG-20250630_1557ec7mj.jpeg", "SIG-20250630_1557ec7mj.jpeg")</f>
        <v>SIG-20250630_1557ec7mj.jpeg</v>
      </c>
      <c r="AU1006" s="1" t="s">
        <v>1764</v>
      </c>
      <c r="AV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W1006" s="1" t="s">
        <v>4918</v>
      </c>
      <c r="AX1006" s="3" t="str">
        <f>HYPERLINK("https://icf.clappia.com/app/GMB253374/submission/CAL28599111/ICF247370-GMB253374-44ieam1ge0ck00000000/SIG-20250630_1559d6o86.jpeg", "SIG-20250630_1559d6o86.jpeg")</f>
        <v>SIG-20250630_1559d6o86.jpeg</v>
      </c>
      <c r="AY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2" t="s">
        <v>47</v>
      </c>
      <c r="C1007" s="1" t="s">
        <v>4920</v>
      </c>
      <c r="D1007" s="1" t="s">
        <v>4920</v>
      </c>
      <c r="E1007" s="1" t="s">
        <v>4921</v>
      </c>
      <c r="F1007" s="1" t="s">
        <v>51</v>
      </c>
      <c r="G1007" s="1">
        <v>100.0</v>
      </c>
      <c r="H1007" s="1" t="s">
        <v>52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53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54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56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57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f t="shared" si="1"/>
        <v>137</v>
      </c>
      <c r="AM1007" s="1">
        <v>100.0</v>
      </c>
      <c r="AN1007" s="1">
        <v>112.0</v>
      </c>
      <c r="AO1007" s="1">
        <v>84.0</v>
      </c>
      <c r="AP1007" s="2">
        <v>11.0</v>
      </c>
      <c r="AQ1007" s="1">
        <v>16.0</v>
      </c>
      <c r="AR1007" s="1">
        <v>16.0</v>
      </c>
      <c r="AS1007" s="1" t="s">
        <v>4922</v>
      </c>
      <c r="AT1007" s="3" t="str">
        <f>HYPERLINK("https://icf.clappia.com/app/GMB253374/submission/VII66849461/ICF247370-GMB253374-33dhd1ijjpek00000000/SIG-20250630_161527307.jpeg", "SIG-20250630_161527307.jpeg")</f>
        <v>SIG-20250630_161527307.jpeg</v>
      </c>
      <c r="AU1007" s="1" t="s">
        <v>4923</v>
      </c>
      <c r="AV1007" s="3" t="str">
        <f>HYPERLINK("https://icf.clappia.com/app/GMB253374/submission/VII66849461/ICF247370-GMB253374-3h7kac7kfdg000000000/SIG-20250630_1616lblm6.jpeg", "SIG-20250630_1616lblm6.jpeg")</f>
        <v>SIG-20250630_1616lblm6.jpeg</v>
      </c>
      <c r="AW1007" s="1" t="s">
        <v>1049</v>
      </c>
      <c r="AX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Y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2" t="s">
        <v>47</v>
      </c>
      <c r="C1008" s="1" t="s">
        <v>4920</v>
      </c>
      <c r="D1008" s="1" t="s">
        <v>4920</v>
      </c>
      <c r="E1008" s="1" t="s">
        <v>4925</v>
      </c>
      <c r="F1008" s="1" t="s">
        <v>51</v>
      </c>
      <c r="G1008" s="1">
        <v>200.0</v>
      </c>
      <c r="H1008" s="1" t="s">
        <v>52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53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54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56</v>
      </c>
      <c r="AA1008" s="1" t="s">
        <v>55</v>
      </c>
      <c r="AB1008" s="1" t="s">
        <v>55</v>
      </c>
      <c r="AC1008" s="1" t="s">
        <v>55</v>
      </c>
      <c r="AD1008" s="1" t="s">
        <v>55</v>
      </c>
      <c r="AE1008" s="1" t="s">
        <v>55</v>
      </c>
      <c r="AF1008" s="1" t="s">
        <v>57</v>
      </c>
      <c r="AG1008" s="1" t="s">
        <v>55</v>
      </c>
      <c r="AH1008" s="1" t="s">
        <v>55</v>
      </c>
      <c r="AI1008" s="1" t="s">
        <v>55</v>
      </c>
      <c r="AJ1008" s="1" t="s">
        <v>55</v>
      </c>
      <c r="AK1008" s="1" t="s">
        <v>55</v>
      </c>
      <c r="AL1008" s="1">
        <f t="shared" si="1"/>
        <v>169</v>
      </c>
      <c r="AM1008" s="1">
        <v>200.0</v>
      </c>
      <c r="AN1008" s="1">
        <v>212.0</v>
      </c>
      <c r="AO1008" s="1">
        <v>95.0</v>
      </c>
      <c r="AP1008" s="2">
        <v>11.0</v>
      </c>
      <c r="AQ1008" s="1">
        <v>105.0</v>
      </c>
      <c r="AR1008" s="1">
        <v>105.0</v>
      </c>
      <c r="AS1008" s="1" t="s">
        <v>2830</v>
      </c>
      <c r="AT1008" s="3" t="str">
        <f>HYPERLINK("https://icf.clappia.com/app/GMB253374/submission/CAH20988377/ICF247370-GMB253374-6b93g841jpig00000000/SIG-20250630_1401f6e02.jpeg", "SIG-20250630_1401f6e02.jpeg")</f>
        <v>SIG-20250630_1401f6e02.jpeg</v>
      </c>
      <c r="AU1008" s="1" t="s">
        <v>2831</v>
      </c>
      <c r="AV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W1008" s="1" t="s">
        <v>4926</v>
      </c>
      <c r="AX1008" s="3" t="str">
        <f>HYPERLINK("https://icf.clappia.com/app/GMB253374/submission/CAH20988377/ICF247370-GMB253374-2ofkoikkl65g00000000/SIG-20250630_1512kdf1c.jpeg", "SIG-20250630_1512kdf1c.jpeg")</f>
        <v>SIG-20250630_1512kdf1c.jpeg</v>
      </c>
      <c r="AY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2" t="s">
        <v>47</v>
      </c>
      <c r="C1009" s="1" t="s">
        <v>4928</v>
      </c>
      <c r="D1009" s="1" t="s">
        <v>4928</v>
      </c>
      <c r="E1009" s="1" t="s">
        <v>4929</v>
      </c>
      <c r="F1009" s="1" t="s">
        <v>51</v>
      </c>
      <c r="G1009" s="1">
        <v>150.0</v>
      </c>
      <c r="H1009" s="1" t="s">
        <v>52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53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54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56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57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f t="shared" si="1"/>
        <v>119</v>
      </c>
      <c r="AM1009" s="1">
        <v>150.0</v>
      </c>
      <c r="AN1009" s="1">
        <v>162.0</v>
      </c>
      <c r="AO1009" s="1">
        <v>98.0</v>
      </c>
      <c r="AP1009" s="2">
        <v>11.0</v>
      </c>
      <c r="AQ1009" s="1">
        <v>52.0</v>
      </c>
      <c r="AR1009" s="1">
        <v>52.0</v>
      </c>
      <c r="AS1009" s="1" t="s">
        <v>3033</v>
      </c>
      <c r="AT1009" s="3" t="str">
        <f>HYPERLINK("https://icf.clappia.com/app/GMB253374/submission/KOZ46104365/ICF247370-GMB253374-4ngollbkobe400000000/SIG-20250630_1600i9k9k.jpeg", "SIG-20250630_1600i9k9k.jpeg")</f>
        <v>SIG-20250630_1600i9k9k.jpeg</v>
      </c>
      <c r="AU1009" s="1" t="s">
        <v>3035</v>
      </c>
      <c r="AV1009" s="3" t="str">
        <f>HYPERLINK("https://icf.clappia.com/app/GMB253374/submission/KOZ46104365/ICF247370-GMB253374-2ahlngcb2k6mi0000000/SIG-20250630_1601c70go.jpeg", "SIG-20250630_1601c70go.jpeg")</f>
        <v>SIG-20250630_1601c70go.jpeg</v>
      </c>
      <c r="AW1009" s="1" t="s">
        <v>3034</v>
      </c>
      <c r="AX1009" s="3" t="str">
        <f>HYPERLINK("https://icf.clappia.com/app/GMB253374/submission/KOZ46104365/ICF247370-GMB253374-4da63lj0ldfi00000000/SIG-20250630_1604k72l6.jpeg", "SIG-20250630_1604k72l6.jpeg")</f>
        <v>SIG-20250630_1604k72l6.jpeg</v>
      </c>
      <c r="AY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2" t="s">
        <v>47</v>
      </c>
      <c r="C1010" s="1" t="s">
        <v>4928</v>
      </c>
      <c r="D1010" s="1" t="s">
        <v>4928</v>
      </c>
      <c r="E1010" s="1" t="s">
        <v>4931</v>
      </c>
      <c r="F1010" s="1" t="s">
        <v>51</v>
      </c>
      <c r="G1010" s="1">
        <v>654.0</v>
      </c>
      <c r="H1010" s="1" t="s">
        <v>52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53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54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56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57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f t="shared" si="1"/>
        <v>564</v>
      </c>
      <c r="AM1010" s="1">
        <v>654.0</v>
      </c>
      <c r="AN1010" s="1">
        <v>666.0</v>
      </c>
      <c r="AO1010" s="1">
        <v>564.0</v>
      </c>
      <c r="AP1010" s="2">
        <v>11.0</v>
      </c>
      <c r="AQ1010" s="1">
        <v>90.0</v>
      </c>
      <c r="AR1010" s="1">
        <v>90.0</v>
      </c>
      <c r="AS1010" s="1" t="s">
        <v>3508</v>
      </c>
      <c r="AT1010" s="3" t="str">
        <f>HYPERLINK("https://icf.clappia.com/app/GMB253374/submission/DHC38495164/ICF247370-GMB253374-5eelc2d6f6c200000000/SIG-20250630_15309nb8e.jpeg", "SIG-20250630_15309nb8e.jpeg")</f>
        <v>SIG-20250630_15309nb8e.jpeg</v>
      </c>
      <c r="AU1010" s="1" t="s">
        <v>3509</v>
      </c>
      <c r="AV1010" s="3" t="str">
        <f>HYPERLINK("https://icf.clappia.com/app/GMB253374/submission/DHC38495164/ICF247370-GMB253374-2617lc40gfmp60000000/SIG-20250630_1530k8810.jpeg", "SIG-20250630_1530k8810.jpeg")</f>
        <v>SIG-20250630_1530k8810.jpeg</v>
      </c>
      <c r="AW1010" s="1" t="s">
        <v>3510</v>
      </c>
      <c r="AX1010" s="3" t="str">
        <f>HYPERLINK("https://icf.clappia.com/app/GMB253374/submission/DHC38495164/ICF247370-GMB253374-agaff5748l9i0000000/SIG-20250630_153112d6a4.jpeg", "SIG-20250630_153112d6a4.jpeg")</f>
        <v>SIG-20250630_153112d6a4.jpeg</v>
      </c>
      <c r="AY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2" t="s">
        <v>47</v>
      </c>
      <c r="C1011" s="1" t="s">
        <v>4933</v>
      </c>
      <c r="D1011" s="1" t="s">
        <v>4933</v>
      </c>
      <c r="E1011" s="1" t="s">
        <v>4934</v>
      </c>
      <c r="F1011" s="1" t="s">
        <v>51</v>
      </c>
      <c r="G1011" s="1">
        <v>343.0</v>
      </c>
      <c r="H1011" s="1" t="s">
        <v>52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53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54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56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57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f t="shared" si="1"/>
        <v>302</v>
      </c>
      <c r="AM1011" s="1">
        <v>343.0</v>
      </c>
      <c r="AN1011" s="1">
        <v>355.0</v>
      </c>
      <c r="AO1011" s="1">
        <v>237.0</v>
      </c>
      <c r="AP1011" s="2">
        <v>11.0</v>
      </c>
      <c r="AQ1011" s="1">
        <v>106.0</v>
      </c>
      <c r="AR1011" s="1">
        <v>106.0</v>
      </c>
      <c r="AS1011" s="1" t="s">
        <v>3866</v>
      </c>
      <c r="AT1011" s="3" t="str">
        <f>HYPERLINK("https://icf.clappia.com/app/GMB253374/submission/ASK51045368/ICF247370-GMB253374-3pa4e40pn7eo00000000/SIG-20250630_16035870.jpeg", "SIG-20250630_16035870.jpeg")</f>
        <v>SIG-20250630_16035870.jpeg</v>
      </c>
      <c r="AU1011" s="1" t="s">
        <v>3868</v>
      </c>
      <c r="AV1011" s="3" t="str">
        <f>HYPERLINK("https://icf.clappia.com/app/GMB253374/submission/ASK51045368/ICF247370-GMB253374-4j6addjecccg00000000/SIG-20250630_160266a99.jpeg", "SIG-20250630_160266a99.jpeg")</f>
        <v>SIG-20250630_160266a99.jpeg</v>
      </c>
      <c r="AW1011" s="1" t="s">
        <v>4935</v>
      </c>
      <c r="AX1011" s="3" t="str">
        <f>HYPERLINK("https://icf.clappia.com/app/GMB253374/submission/ASK51045368/ICF247370-GMB253374-4pdme77a6ngk00000000/SIG-20250630_160216l6p.jpeg", "SIG-20250630_160216l6p.jpeg")</f>
        <v>SIG-20250630_160216l6p.jpeg</v>
      </c>
      <c r="AY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2" t="s">
        <v>47</v>
      </c>
      <c r="C1012" s="1" t="s">
        <v>4933</v>
      </c>
      <c r="D1012" s="1" t="s">
        <v>4933</v>
      </c>
      <c r="E1012" s="1" t="s">
        <v>4937</v>
      </c>
      <c r="F1012" s="1" t="s">
        <v>51</v>
      </c>
      <c r="G1012" s="1">
        <v>100.0</v>
      </c>
      <c r="H1012" s="1" t="s">
        <v>52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53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54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56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57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f t="shared" si="1"/>
        <v>78</v>
      </c>
      <c r="AM1012" s="1">
        <v>100.0</v>
      </c>
      <c r="AN1012" s="1">
        <v>112.0</v>
      </c>
      <c r="AO1012" s="1">
        <v>78.0</v>
      </c>
      <c r="AP1012" s="2">
        <v>11.0</v>
      </c>
      <c r="AQ1012" s="1">
        <v>22.0</v>
      </c>
      <c r="AR1012" s="1">
        <v>22.0</v>
      </c>
      <c r="AS1012" s="1" t="s">
        <v>4938</v>
      </c>
      <c r="AT1012" s="3" t="str">
        <f>HYPERLINK("https://icf.clappia.com/app/GMB253374/submission/XXK96292452/ICF247370-GMB253374-pm13fo5ei7ag0000000/SIG-20250630_1357ih2pi.jpeg", "SIG-20250630_1357ih2pi.jpeg")</f>
        <v>SIG-20250630_1357ih2pi.jpeg</v>
      </c>
      <c r="AU1012" s="1" t="s">
        <v>482</v>
      </c>
      <c r="AV1012" s="3" t="str">
        <f>HYPERLINK("https://icf.clappia.com/app/GMB253374/submission/XXK96292452/ICF247370-GMB253374-284p17m1e36hg0000000/SIG-20250630_1602pf7ll.jpeg", "SIG-20250630_1602pf7ll.jpeg")</f>
        <v>SIG-20250630_1602pf7ll.jpeg</v>
      </c>
      <c r="AW1012" s="1" t="s">
        <v>4438</v>
      </c>
      <c r="AX1012" s="3" t="str">
        <f>HYPERLINK("https://icf.clappia.com/app/GMB253374/submission/XXK96292452/ICF247370-GMB253374-2gol7n1al2am00000000/SIG-20250630_1602n9hcb.jpeg", "SIG-20250630_1602n9hcb.jpeg")</f>
        <v>SIG-20250630_1602n9hcb.jpeg</v>
      </c>
      <c r="AY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2" t="s">
        <v>47</v>
      </c>
      <c r="C1013" s="1" t="s">
        <v>4940</v>
      </c>
      <c r="D1013" s="1" t="s">
        <v>4940</v>
      </c>
      <c r="E1013" s="1" t="s">
        <v>4941</v>
      </c>
      <c r="F1013" s="1" t="s">
        <v>51</v>
      </c>
      <c r="G1013" s="1">
        <v>167.0</v>
      </c>
      <c r="H1013" s="1" t="s">
        <v>52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53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54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56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57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f t="shared" si="1"/>
        <v>163</v>
      </c>
      <c r="AM1013" s="1">
        <v>167.0</v>
      </c>
      <c r="AN1013" s="1">
        <v>179.0</v>
      </c>
      <c r="AO1013" s="1">
        <v>163.0</v>
      </c>
      <c r="AP1013" s="2">
        <v>11.0</v>
      </c>
      <c r="AQ1013" s="1">
        <v>4.0</v>
      </c>
      <c r="AR1013" s="1">
        <v>4.0</v>
      </c>
      <c r="AS1013" s="1" t="s">
        <v>4942</v>
      </c>
      <c r="AT1013" s="3" t="str">
        <f>HYPERLINK("https://icf.clappia.com/app/GMB253374/submission/ICS81220847/ICF247370-GMB253374-2ggjj262c22600000000/SIG-20250630_1555ei9o6.jpeg", "SIG-20250630_1555ei9o6.jpeg")</f>
        <v>SIG-20250630_1555ei9o6.jpeg</v>
      </c>
      <c r="AU1013" s="1" t="s">
        <v>4943</v>
      </c>
      <c r="AV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W1013" s="1" t="s">
        <v>4944</v>
      </c>
      <c r="AX1013" s="3" t="str">
        <f>HYPERLINK("https://icf.clappia.com/app/GMB253374/submission/ICS81220847/ICF247370-GMB253374-1a250inmg25nm0000000/SIG-20250630_1557lko4a.jpeg", "SIG-20250630_1557lko4a.jpeg")</f>
        <v>SIG-20250630_1557lko4a.jpeg</v>
      </c>
      <c r="AY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2" t="s">
        <v>47</v>
      </c>
      <c r="C1014" s="1" t="s">
        <v>4946</v>
      </c>
      <c r="D1014" s="1" t="s">
        <v>4947</v>
      </c>
      <c r="E1014" s="1" t="s">
        <v>4948</v>
      </c>
      <c r="F1014" s="1" t="s">
        <v>51</v>
      </c>
      <c r="G1014" s="1">
        <v>350.0</v>
      </c>
      <c r="H1014" s="1" t="s">
        <v>52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53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54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56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57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f t="shared" si="1"/>
        <v>350</v>
      </c>
      <c r="AM1014" s="1">
        <v>350.0</v>
      </c>
      <c r="AN1014" s="1">
        <v>362.0</v>
      </c>
      <c r="AO1014" s="1">
        <v>350.0</v>
      </c>
      <c r="AP1014" s="2">
        <v>11.0</v>
      </c>
      <c r="AQ1014" s="1">
        <v>0.0</v>
      </c>
      <c r="AR1014" s="1">
        <v>0.0</v>
      </c>
      <c r="AS1014" s="1" t="s">
        <v>4949</v>
      </c>
      <c r="AT1014" s="3" t="str">
        <f>HYPERLINK("https://icf.clappia.com/app/GMB253374/submission/SQM79923246/ICF247370-GMB253374-16cg05gpdai560000000/SIG-20250630_0930eb05c.jpeg", "SIG-20250630_0930eb05c.jpeg")</f>
        <v>SIG-20250630_0930eb05c.jpeg</v>
      </c>
      <c r="AU1014" s="1" t="s">
        <v>4950</v>
      </c>
      <c r="AV1014" s="3" t="str">
        <f>HYPERLINK("https://icf.clappia.com/app/GMB253374/submission/SQM79923246/ICF247370-GMB253374-105o773dj114c0000000/SIG-20250630_09314kejo.jpeg", "SIG-20250630_09314kejo.jpeg")</f>
        <v>SIG-20250630_09314kejo.jpeg</v>
      </c>
      <c r="AW1014" s="1" t="s">
        <v>4951</v>
      </c>
      <c r="AX1014" s="3" t="str">
        <f>HYPERLINK("https://icf.clappia.com/app/GMB253374/submission/SQM79923246/ICF247370-GMB253374-2ccl7p192f4o00000000/SIG-20250630_09337p1fo.jpeg", "SIG-20250630_09337p1fo.jpeg")</f>
        <v>SIG-20250630_09337p1fo.jpeg</v>
      </c>
      <c r="AY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2" t="s">
        <v>47</v>
      </c>
      <c r="C1015" s="1" t="s">
        <v>4953</v>
      </c>
      <c r="D1015" s="1" t="s">
        <v>4953</v>
      </c>
      <c r="E1015" s="1" t="s">
        <v>4954</v>
      </c>
      <c r="F1015" s="1" t="s">
        <v>51</v>
      </c>
      <c r="G1015" s="1">
        <v>750.0</v>
      </c>
      <c r="H1015" s="1" t="s">
        <v>52</v>
      </c>
      <c r="I1015" s="1">
        <v>173.0</v>
      </c>
      <c r="J1015" s="1" t="s">
        <v>55</v>
      </c>
      <c r="K1015" s="1" t="s">
        <v>55</v>
      </c>
      <c r="L1015" s="1">
        <v>173.0</v>
      </c>
      <c r="M1015" s="1">
        <v>158.0</v>
      </c>
      <c r="N1015" s="1" t="s">
        <v>53</v>
      </c>
      <c r="O1015" s="1">
        <v>149.0</v>
      </c>
      <c r="P1015" s="1" t="s">
        <v>55</v>
      </c>
      <c r="Q1015" s="1" t="s">
        <v>55</v>
      </c>
      <c r="R1015" s="1">
        <v>149.0</v>
      </c>
      <c r="S1015" s="1">
        <v>146.0</v>
      </c>
      <c r="T1015" s="1" t="s">
        <v>54</v>
      </c>
      <c r="U1015" s="1">
        <v>150.0</v>
      </c>
      <c r="V1015" s="1" t="s">
        <v>55</v>
      </c>
      <c r="W1015" s="1" t="s">
        <v>55</v>
      </c>
      <c r="X1015" s="1">
        <v>150.0</v>
      </c>
      <c r="Y1015" s="1">
        <v>142.0</v>
      </c>
      <c r="Z1015" s="1" t="s">
        <v>56</v>
      </c>
      <c r="AA1015" s="1">
        <v>177.0</v>
      </c>
      <c r="AB1015" s="1" t="s">
        <v>55</v>
      </c>
      <c r="AC1015" s="1" t="s">
        <v>55</v>
      </c>
      <c r="AD1015" s="1">
        <v>177.0</v>
      </c>
      <c r="AE1015" s="1">
        <v>173.0</v>
      </c>
      <c r="AF1015" s="1" t="s">
        <v>57</v>
      </c>
      <c r="AG1015" s="1">
        <v>160.0</v>
      </c>
      <c r="AH1015" s="1" t="s">
        <v>55</v>
      </c>
      <c r="AI1015" s="1" t="s">
        <v>55</v>
      </c>
      <c r="AJ1015" s="1">
        <v>160.0</v>
      </c>
      <c r="AK1015" s="1">
        <v>123.0</v>
      </c>
      <c r="AL1015" s="1">
        <f t="shared" si="1"/>
        <v>809</v>
      </c>
      <c r="AM1015" s="1">
        <v>750.0</v>
      </c>
      <c r="AN1015" s="1">
        <v>762.0</v>
      </c>
      <c r="AO1015" s="1">
        <v>742.0</v>
      </c>
      <c r="AP1015" s="2">
        <v>11.0</v>
      </c>
      <c r="AQ1015" s="1">
        <v>8.0</v>
      </c>
      <c r="AR1015" s="1">
        <v>8.0</v>
      </c>
      <c r="AS1015" s="1" t="s">
        <v>4955</v>
      </c>
      <c r="AT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U1015" s="1" t="s">
        <v>4956</v>
      </c>
      <c r="AV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W1015" s="1" t="s">
        <v>4957</v>
      </c>
      <c r="AX1015" s="3" t="str">
        <f>HYPERLINK("https://icf.clappia.com/app/GMB253374/submission/OTP21115512/ICF247370-GMB253374-531d70a3aj0o00000000/SIG-20250630_1503987n7.jpeg", "SIG-20250630_1503987n7.jpeg")</f>
        <v>SIG-20250630_1503987n7.jpeg</v>
      </c>
      <c r="AY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2" t="s">
        <v>47</v>
      </c>
      <c r="C1016" s="1" t="s">
        <v>2456</v>
      </c>
      <c r="D1016" s="1" t="s">
        <v>2456</v>
      </c>
      <c r="E1016" s="1" t="s">
        <v>4959</v>
      </c>
      <c r="F1016" s="1" t="s">
        <v>51</v>
      </c>
      <c r="G1016" s="1">
        <v>316.0</v>
      </c>
      <c r="H1016" s="1" t="s">
        <v>52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53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54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56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57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f t="shared" si="1"/>
        <v>230</v>
      </c>
      <c r="AM1016" s="1">
        <v>316.0</v>
      </c>
      <c r="AN1016" s="1">
        <v>328.0</v>
      </c>
      <c r="AO1016" s="1">
        <v>172.0</v>
      </c>
      <c r="AP1016" s="2">
        <v>11.0</v>
      </c>
      <c r="AQ1016" s="1">
        <v>144.0</v>
      </c>
      <c r="AR1016" s="1">
        <v>144.0</v>
      </c>
      <c r="AS1016" s="1" t="s">
        <v>1055</v>
      </c>
      <c r="AT1016" s="3" t="str">
        <f>HYPERLINK("https://icf.clappia.com/app/GMB253374/submission/WMV44272848/ICF247370-GMB253374-habampdndbne0000000/SIG-20250630_1548f7f9m.jpeg", "SIG-20250630_1548f7f9m.jpeg")</f>
        <v>SIG-20250630_1548f7f9m.jpeg</v>
      </c>
      <c r="AU1016" s="1" t="s">
        <v>4407</v>
      </c>
      <c r="AV1016" s="3" t="str">
        <f>HYPERLINK("https://icf.clappia.com/app/GMB253374/submission/WMV44272848/ICF247370-GMB253374-4k66m78594ek0000000/SIG-20250630_154819l95j.jpeg", "SIG-20250630_154819l95j.jpeg")</f>
        <v>SIG-20250630_154819l95j.jpeg</v>
      </c>
      <c r="AW1016" s="1" t="s">
        <v>3028</v>
      </c>
      <c r="AX1016" s="3" t="str">
        <f>HYPERLINK("https://icf.clappia.com/app/GMB253374/submission/WMV44272848/ICF247370-GMB253374-o7p6j01b3l040000000/SIG-20250630_1549ml09d.jpeg", "SIG-20250630_1549ml09d.jpeg")</f>
        <v>SIG-20250630_1549ml09d.jpeg</v>
      </c>
      <c r="AY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2" t="s">
        <v>47</v>
      </c>
      <c r="C1017" s="1" t="s">
        <v>4961</v>
      </c>
      <c r="D1017" s="1" t="s">
        <v>4961</v>
      </c>
      <c r="E1017" s="1" t="s">
        <v>4962</v>
      </c>
      <c r="F1017" s="1" t="s">
        <v>51</v>
      </c>
      <c r="G1017" s="1">
        <v>107.0</v>
      </c>
      <c r="H1017" s="1" t="s">
        <v>52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53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54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56</v>
      </c>
      <c r="AA1017" s="1" t="s">
        <v>55</v>
      </c>
      <c r="AB1017" s="1" t="s">
        <v>55</v>
      </c>
      <c r="AC1017" s="1" t="s">
        <v>55</v>
      </c>
      <c r="AD1017" s="1" t="s">
        <v>55</v>
      </c>
      <c r="AE1017" s="1" t="s">
        <v>55</v>
      </c>
      <c r="AF1017" s="1" t="s">
        <v>57</v>
      </c>
      <c r="AG1017" s="1" t="s">
        <v>55</v>
      </c>
      <c r="AH1017" s="1" t="s">
        <v>55</v>
      </c>
      <c r="AI1017" s="1" t="s">
        <v>55</v>
      </c>
      <c r="AJ1017" s="1" t="s">
        <v>55</v>
      </c>
      <c r="AK1017" s="1" t="s">
        <v>55</v>
      </c>
      <c r="AL1017" s="1">
        <f t="shared" si="1"/>
        <v>107</v>
      </c>
      <c r="AM1017" s="1">
        <v>107.0</v>
      </c>
      <c r="AN1017" s="1">
        <v>119.0</v>
      </c>
      <c r="AO1017" s="1">
        <v>102.0</v>
      </c>
      <c r="AP1017" s="2">
        <v>11.0</v>
      </c>
      <c r="AQ1017" s="1">
        <v>5.0</v>
      </c>
      <c r="AR1017" s="1">
        <v>5.0</v>
      </c>
      <c r="AS1017" s="1" t="s">
        <v>2950</v>
      </c>
      <c r="AT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U1017" s="1" t="s">
        <v>4963</v>
      </c>
      <c r="AV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W1017" s="1" t="s">
        <v>4964</v>
      </c>
      <c r="AX1017" s="3" t="str">
        <f>HYPERLINK("https://icf.clappia.com/app/GMB253374/submission/MKX84849272/ICF247370-GMB253374-2m693nci49mc00000000/SIG-20250630_13247p7m1.jpeg", "SIG-20250630_13247p7m1.jpeg")</f>
        <v>SIG-20250630_13247p7m1.jpeg</v>
      </c>
      <c r="AY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2" t="s">
        <v>47</v>
      </c>
      <c r="C1018" s="1" t="s">
        <v>4961</v>
      </c>
      <c r="D1018" s="1" t="s">
        <v>4961</v>
      </c>
      <c r="E1018" s="1" t="s">
        <v>4966</v>
      </c>
      <c r="F1018" s="1" t="s">
        <v>51</v>
      </c>
      <c r="G1018" s="1">
        <v>200.0</v>
      </c>
      <c r="H1018" s="1" t="s">
        <v>52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53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54</v>
      </c>
      <c r="U1018" s="1" t="s">
        <v>55</v>
      </c>
      <c r="V1018" s="1" t="s">
        <v>55</v>
      </c>
      <c r="W1018" s="1" t="s">
        <v>55</v>
      </c>
      <c r="X1018" s="1" t="s">
        <v>55</v>
      </c>
      <c r="Y1018" s="1" t="s">
        <v>55</v>
      </c>
      <c r="Z1018" s="1" t="s">
        <v>56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55</v>
      </c>
      <c r="AF1018" s="1" t="s">
        <v>57</v>
      </c>
      <c r="AG1018" s="1" t="s">
        <v>55</v>
      </c>
      <c r="AH1018" s="1" t="s">
        <v>55</v>
      </c>
      <c r="AI1018" s="1" t="s">
        <v>55</v>
      </c>
      <c r="AJ1018" s="1" t="s">
        <v>55</v>
      </c>
      <c r="AK1018" s="1" t="s">
        <v>55</v>
      </c>
      <c r="AL1018" s="1">
        <f t="shared" si="1"/>
        <v>91</v>
      </c>
      <c r="AM1018" s="1">
        <v>200.0</v>
      </c>
      <c r="AN1018" s="1">
        <v>212.0</v>
      </c>
      <c r="AO1018" s="1">
        <v>70.0</v>
      </c>
      <c r="AP1018" s="2">
        <v>11.0</v>
      </c>
      <c r="AQ1018" s="1">
        <v>130.0</v>
      </c>
      <c r="AR1018" s="1">
        <v>130.0</v>
      </c>
      <c r="AS1018" s="1" t="s">
        <v>4967</v>
      </c>
      <c r="AT1018" s="3" t="str">
        <f>HYPERLINK("https://icf.clappia.com/app/GMB253374/submission/UIA24944375/ICF247370-GMB253374-2gclngc49e0m00000000/SIG-20250630_15346mah7.jpeg", "SIG-20250630_15346mah7.jpeg")</f>
        <v>SIG-20250630_15346mah7.jpeg</v>
      </c>
      <c r="AU1018" s="1" t="s">
        <v>4968</v>
      </c>
      <c r="AV1018" s="3" t="str">
        <f>HYPERLINK("https://icf.clappia.com/app/GMB253374/submission/UIA24944375/ICF247370-GMB253374-3con3ia64e9800000000/SIG-20250630_1504ofdb2.jpeg", "SIG-20250630_1504ofdb2.jpeg")</f>
        <v>SIG-20250630_1504ofdb2.jpeg</v>
      </c>
      <c r="AW1018" s="1" t="s">
        <v>4969</v>
      </c>
      <c r="AX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Y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2" t="s">
        <v>47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355.0</v>
      </c>
      <c r="H1019" s="1" t="s">
        <v>52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53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54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56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57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f t="shared" si="1"/>
        <v>355</v>
      </c>
      <c r="AM1019" s="1">
        <v>355.0</v>
      </c>
      <c r="AN1019" s="1">
        <v>367.0</v>
      </c>
      <c r="AO1019" s="1">
        <v>345.0</v>
      </c>
      <c r="AP1019" s="2">
        <v>11.0</v>
      </c>
      <c r="AQ1019" s="1">
        <v>10.0</v>
      </c>
      <c r="AR1019" s="1">
        <v>10.0</v>
      </c>
      <c r="AS1019" s="1" t="s">
        <v>4973</v>
      </c>
      <c r="AT1019" s="3" t="str">
        <f>HYPERLINK("https://icf.clappia.com/app/GMB253374/submission/QFU83555777/ICF247370-GMB253374-4eid4i65aalc00000000/SIG-20250630_1024hb3dk.jpeg", "SIG-20250630_1024hb3dk.jpeg")</f>
        <v>SIG-20250630_1024hb3dk.jpeg</v>
      </c>
      <c r="AU1019" s="1" t="s">
        <v>4974</v>
      </c>
      <c r="AV1019" s="3" t="str">
        <f>HYPERLINK("https://icf.clappia.com/app/GMB253374/submission/QFU83555777/ICF247370-GMB253374-2oimhci4lhek00000000/SIG-20250630_1025kmbo5.jpeg", "SIG-20250630_1025kmbo5.jpeg")</f>
        <v>SIG-20250630_1025kmbo5.jpeg</v>
      </c>
      <c r="AW1019" s="1" t="s">
        <v>4975</v>
      </c>
      <c r="AX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Y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2" t="s">
        <v>47</v>
      </c>
      <c r="C1020" s="1" t="s">
        <v>4977</v>
      </c>
      <c r="D1020" s="1" t="s">
        <v>4977</v>
      </c>
      <c r="E1020" s="1" t="s">
        <v>4978</v>
      </c>
      <c r="F1020" s="1" t="s">
        <v>51</v>
      </c>
      <c r="G1020" s="1">
        <v>111.0</v>
      </c>
      <c r="H1020" s="1" t="s">
        <v>52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53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54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56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57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f t="shared" si="1"/>
        <v>104</v>
      </c>
      <c r="AM1020" s="1">
        <v>111.0</v>
      </c>
      <c r="AN1020" s="1">
        <v>123.0</v>
      </c>
      <c r="AO1020" s="1">
        <v>90.0</v>
      </c>
      <c r="AP1020" s="2">
        <v>11.0</v>
      </c>
      <c r="AQ1020" s="1">
        <v>21.0</v>
      </c>
      <c r="AR1020" s="1">
        <v>21.0</v>
      </c>
      <c r="AS1020" s="1" t="s">
        <v>1367</v>
      </c>
      <c r="AT1020" s="3" t="str">
        <f>HYPERLINK("https://icf.clappia.com/app/GMB253374/submission/KQS53460625/ICF247370-GMB253374-6al1km1l3ene00000000/SIG-20250630_1132g4c50.jpeg", "SIG-20250630_1132g4c50.jpeg")</f>
        <v>SIG-20250630_1132g4c50.jpeg</v>
      </c>
      <c r="AU1020" s="1" t="s">
        <v>1894</v>
      </c>
      <c r="AV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W1020" s="1" t="s">
        <v>4979</v>
      </c>
      <c r="AX1020" s="3" t="str">
        <f>HYPERLINK("https://icf.clappia.com/app/GMB253374/submission/KQS53460625/ICF247370-GMB253374-l11k3gnbo4gg0000000/SIG-20250630_11323mkhj.jpeg", "SIG-20250630_11323mkhj.jpeg")</f>
        <v>SIG-20250630_11323mkhj.jpeg</v>
      </c>
      <c r="AY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2" t="s">
        <v>47</v>
      </c>
      <c r="C1021" s="1" t="s">
        <v>4981</v>
      </c>
      <c r="D1021" s="1" t="s">
        <v>4981</v>
      </c>
      <c r="E1021" s="1" t="s">
        <v>4982</v>
      </c>
      <c r="F1021" s="1" t="s">
        <v>51</v>
      </c>
      <c r="G1021" s="1">
        <v>181.0</v>
      </c>
      <c r="H1021" s="1" t="s">
        <v>52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53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54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56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57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f t="shared" si="1"/>
        <v>181</v>
      </c>
      <c r="AM1021" s="1">
        <v>181.0</v>
      </c>
      <c r="AN1021" s="1">
        <v>193.0</v>
      </c>
      <c r="AO1021" s="1">
        <v>181.0</v>
      </c>
      <c r="AP1021" s="2">
        <v>11.0</v>
      </c>
      <c r="AQ1021" s="1">
        <v>0.0</v>
      </c>
      <c r="AR1021" s="1">
        <v>0.0</v>
      </c>
      <c r="AS1021" s="1" t="s">
        <v>4983</v>
      </c>
      <c r="AT1021" s="3" t="str">
        <f>HYPERLINK("https://icf.clappia.com/app/GMB253374/submission/KNF19188849/ICF247370-GMB253374-m5p8nc1ohipm0000000/SIG-20250630_1414abomg.jpeg", "SIG-20250630_1414abomg.jpeg")</f>
        <v>SIG-20250630_1414abomg.jpeg</v>
      </c>
      <c r="AU1021" s="1" t="s">
        <v>4984</v>
      </c>
      <c r="AV1021" s="3" t="str">
        <f>HYPERLINK("https://icf.clappia.com/app/GMB253374/submission/KNF19188849/ICF247370-GMB253374-d9cjkkl000fi0000000/SIG-20250630_1415mg3m4.jpeg", "SIG-20250630_1415mg3m4.jpeg")</f>
        <v>SIG-20250630_1415mg3m4.jpeg</v>
      </c>
      <c r="AW1021" s="1" t="s">
        <v>4985</v>
      </c>
      <c r="AX1021" s="3" t="str">
        <f>HYPERLINK("https://icf.clappia.com/app/GMB253374/submission/KNF19188849/ICF247370-GMB253374-adnb9ci9gc0o0000000/SIG-20250630_141518c4m4.jpeg", "SIG-20250630_141518c4m4.jpeg")</f>
        <v>SIG-20250630_141518c4m4.jpeg</v>
      </c>
      <c r="AY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2" t="s">
        <v>47</v>
      </c>
      <c r="C1022" s="1" t="s">
        <v>4987</v>
      </c>
      <c r="D1022" s="1" t="s">
        <v>4987</v>
      </c>
      <c r="E1022" s="1" t="s">
        <v>4988</v>
      </c>
      <c r="F1022" s="1" t="s">
        <v>51</v>
      </c>
      <c r="G1022" s="1">
        <v>442.0</v>
      </c>
      <c r="H1022" s="1" t="s">
        <v>52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53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54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56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57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f t="shared" si="1"/>
        <v>432</v>
      </c>
      <c r="AM1022" s="1">
        <v>442.0</v>
      </c>
      <c r="AN1022" s="1">
        <v>454.0</v>
      </c>
      <c r="AO1022" s="1">
        <v>420.0</v>
      </c>
      <c r="AP1022" s="2">
        <v>11.0</v>
      </c>
      <c r="AQ1022" s="1">
        <v>22.0</v>
      </c>
      <c r="AR1022" s="1">
        <v>22.0</v>
      </c>
      <c r="AS1022" s="1" t="s">
        <v>4989</v>
      </c>
      <c r="AT1022" s="3" t="str">
        <f>HYPERLINK("https://icf.clappia.com/app/GMB253374/submission/OJE56801233/ICF247370-GMB253374-4jagfanmeojk00000000/SIG-20250630_1534pi512.jpeg", "SIG-20250630_1534pi512.jpeg")</f>
        <v>SIG-20250630_1534pi512.jpeg</v>
      </c>
      <c r="AU1022" s="1" t="s">
        <v>2106</v>
      </c>
      <c r="AV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W1022" s="1" t="s">
        <v>4990</v>
      </c>
      <c r="AX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Y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2" t="s">
        <v>47</v>
      </c>
      <c r="C1023" s="1" t="s">
        <v>4987</v>
      </c>
      <c r="D1023" s="1" t="s">
        <v>4987</v>
      </c>
      <c r="E1023" s="1" t="s">
        <v>4992</v>
      </c>
      <c r="F1023" s="1" t="s">
        <v>51</v>
      </c>
      <c r="G1023" s="1">
        <v>250.0</v>
      </c>
      <c r="H1023" s="1" t="s">
        <v>52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53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54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56</v>
      </c>
      <c r="AA1023" s="1" t="s">
        <v>55</v>
      </c>
      <c r="AB1023" s="1" t="s">
        <v>55</v>
      </c>
      <c r="AC1023" s="1" t="s">
        <v>55</v>
      </c>
      <c r="AD1023" s="1" t="s">
        <v>55</v>
      </c>
      <c r="AE1023" s="1" t="s">
        <v>55</v>
      </c>
      <c r="AF1023" s="1" t="s">
        <v>57</v>
      </c>
      <c r="AG1023" s="1" t="s">
        <v>55</v>
      </c>
      <c r="AH1023" s="1" t="s">
        <v>55</v>
      </c>
      <c r="AI1023" s="1" t="s">
        <v>55</v>
      </c>
      <c r="AJ1023" s="1" t="s">
        <v>55</v>
      </c>
      <c r="AK1023" s="1" t="s">
        <v>55</v>
      </c>
      <c r="AL1023" s="1">
        <f t="shared" si="1"/>
        <v>244</v>
      </c>
      <c r="AM1023" s="1">
        <v>250.0</v>
      </c>
      <c r="AN1023" s="1">
        <v>262.0</v>
      </c>
      <c r="AO1023" s="1">
        <v>244.0</v>
      </c>
      <c r="AP1023" s="2">
        <v>11.0</v>
      </c>
      <c r="AQ1023" s="1">
        <v>6.0</v>
      </c>
      <c r="AR1023" s="1">
        <v>6.0</v>
      </c>
      <c r="AS1023" s="1" t="s">
        <v>4993</v>
      </c>
      <c r="AT1023" s="3" t="str">
        <f>HYPERLINK("https://icf.clappia.com/app/GMB253374/submission/WFS71389166/ICF247370-GMB253374-1aaocagifhjkk0000000/SIG-20250630_1525m73ga.jpeg", "SIG-20250630_1525m73ga.jpeg")</f>
        <v>SIG-20250630_1525m73ga.jpeg</v>
      </c>
      <c r="AU1023" s="1" t="s">
        <v>4994</v>
      </c>
      <c r="AV1023" s="3" t="str">
        <f>HYPERLINK("https://icf.clappia.com/app/GMB253374/submission/WFS71389166/ICF247370-GMB253374-21e59cbfek3840000000/SIG-20250630_1526nn466.jpeg", "SIG-20250630_1526nn466.jpeg")</f>
        <v>SIG-20250630_1526nn466.jpeg</v>
      </c>
      <c r="AW1023" s="1" t="s">
        <v>4995</v>
      </c>
      <c r="AX1023" s="3" t="str">
        <f>HYPERLINK("https://icf.clappia.com/app/GMB253374/submission/WFS71389166/ICF247370-GMB253374-je2aa1o1ba000000000/SIG-20250630_1527f9lma.jpeg", "SIG-20250630_1527f9lma.jpeg")</f>
        <v>SIG-20250630_1527f9lma.jpeg</v>
      </c>
      <c r="AY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2" t="s">
        <v>47</v>
      </c>
      <c r="C1024" s="1" t="s">
        <v>4997</v>
      </c>
      <c r="D1024" s="1" t="s">
        <v>4997</v>
      </c>
      <c r="E1024" s="1" t="s">
        <v>4998</v>
      </c>
      <c r="F1024" s="1" t="s">
        <v>51</v>
      </c>
      <c r="G1024" s="1">
        <v>182.0</v>
      </c>
      <c r="H1024" s="1" t="s">
        <v>52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53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54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56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57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f t="shared" si="1"/>
        <v>182</v>
      </c>
      <c r="AM1024" s="1">
        <v>182.0</v>
      </c>
      <c r="AN1024" s="1">
        <v>194.0</v>
      </c>
      <c r="AO1024" s="1">
        <v>177.0</v>
      </c>
      <c r="AP1024" s="2">
        <v>11.0</v>
      </c>
      <c r="AQ1024" s="1">
        <v>5.0</v>
      </c>
      <c r="AR1024" s="1">
        <v>5.0</v>
      </c>
      <c r="AS1024" s="1" t="s">
        <v>3800</v>
      </c>
      <c r="AT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U1024" s="1" t="s">
        <v>4999</v>
      </c>
      <c r="AV1024" s="3" t="str">
        <f>HYPERLINK("https://icf.clappia.com/app/GMB253374/submission/GNZ57999784/ICF247370-GMB253374-587oijc1h5l200000000/SIG-20250630_1529874e4.jpeg", "SIG-20250630_1529874e4.jpeg")</f>
        <v>SIG-20250630_1529874e4.jpeg</v>
      </c>
      <c r="AW1024" s="1" t="s">
        <v>5000</v>
      </c>
      <c r="AX1024" s="3" t="str">
        <f>HYPERLINK("https://icf.clappia.com/app/GMB253374/submission/GNZ57999784/ICF247370-GMB253374-4cjm83gna4kg00000000/SIG-20250630_1530h61nk.jpeg", "SIG-20250630_1530h61nk.jpeg")</f>
        <v>SIG-20250630_1530h61nk.jpeg</v>
      </c>
      <c r="AY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2" t="s">
        <v>47</v>
      </c>
      <c r="C1025" s="1" t="s">
        <v>5002</v>
      </c>
      <c r="D1025" s="1" t="s">
        <v>5002</v>
      </c>
      <c r="E1025" s="1" t="s">
        <v>5003</v>
      </c>
      <c r="F1025" s="1" t="s">
        <v>51</v>
      </c>
      <c r="G1025" s="1">
        <v>350.0</v>
      </c>
      <c r="H1025" s="1" t="s">
        <v>52</v>
      </c>
      <c r="I1025" s="1">
        <v>71.0</v>
      </c>
      <c r="J1025" s="1" t="s">
        <v>55</v>
      </c>
      <c r="K1025" s="1" t="s">
        <v>55</v>
      </c>
      <c r="L1025" s="1">
        <v>71.0</v>
      </c>
      <c r="M1025" s="1">
        <v>71.0</v>
      </c>
      <c r="N1025" s="1" t="s">
        <v>53</v>
      </c>
      <c r="O1025" s="1">
        <v>65.0</v>
      </c>
      <c r="P1025" s="1" t="s">
        <v>55</v>
      </c>
      <c r="Q1025" s="1" t="s">
        <v>55</v>
      </c>
      <c r="R1025" s="1">
        <v>65.0</v>
      </c>
      <c r="S1025" s="1">
        <v>65.0</v>
      </c>
      <c r="T1025" s="1" t="s">
        <v>54</v>
      </c>
      <c r="U1025" s="1">
        <v>68.0</v>
      </c>
      <c r="V1025" s="1" t="s">
        <v>55</v>
      </c>
      <c r="W1025" s="1" t="s">
        <v>55</v>
      </c>
      <c r="X1025" s="1">
        <v>68.0</v>
      </c>
      <c r="Y1025" s="1">
        <v>68.0</v>
      </c>
      <c r="Z1025" s="1" t="s">
        <v>56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57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f t="shared" si="1"/>
        <v>204</v>
      </c>
      <c r="AM1025" s="1">
        <v>350.0</v>
      </c>
      <c r="AN1025" s="1">
        <v>362.0</v>
      </c>
      <c r="AO1025" s="1">
        <v>204.0</v>
      </c>
      <c r="AP1025" s="2">
        <v>11.0</v>
      </c>
      <c r="AQ1025" s="1">
        <v>146.0</v>
      </c>
      <c r="AR1025" s="1">
        <v>146.0</v>
      </c>
      <c r="AS1025" s="1" t="s">
        <v>637</v>
      </c>
      <c r="AT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U1025" s="1" t="s">
        <v>5004</v>
      </c>
      <c r="AV1025" s="3" t="str">
        <f>HYPERLINK("https://icf.clappia.com/app/GMB253374/submission/KCU17181476/ICF247370-GMB253374-4i25bmcl41b200000000/SIG-20250630_111375nd8.jpeg", "SIG-20250630_111375nd8.jpeg")</f>
        <v>SIG-20250630_111375nd8.jpeg</v>
      </c>
      <c r="AW1025" s="1" t="s">
        <v>5005</v>
      </c>
      <c r="AX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Y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2" t="s">
        <v>47</v>
      </c>
      <c r="C1026" s="1" t="s">
        <v>5002</v>
      </c>
      <c r="D1026" s="1" t="s">
        <v>5002</v>
      </c>
      <c r="E1026" s="1" t="s">
        <v>5007</v>
      </c>
      <c r="F1026" s="1" t="s">
        <v>51</v>
      </c>
      <c r="G1026" s="1">
        <v>198.0</v>
      </c>
      <c r="H1026" s="1" t="s">
        <v>52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53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54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56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57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f t="shared" si="1"/>
        <v>221</v>
      </c>
      <c r="AM1026" s="1">
        <v>198.0</v>
      </c>
      <c r="AN1026" s="1">
        <v>210.0</v>
      </c>
      <c r="AO1026" s="1">
        <v>185.0</v>
      </c>
      <c r="AP1026" s="2">
        <v>11.0</v>
      </c>
      <c r="AQ1026" s="1">
        <v>13.0</v>
      </c>
      <c r="AR1026" s="1">
        <v>13.0</v>
      </c>
      <c r="AS1026" s="1" t="s">
        <v>2817</v>
      </c>
      <c r="AT1026" s="3" t="str">
        <f>HYPERLINK("https://icf.clappia.com/app/GMB253374/submission/TDM41196191/ICF247370-GMB253374-1g23g0na7c86k000000/SIG-20250630_120819ffp8.jpeg", "SIG-20250630_120819ffp8.jpeg")</f>
        <v>SIG-20250630_120819ffp8.jpeg</v>
      </c>
      <c r="AU1026" s="1" t="s">
        <v>55</v>
      </c>
      <c r="AV1026" s="3" t="str">
        <f>HYPERLINK("https://icf.clappia.com/app/GMB253374/submission/TDM41196191/ICF247370-GMB253374-5o3bl6f0fhek00000000/SIG-20250630_152950424.jpeg", "SIG-20250630_152950424.jpeg")</f>
        <v>SIG-20250630_152950424.jpeg</v>
      </c>
      <c r="AW1026" s="1" t="s">
        <v>55</v>
      </c>
      <c r="AX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Y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2" t="s">
        <v>47</v>
      </c>
      <c r="C1027" s="1" t="s">
        <v>5009</v>
      </c>
      <c r="D1027" s="1" t="s">
        <v>5009</v>
      </c>
      <c r="E1027" s="1" t="s">
        <v>5010</v>
      </c>
      <c r="F1027" s="1" t="s">
        <v>51</v>
      </c>
      <c r="G1027" s="1">
        <v>250.0</v>
      </c>
      <c r="H1027" s="1" t="s">
        <v>52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53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54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56</v>
      </c>
      <c r="AA1027" s="1">
        <v>50.0</v>
      </c>
      <c r="AB1027" s="1">
        <v>22.0</v>
      </c>
      <c r="AC1027" s="1" t="s">
        <v>55</v>
      </c>
      <c r="AD1027" s="1">
        <v>28.0</v>
      </c>
      <c r="AE1027" s="1" t="s">
        <v>55</v>
      </c>
      <c r="AF1027" s="1" t="s">
        <v>57</v>
      </c>
      <c r="AG1027" s="1">
        <v>28.0</v>
      </c>
      <c r="AH1027" s="1">
        <v>23.0</v>
      </c>
      <c r="AI1027" s="1" t="s">
        <v>55</v>
      </c>
      <c r="AJ1027" s="1" t="s">
        <v>5011</v>
      </c>
      <c r="AK1027" s="1" t="s">
        <v>55</v>
      </c>
      <c r="AL1027" s="1">
        <f t="shared" si="1"/>
        <v>325</v>
      </c>
      <c r="AM1027" s="1">
        <v>250.0</v>
      </c>
      <c r="AN1027" s="1">
        <v>262.0</v>
      </c>
      <c r="AO1027" s="1">
        <v>247.0</v>
      </c>
      <c r="AP1027" s="2">
        <v>11.0</v>
      </c>
      <c r="AQ1027" s="1">
        <v>3.0</v>
      </c>
      <c r="AR1027" s="1">
        <v>3.0</v>
      </c>
      <c r="AS1027" s="1" t="s">
        <v>5012</v>
      </c>
      <c r="AT1027" s="3" t="str">
        <f>HYPERLINK("https://icf.clappia.com/app/GMB253374/submission/GNA16808268/ICF247370-GMB253374-5phakh3h2ji600000000/SIG-20250630_1232ilecb.jpeg", "SIG-20250630_1232ilecb.jpeg")</f>
        <v>SIG-20250630_1232ilecb.jpeg</v>
      </c>
      <c r="AU1027" s="1" t="s">
        <v>5013</v>
      </c>
      <c r="AV1027" s="3" t="str">
        <f>HYPERLINK("https://icf.clappia.com/app/GMB253374/submission/GNA16808268/ICF247370-GMB253374-1d9ajd1do38mc0000000/SIG-20250630_1234eni63.jpeg", "SIG-20250630_1234eni63.jpeg")</f>
        <v>SIG-20250630_1234eni63.jpeg</v>
      </c>
      <c r="AW1027" s="1" t="s">
        <v>5014</v>
      </c>
      <c r="AX1027" s="3" t="str">
        <f>HYPERLINK("https://icf.clappia.com/app/GMB253374/submission/GNA16808268/ICF247370-GMB253374-1612ok1419i480000000/SIG-20250630_1235jbjb9.jpeg", "SIG-20250630_1235jbjb9.jpeg")</f>
        <v>SIG-20250630_1235jbjb9.jpeg</v>
      </c>
      <c r="AY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2" t="s">
        <v>47</v>
      </c>
      <c r="C1028" s="1" t="s">
        <v>5009</v>
      </c>
      <c r="D1028" s="1" t="s">
        <v>5009</v>
      </c>
      <c r="E1028" s="1" t="s">
        <v>5016</v>
      </c>
      <c r="F1028" s="1" t="s">
        <v>51</v>
      </c>
      <c r="G1028" s="1">
        <v>200.0</v>
      </c>
      <c r="H1028" s="1" t="s">
        <v>52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53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54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56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57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f t="shared" si="1"/>
        <v>181</v>
      </c>
      <c r="AM1028" s="1">
        <v>200.0</v>
      </c>
      <c r="AN1028" s="1">
        <v>212.0</v>
      </c>
      <c r="AO1028" s="1">
        <v>181.0</v>
      </c>
      <c r="AP1028" s="2">
        <v>11.0</v>
      </c>
      <c r="AQ1028" s="1">
        <v>19.0</v>
      </c>
      <c r="AR1028" s="1">
        <v>19.0</v>
      </c>
      <c r="AS1028" s="1" t="s">
        <v>5017</v>
      </c>
      <c r="AT1028" s="3" t="str">
        <f>HYPERLINK("https://icf.clappia.com/app/GMB253374/submission/VQJ46134725/ICF247370-GMB253374-5hl6anl1inm000000000/SIG-20250630_11535o9k4.jpeg", "SIG-20250630_11535o9k4.jpeg")</f>
        <v>SIG-20250630_11535o9k4.jpeg</v>
      </c>
      <c r="AU1028" s="1" t="s">
        <v>5018</v>
      </c>
      <c r="AV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W1028" s="1" t="s">
        <v>5019</v>
      </c>
      <c r="AX1028" s="3" t="str">
        <f>HYPERLINK("https://icf.clappia.com/app/GMB253374/submission/VQJ46134725/ICF247370-GMB253374-5bigh67nc66g00000000/SIG-20250630_1155c2g23.jpeg", "SIG-20250630_1155c2g23.jpeg")</f>
        <v>SIG-20250630_1155c2g23.jpeg</v>
      </c>
      <c r="AY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2" t="s">
        <v>47</v>
      </c>
      <c r="C1029" s="1" t="s">
        <v>5009</v>
      </c>
      <c r="D1029" s="1" t="s">
        <v>5009</v>
      </c>
      <c r="E1029" s="1" t="s">
        <v>5021</v>
      </c>
      <c r="F1029" s="1" t="s">
        <v>51</v>
      </c>
      <c r="G1029" s="1">
        <v>300.0</v>
      </c>
      <c r="H1029" s="1" t="s">
        <v>52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53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54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56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57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f t="shared" si="1"/>
        <v>233</v>
      </c>
      <c r="AM1029" s="1">
        <v>300.0</v>
      </c>
      <c r="AN1029" s="1">
        <v>312.0</v>
      </c>
      <c r="AO1029" s="1">
        <v>217.0</v>
      </c>
      <c r="AP1029" s="2">
        <v>11.0</v>
      </c>
      <c r="AQ1029" s="1">
        <v>83.0</v>
      </c>
      <c r="AR1029" s="1">
        <v>83.0</v>
      </c>
      <c r="AS1029" s="1" t="s">
        <v>5022</v>
      </c>
      <c r="AT1029" s="3" t="str">
        <f>HYPERLINK("https://icf.clappia.com/app/GMB253374/submission/PSV31572533/ICF247370-GMB253374-4nheocnfn00800000000/SIG-20250630_1521hdnm4.jpeg", "SIG-20250630_1521hdnm4.jpeg")</f>
        <v>SIG-20250630_1521hdnm4.jpeg</v>
      </c>
      <c r="AU1029" s="1" t="s">
        <v>5023</v>
      </c>
      <c r="AV1029" s="3" t="str">
        <f>HYPERLINK("https://icf.clappia.com/app/GMB253374/submission/PSV31572533/ICF247370-GMB253374-1j2eha6771mo00000000/SIG-20250630_1522on8e3.jpeg", "SIG-20250630_1522on8e3.jpeg")</f>
        <v>SIG-20250630_1522on8e3.jpeg</v>
      </c>
      <c r="AW1029" s="1" t="s">
        <v>2567</v>
      </c>
      <c r="AX1029" s="3" t="str">
        <f>HYPERLINK("https://icf.clappia.com/app/GMB253374/submission/PSV31572533/ICF247370-GMB253374-1f07o9d13d86c0000000/SIG-20250630_1523a606g.jpeg", "SIG-20250630_1523a606g.jpeg")</f>
        <v>SIG-20250630_1523a606g.jpeg</v>
      </c>
      <c r="AY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2" t="s">
        <v>47</v>
      </c>
      <c r="C1030" s="1" t="s">
        <v>5025</v>
      </c>
      <c r="D1030" s="1" t="s">
        <v>5025</v>
      </c>
      <c r="E1030" s="1" t="s">
        <v>5026</v>
      </c>
      <c r="F1030" s="1" t="s">
        <v>51</v>
      </c>
      <c r="G1030" s="1">
        <v>150.0</v>
      </c>
      <c r="H1030" s="1" t="s">
        <v>52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53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54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56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57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f t="shared" si="1"/>
        <v>148</v>
      </c>
      <c r="AM1030" s="1">
        <v>150.0</v>
      </c>
      <c r="AN1030" s="1">
        <v>162.0</v>
      </c>
      <c r="AO1030" s="1">
        <v>116.0</v>
      </c>
      <c r="AP1030" s="2">
        <v>11.0</v>
      </c>
      <c r="AQ1030" s="1">
        <v>34.0</v>
      </c>
      <c r="AR1030" s="1">
        <v>34.0</v>
      </c>
      <c r="AS1030" s="1" t="s">
        <v>2791</v>
      </c>
      <c r="AT1030" s="3" t="str">
        <f>HYPERLINK("https://icf.clappia.com/app/GMB253374/submission/PKA26662408/ICF247370-GMB253374-g86np2n59loc0000000/SIG-20250630_1453lp4h5.jpeg", "SIG-20250630_1453lp4h5.jpeg")</f>
        <v>SIG-20250630_1453lp4h5.jpeg</v>
      </c>
      <c r="AU1030" s="1" t="s">
        <v>2792</v>
      </c>
      <c r="AV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W1030" s="1" t="s">
        <v>5027</v>
      </c>
      <c r="AX1030" s="3" t="str">
        <f>HYPERLINK("https://icf.clappia.com/app/GMB253374/submission/PKA26662408/ICF247370-GMB253374-l15dj6e97feg0000000/SIG-20250630_145519ebg2.jpeg", "SIG-20250630_145519ebg2.jpeg")</f>
        <v>SIG-20250630_145519ebg2.jpeg</v>
      </c>
      <c r="AY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2" t="s">
        <v>47</v>
      </c>
      <c r="C1031" s="1" t="s">
        <v>4797</v>
      </c>
      <c r="D1031" s="1" t="s">
        <v>4797</v>
      </c>
      <c r="E1031" s="1" t="s">
        <v>5029</v>
      </c>
      <c r="F1031" s="1" t="s">
        <v>51</v>
      </c>
      <c r="G1031" s="1">
        <v>150.0</v>
      </c>
      <c r="H1031" s="1" t="s">
        <v>52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53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54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56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57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f t="shared" si="1"/>
        <v>141</v>
      </c>
      <c r="AM1031" s="1">
        <v>150.0</v>
      </c>
      <c r="AN1031" s="1">
        <v>162.0</v>
      </c>
      <c r="AO1031" s="1">
        <v>141.0</v>
      </c>
      <c r="AP1031" s="2">
        <v>11.0</v>
      </c>
      <c r="AQ1031" s="1">
        <v>9.0</v>
      </c>
      <c r="AR1031" s="1">
        <v>9.0</v>
      </c>
      <c r="AS1031" s="1" t="s">
        <v>1034</v>
      </c>
      <c r="AT1031" s="3" t="str">
        <f>HYPERLINK("https://icf.clappia.com/app/GMB253374/submission/JEI94758272/ICF247370-GMB253374-5a5mlbk7hioi0000000/SIG-20250630_15131adgmg.jpeg", "SIG-20250630_15131adgmg.jpeg")</f>
        <v>SIG-20250630_15131adgmg.jpeg</v>
      </c>
      <c r="AU1031" s="1" t="s">
        <v>4031</v>
      </c>
      <c r="AV1031" s="3" t="str">
        <f>HYPERLINK("https://icf.clappia.com/app/GMB253374/submission/JEI94758272/ICF247370-GMB253374-3neaade34lf400000000/SIG-20250630_1513f2e36.jpeg", "SIG-20250630_1513f2e36.jpeg")</f>
        <v>SIG-20250630_1513f2e36.jpeg</v>
      </c>
      <c r="AW1031" s="1" t="s">
        <v>1032</v>
      </c>
      <c r="AX1031" s="3" t="str">
        <f>HYPERLINK("https://icf.clappia.com/app/GMB253374/submission/JEI94758272/ICF247370-GMB253374-4nf9ggk6gok200000000/SIG-20250630_1514ik6je.jpeg", "SIG-20250630_1514ik6je.jpeg")</f>
        <v>SIG-20250630_1514ik6je.jpeg</v>
      </c>
      <c r="AY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2" t="s">
        <v>47</v>
      </c>
      <c r="C1032" s="1" t="s">
        <v>5031</v>
      </c>
      <c r="D1032" s="1" t="s">
        <v>5031</v>
      </c>
      <c r="E1032" s="1" t="s">
        <v>5032</v>
      </c>
      <c r="F1032" s="1" t="s">
        <v>51</v>
      </c>
      <c r="G1032" s="1">
        <v>300.0</v>
      </c>
      <c r="H1032" s="1" t="s">
        <v>52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53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54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56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57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f t="shared" si="1"/>
        <v>310</v>
      </c>
      <c r="AM1032" s="1">
        <v>300.0</v>
      </c>
      <c r="AN1032" s="1">
        <v>312.0</v>
      </c>
      <c r="AO1032" s="1">
        <v>290.0</v>
      </c>
      <c r="AP1032" s="2">
        <v>11.0</v>
      </c>
      <c r="AQ1032" s="1">
        <v>10.0</v>
      </c>
      <c r="AR1032" s="1">
        <v>10.0</v>
      </c>
      <c r="AS1032" s="1" t="s">
        <v>5033</v>
      </c>
      <c r="AT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U1032" s="1" t="s">
        <v>5034</v>
      </c>
      <c r="AV1032" s="3" t="str">
        <f>HYPERLINK("https://icf.clappia.com/app/GMB253374/submission/BEX11182175/ICF247370-GMB253374-lp2dpen7825m000000/SIG-20250630_1511nijp3.jpeg", "SIG-20250630_1511nijp3.jpeg")</f>
        <v>SIG-20250630_1511nijp3.jpeg</v>
      </c>
      <c r="AW1032" s="1" t="s">
        <v>847</v>
      </c>
      <c r="AX1032" s="3" t="str">
        <f>HYPERLINK("https://icf.clappia.com/app/GMB253374/submission/BEX11182175/ICF247370-GMB253374-f2ngj376gg140000000/SIG-20250630_1512cngep.jpeg", "SIG-20250630_1512cngep.jpeg")</f>
        <v>SIG-20250630_1512cngep.jpeg</v>
      </c>
      <c r="AY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2" t="s">
        <v>47</v>
      </c>
      <c r="C1033" s="1" t="s">
        <v>5036</v>
      </c>
      <c r="D1033" s="1" t="s">
        <v>5036</v>
      </c>
      <c r="E1033" s="1" t="s">
        <v>5037</v>
      </c>
      <c r="F1033" s="1" t="s">
        <v>51</v>
      </c>
      <c r="G1033" s="1">
        <v>250.0</v>
      </c>
      <c r="H1033" s="1" t="s">
        <v>52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53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54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56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57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f t="shared" si="1"/>
        <v>250</v>
      </c>
      <c r="AM1033" s="1">
        <v>250.0</v>
      </c>
      <c r="AN1033" s="1">
        <v>262.0</v>
      </c>
      <c r="AO1033" s="1">
        <v>160.0</v>
      </c>
      <c r="AP1033" s="2">
        <v>11.0</v>
      </c>
      <c r="AQ1033" s="1">
        <v>90.0</v>
      </c>
      <c r="AR1033" s="1">
        <v>90.0</v>
      </c>
      <c r="AS1033" s="1" t="s">
        <v>4202</v>
      </c>
      <c r="AT1033" s="3" t="str">
        <f>HYPERLINK("https://icf.clappia.com/app/GMB253374/submission/NWP49758471/ICF247370-GMB253374-ehc0g5pj92b20000000/SIG-20250630_15119kif1.jpeg", "SIG-20250630_15119kif1.jpeg")</f>
        <v>SIG-20250630_15119kif1.jpeg</v>
      </c>
      <c r="AU1033" s="1" t="s">
        <v>2134</v>
      </c>
      <c r="AV1033" s="3" t="str">
        <f>HYPERLINK("https://icf.clappia.com/app/GMB253374/submission/NWP49758471/ICF247370-GMB253374-28b2dfl4dc4160000000/SIG-20250630_15114lim0.jpeg", "SIG-20250630_15114lim0.jpeg")</f>
        <v>SIG-20250630_15114lim0.jpeg</v>
      </c>
      <c r="AW1033" s="1" t="s">
        <v>2133</v>
      </c>
      <c r="AX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Y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2" t="s">
        <v>47</v>
      </c>
      <c r="C1034" s="1" t="s">
        <v>5039</v>
      </c>
      <c r="D1034" s="1" t="s">
        <v>5039</v>
      </c>
      <c r="E1034" s="1" t="s">
        <v>5040</v>
      </c>
      <c r="F1034" s="1" t="s">
        <v>51</v>
      </c>
      <c r="G1034" s="1">
        <v>151.0</v>
      </c>
      <c r="H1034" s="1" t="s">
        <v>52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53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54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56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57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f t="shared" si="1"/>
        <v>151</v>
      </c>
      <c r="AM1034" s="1">
        <v>151.0</v>
      </c>
      <c r="AN1034" s="1">
        <v>163.0</v>
      </c>
      <c r="AO1034" s="1">
        <v>151.0</v>
      </c>
      <c r="AP1034" s="2">
        <v>11.0</v>
      </c>
      <c r="AQ1034" s="1">
        <v>0.0</v>
      </c>
      <c r="AR1034" s="1">
        <v>0.0</v>
      </c>
      <c r="AS1034" s="1" t="s">
        <v>4291</v>
      </c>
      <c r="AT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U1034" s="1" t="s">
        <v>5041</v>
      </c>
      <c r="AV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W1034" s="1" t="s">
        <v>5042</v>
      </c>
      <c r="AX1034" s="3" t="str">
        <f>HYPERLINK("https://icf.clappia.com/app/GMB253374/submission/BHK22612557/ICF247370-GMB253374-45850e68j2pe00000000/SIG-20250630_151029f98.jpeg", "SIG-20250630_151029f98.jpeg")</f>
        <v>SIG-20250630_151029f98.jpeg</v>
      </c>
      <c r="AY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2" t="s">
        <v>47</v>
      </c>
      <c r="C1035" s="1" t="s">
        <v>5044</v>
      </c>
      <c r="D1035" s="1" t="s">
        <v>5044</v>
      </c>
      <c r="E1035" s="1" t="s">
        <v>5045</v>
      </c>
      <c r="F1035" s="1" t="s">
        <v>51</v>
      </c>
      <c r="G1035" s="1">
        <v>100.0</v>
      </c>
      <c r="H1035" s="1" t="s">
        <v>52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53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54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56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57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f t="shared" si="1"/>
        <v>168</v>
      </c>
      <c r="AM1035" s="1">
        <v>100.0</v>
      </c>
      <c r="AN1035" s="1">
        <v>112.0</v>
      </c>
      <c r="AO1035" s="1">
        <v>96.0</v>
      </c>
      <c r="AP1035" s="2">
        <v>11.0</v>
      </c>
      <c r="AQ1035" s="1">
        <v>4.0</v>
      </c>
      <c r="AR1035" s="1">
        <v>4.0</v>
      </c>
      <c r="AS1035" s="1" t="s">
        <v>5046</v>
      </c>
      <c r="AT1035" s="3" t="str">
        <f>HYPERLINK("https://icf.clappia.com/app/GMB253374/submission/DHZ53855789/ICF247370-GMB253374-1n3im0lea1gc00000000/SIG-20250630_13401mmab.jpeg", "SIG-20250630_13401mmab.jpeg")</f>
        <v>SIG-20250630_13401mmab.jpeg</v>
      </c>
      <c r="AU1035" s="1" t="s">
        <v>74</v>
      </c>
      <c r="AV1035" s="3" t="str">
        <f>HYPERLINK("https://icf.clappia.com/app/GMB253374/submission/DHZ53855789/ICF247370-GMB253374-5pk73lkj2fpm00000000/SIG-20250630_1341ei3b0.jpeg", "SIG-20250630_1341ei3b0.jpeg")</f>
        <v>SIG-20250630_1341ei3b0.jpeg</v>
      </c>
      <c r="AW1035" s="1" t="s">
        <v>75</v>
      </c>
      <c r="AX1035" s="3" t="str">
        <f>HYPERLINK("https://icf.clappia.com/app/GMB253374/submission/DHZ53855789/ICF247370-GMB253374-281aoa9ekje480000000/SIG-20250630_1342ph89d.jpeg", "SIG-20250630_1342ph89d.jpeg")</f>
        <v>SIG-20250630_1342ph89d.jpeg</v>
      </c>
      <c r="AY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2" t="s">
        <v>47</v>
      </c>
      <c r="C1036" s="1" t="s">
        <v>5048</v>
      </c>
      <c r="D1036" s="1" t="s">
        <v>5048</v>
      </c>
      <c r="E1036" s="1" t="s">
        <v>5049</v>
      </c>
      <c r="F1036" s="1" t="s">
        <v>51</v>
      </c>
      <c r="G1036" s="1">
        <v>250.0</v>
      </c>
      <c r="H1036" s="1" t="s">
        <v>52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53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54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56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57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f t="shared" si="1"/>
        <v>218</v>
      </c>
      <c r="AM1036" s="1">
        <v>250.0</v>
      </c>
      <c r="AN1036" s="1">
        <v>262.0</v>
      </c>
      <c r="AO1036" s="1">
        <v>173.0</v>
      </c>
      <c r="AP1036" s="2">
        <v>11.0</v>
      </c>
      <c r="AQ1036" s="1">
        <v>77.0</v>
      </c>
      <c r="AR1036" s="1">
        <v>77.0</v>
      </c>
      <c r="AS1036" s="1" t="s">
        <v>3005</v>
      </c>
      <c r="AT1036" s="3" t="str">
        <f>HYPERLINK("https://icf.clappia.com/app/GMB253374/submission/QLV53622238/ICF247370-GMB253374-2kmpg8fajdac00000000/SIG-20250630_1314ehj8p.jpeg", "SIG-20250630_1314ehj8p.jpeg")</f>
        <v>SIG-20250630_1314ehj8p.jpeg</v>
      </c>
      <c r="AU1036" s="1" t="s">
        <v>5050</v>
      </c>
      <c r="AV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W1036" s="1" t="s">
        <v>2588</v>
      </c>
      <c r="AX1036" s="3" t="str">
        <f>HYPERLINK("https://icf.clappia.com/app/GMB253374/submission/QLV53622238/ICF247370-GMB253374-5dg7kpceljda00000000/SIG-20250630_131616c66.jpeg", "SIG-20250630_131616c66.jpeg")</f>
        <v>SIG-20250630_131616c66.jpeg</v>
      </c>
      <c r="AY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2" t="s">
        <v>47</v>
      </c>
      <c r="C1037" s="1" t="s">
        <v>5052</v>
      </c>
      <c r="D1037" s="1" t="s">
        <v>5052</v>
      </c>
      <c r="E1037" s="1" t="s">
        <v>5053</v>
      </c>
      <c r="F1037" s="1" t="s">
        <v>51</v>
      </c>
      <c r="G1037" s="1">
        <v>150.0</v>
      </c>
      <c r="H1037" s="1" t="s">
        <v>52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53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54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56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57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f t="shared" si="1"/>
        <v>103</v>
      </c>
      <c r="AM1037" s="1">
        <v>150.0</v>
      </c>
      <c r="AN1037" s="1">
        <v>162.0</v>
      </c>
      <c r="AO1037" s="1">
        <v>103.0</v>
      </c>
      <c r="AP1037" s="2">
        <v>11.0</v>
      </c>
      <c r="AQ1037" s="1">
        <v>47.0</v>
      </c>
      <c r="AR1037" s="1">
        <v>47.0</v>
      </c>
      <c r="AS1037" s="1" t="s">
        <v>4364</v>
      </c>
      <c r="AT1037" s="3" t="str">
        <f>HYPERLINK("https://icf.clappia.com/app/GMB253374/submission/DDI12530961/ICF247370-GMB253374-12ek1h1o46c160000000/SIG-20250630_1502pjff4.jpeg", "SIG-20250630_1502pjff4.jpeg")</f>
        <v>SIG-20250630_1502pjff4.jpeg</v>
      </c>
      <c r="AU1037" s="1" t="s">
        <v>5054</v>
      </c>
      <c r="AV1037" s="3" t="str">
        <f>HYPERLINK("https://icf.clappia.com/app/GMB253374/submission/DDI12530961/ICF247370-GMB253374-1hgf91ojeg1da0000000/SIG-20250630_1453nldm7.jpeg", "SIG-20250630_1453nldm7.jpeg")</f>
        <v>SIG-20250630_1453nldm7.jpeg</v>
      </c>
      <c r="AW1037" s="1" t="s">
        <v>5055</v>
      </c>
      <c r="AX1037" s="3" t="str">
        <f>HYPERLINK("https://icf.clappia.com/app/GMB253374/submission/DDI12530961/ICF247370-GMB253374-3ailm1pih6he00000000/SIG-20250630_1453mcbl9.jpeg", "SIG-20250630_1453mcbl9.jpeg")</f>
        <v>SIG-20250630_1453mcbl9.jpeg</v>
      </c>
      <c r="AY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2" t="s">
        <v>47</v>
      </c>
      <c r="C1038" s="1" t="s">
        <v>5057</v>
      </c>
      <c r="D1038" s="1" t="s">
        <v>5057</v>
      </c>
      <c r="E1038" s="1" t="s">
        <v>5058</v>
      </c>
      <c r="F1038" s="1" t="s">
        <v>51</v>
      </c>
      <c r="G1038" s="1">
        <v>216.0</v>
      </c>
      <c r="H1038" s="1" t="s">
        <v>52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53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54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56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57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f t="shared" si="1"/>
        <v>216</v>
      </c>
      <c r="AM1038" s="1">
        <v>216.0</v>
      </c>
      <c r="AN1038" s="1">
        <v>228.0</v>
      </c>
      <c r="AO1038" s="1">
        <v>216.0</v>
      </c>
      <c r="AP1038" s="2">
        <v>11.0</v>
      </c>
      <c r="AQ1038" s="1">
        <v>0.0</v>
      </c>
      <c r="AR1038" s="1">
        <v>0.0</v>
      </c>
      <c r="AS1038" s="1" t="s">
        <v>5059</v>
      </c>
      <c r="AT1038" s="3" t="str">
        <f>HYPERLINK("https://icf.clappia.com/app/GMB253374/submission/DPU23020700/ICF247370-GMB253374-6ahf6nddodek00000000/SIG-20250630_1452ek9cm.jpeg", "SIG-20250630_1452ek9cm.jpeg")</f>
        <v>SIG-20250630_1452ek9cm.jpeg</v>
      </c>
      <c r="AU1038" s="1" t="s">
        <v>1044</v>
      </c>
      <c r="AV1038" s="3" t="str">
        <f>HYPERLINK("https://icf.clappia.com/app/GMB253374/submission/DPU23020700/ICF247370-GMB253374-4pbp4ag5f08000000000/SIG-20250630_1453l69if.jpeg", "SIG-20250630_1453l69if.jpeg")</f>
        <v>SIG-20250630_1453l69if.jpeg</v>
      </c>
      <c r="AW1038" s="1" t="s">
        <v>1045</v>
      </c>
      <c r="AX1038" s="3" t="str">
        <f>HYPERLINK("https://icf.clappia.com/app/GMB253374/submission/DPU23020700/ICF247370-GMB253374-11k498pd9nlkc0000000/SIG-20250630_1455fhmoe.jpeg", "SIG-20250630_1455fhmoe.jpeg")</f>
        <v>SIG-20250630_1455fhmoe.jpeg</v>
      </c>
      <c r="AY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2" t="s">
        <v>47</v>
      </c>
      <c r="C1039" s="1" t="s">
        <v>5061</v>
      </c>
      <c r="D1039" s="1" t="s">
        <v>5061</v>
      </c>
      <c r="E1039" s="1" t="s">
        <v>5062</v>
      </c>
      <c r="F1039" s="1" t="s">
        <v>51</v>
      </c>
      <c r="G1039" s="1">
        <v>100.0</v>
      </c>
      <c r="H1039" s="1" t="s">
        <v>52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53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54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56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57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f t="shared" si="1"/>
        <v>67</v>
      </c>
      <c r="AM1039" s="1">
        <v>100.0</v>
      </c>
      <c r="AN1039" s="1">
        <v>112.0</v>
      </c>
      <c r="AO1039" s="1">
        <v>57.0</v>
      </c>
      <c r="AP1039" s="2">
        <v>11.0</v>
      </c>
      <c r="AQ1039" s="1">
        <v>43.0</v>
      </c>
      <c r="AR1039" s="1">
        <v>43.0</v>
      </c>
      <c r="AS1039" s="1" t="s">
        <v>987</v>
      </c>
      <c r="AT1039" s="3" t="str">
        <f>HYPERLINK("https://icf.clappia.com/app/GMB253374/submission/ZME38482053/ICF247370-GMB253374-3ib8pj1e6cko00000000/SIG-20250630_1057mc77c.jpeg", "SIG-20250630_1057mc77c.jpeg")</f>
        <v>SIG-20250630_1057mc77c.jpeg</v>
      </c>
      <c r="AU1039" s="1" t="s">
        <v>1367</v>
      </c>
      <c r="AV1039" s="3" t="str">
        <f>HYPERLINK("https://icf.clappia.com/app/GMB253374/submission/ZME38482053/ICF247370-GMB253374-5inhio9p4gio00000000/SIG-20250630_1058500j8.jpeg", "SIG-20250630_1058500j8.jpeg")</f>
        <v>SIG-20250630_1058500j8.jpeg</v>
      </c>
      <c r="AW1039" s="1" t="s">
        <v>5063</v>
      </c>
      <c r="AX1039" s="3" t="str">
        <f>HYPERLINK("https://icf.clappia.com/app/GMB253374/submission/ZME38482053/ICF247370-GMB253374-2f1m8cn4ghmc00000000/SIG-20250630_1458a2c3e.jpeg", "SIG-20250630_1458a2c3e.jpeg")</f>
        <v>SIG-20250630_1458a2c3e.jpeg</v>
      </c>
      <c r="AY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2" t="s">
        <v>47</v>
      </c>
      <c r="C1040" s="1" t="s">
        <v>5065</v>
      </c>
      <c r="D1040" s="1" t="s">
        <v>5065</v>
      </c>
      <c r="E1040" s="1" t="s">
        <v>5066</v>
      </c>
      <c r="F1040" s="1" t="s">
        <v>51</v>
      </c>
      <c r="G1040" s="1">
        <v>93.0</v>
      </c>
      <c r="H1040" s="1" t="s">
        <v>52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53</v>
      </c>
      <c r="O1040" s="1" t="s">
        <v>55</v>
      </c>
      <c r="P1040" s="1" t="s">
        <v>55</v>
      </c>
      <c r="Q1040" s="1" t="s">
        <v>55</v>
      </c>
      <c r="R1040" s="1" t="s">
        <v>55</v>
      </c>
      <c r="S1040" s="1" t="s">
        <v>55</v>
      </c>
      <c r="T1040" s="1" t="s">
        <v>54</v>
      </c>
      <c r="U1040" s="1" t="s">
        <v>55</v>
      </c>
      <c r="V1040" s="1" t="s">
        <v>55</v>
      </c>
      <c r="W1040" s="1" t="s">
        <v>55</v>
      </c>
      <c r="X1040" s="1" t="s">
        <v>55</v>
      </c>
      <c r="Y1040" s="1" t="s">
        <v>55</v>
      </c>
      <c r="Z1040" s="1" t="s">
        <v>56</v>
      </c>
      <c r="AA1040" s="1" t="s">
        <v>55</v>
      </c>
      <c r="AB1040" s="1" t="s">
        <v>55</v>
      </c>
      <c r="AC1040" s="1" t="s">
        <v>55</v>
      </c>
      <c r="AD1040" s="1" t="s">
        <v>55</v>
      </c>
      <c r="AE1040" s="1" t="s">
        <v>55</v>
      </c>
      <c r="AF1040" s="1" t="s">
        <v>57</v>
      </c>
      <c r="AG1040" s="1" t="s">
        <v>55</v>
      </c>
      <c r="AH1040" s="1" t="s">
        <v>55</v>
      </c>
      <c r="AI1040" s="1" t="s">
        <v>55</v>
      </c>
      <c r="AJ1040" s="1" t="s">
        <v>55</v>
      </c>
      <c r="AK1040" s="1" t="s">
        <v>55</v>
      </c>
      <c r="AL1040" s="1">
        <f t="shared" si="1"/>
        <v>93</v>
      </c>
      <c r="AM1040" s="1">
        <v>93.0</v>
      </c>
      <c r="AN1040" s="1">
        <v>105.0</v>
      </c>
      <c r="AO1040" s="1">
        <v>91.0</v>
      </c>
      <c r="AP1040" s="2">
        <v>11.0</v>
      </c>
      <c r="AQ1040" s="1">
        <v>2.0</v>
      </c>
      <c r="AR1040" s="1">
        <v>2.0</v>
      </c>
      <c r="AS1040" s="1" t="s">
        <v>5067</v>
      </c>
      <c r="AT1040" s="3" t="str">
        <f>HYPERLINK("https://icf.clappia.com/app/GMB253374/submission/SPK20662674/ICF247370-GMB253374-5idoj00f97m800000000/SIG-20250630_1456bkiol.jpeg", "SIG-20250630_1456bkiol.jpeg")</f>
        <v>SIG-20250630_1456bkiol.jpeg</v>
      </c>
      <c r="AU1040" s="1" t="s">
        <v>5068</v>
      </c>
      <c r="AV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W1040" s="1" t="s">
        <v>5069</v>
      </c>
      <c r="AX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Y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2" t="s">
        <v>47</v>
      </c>
      <c r="C1041" s="1" t="s">
        <v>5071</v>
      </c>
      <c r="D1041" s="1" t="s">
        <v>5071</v>
      </c>
      <c r="E1041" s="1" t="s">
        <v>5072</v>
      </c>
      <c r="F1041" s="1" t="s">
        <v>51</v>
      </c>
      <c r="G1041" s="1">
        <v>371.0</v>
      </c>
      <c r="H1041" s="1" t="s">
        <v>52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53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54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56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57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f t="shared" si="1"/>
        <v>361</v>
      </c>
      <c r="AM1041" s="1">
        <v>371.0</v>
      </c>
      <c r="AN1041" s="1">
        <v>383.0</v>
      </c>
      <c r="AO1041" s="1">
        <v>331.0</v>
      </c>
      <c r="AP1041" s="2">
        <v>11.0</v>
      </c>
      <c r="AQ1041" s="1">
        <v>40.0</v>
      </c>
      <c r="AR1041" s="1">
        <v>40.0</v>
      </c>
      <c r="AS1041" s="1" t="s">
        <v>5073</v>
      </c>
      <c r="AT1041" s="3" t="str">
        <f>HYPERLINK("https://icf.clappia.com/app/GMB253374/submission/GRQ42621774/ICF247370-GMB253374-1l5lbme3754ec0000000/SIG-20250630_1452fm759.jpeg", "SIG-20250630_1452fm759.jpeg")</f>
        <v>SIG-20250630_1452fm759.jpeg</v>
      </c>
      <c r="AU1041" s="1" t="s">
        <v>4372</v>
      </c>
      <c r="AV1041" s="3" t="str">
        <f>HYPERLINK("https://icf.clappia.com/app/GMB253374/submission/GRQ42621774/ICF247370-GMB253374-30fjbfb83nek00000000/SIG-20250630_14039chec.jpeg", "SIG-20250630_14039chec.jpeg")</f>
        <v>SIG-20250630_14039chec.jpeg</v>
      </c>
      <c r="AW1041" s="1" t="s">
        <v>4248</v>
      </c>
      <c r="AX1041" s="3" t="str">
        <f>HYPERLINK("https://icf.clappia.com/app/GMB253374/submission/GRQ42621774/ICF247370-GMB253374-5kobmh3h974000000000/SIG-20250630_14533oih2.jpeg", "SIG-20250630_14533oih2.jpeg")</f>
        <v>SIG-20250630_14533oih2.jpeg</v>
      </c>
      <c r="AY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2" t="s">
        <v>47</v>
      </c>
      <c r="C1042" s="1" t="s">
        <v>5075</v>
      </c>
      <c r="D1042" s="1" t="s">
        <v>5075</v>
      </c>
      <c r="E1042" s="1" t="s">
        <v>5076</v>
      </c>
      <c r="F1042" s="1" t="s">
        <v>51</v>
      </c>
      <c r="G1042" s="1">
        <v>300.0</v>
      </c>
      <c r="H1042" s="1" t="s">
        <v>52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53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54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56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57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f t="shared" si="1"/>
        <v>300</v>
      </c>
      <c r="AM1042" s="1">
        <v>300.0</v>
      </c>
      <c r="AN1042" s="1">
        <v>312.0</v>
      </c>
      <c r="AO1042" s="1">
        <v>290.0</v>
      </c>
      <c r="AP1042" s="2">
        <v>11.0</v>
      </c>
      <c r="AQ1042" s="1">
        <v>10.0</v>
      </c>
      <c r="AR1042" s="1">
        <v>10.0</v>
      </c>
      <c r="AS1042" s="1" t="s">
        <v>2515</v>
      </c>
      <c r="AT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U1042" s="1" t="s">
        <v>1834</v>
      </c>
      <c r="AV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W1042" s="1" t="s">
        <v>5077</v>
      </c>
      <c r="AX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Y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2" t="s">
        <v>47</v>
      </c>
      <c r="C1043" s="1" t="s">
        <v>5075</v>
      </c>
      <c r="D1043" s="1" t="s">
        <v>5075</v>
      </c>
      <c r="E1043" s="1" t="s">
        <v>5079</v>
      </c>
      <c r="F1043" s="1" t="s">
        <v>51</v>
      </c>
      <c r="G1043" s="1">
        <v>250.0</v>
      </c>
      <c r="H1043" s="1" t="s">
        <v>52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53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54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56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57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f t="shared" si="1"/>
        <v>223</v>
      </c>
      <c r="AM1043" s="1">
        <v>250.0</v>
      </c>
      <c r="AN1043" s="1">
        <v>262.0</v>
      </c>
      <c r="AO1043" s="1">
        <v>210.0</v>
      </c>
      <c r="AP1043" s="2">
        <v>11.0</v>
      </c>
      <c r="AQ1043" s="1">
        <v>40.0</v>
      </c>
      <c r="AR1043" s="1">
        <v>40.0</v>
      </c>
      <c r="AS1043" s="1" t="s">
        <v>5080</v>
      </c>
      <c r="AT1043" s="3" t="str">
        <f>HYPERLINK("https://icf.clappia.com/app/GMB253374/submission/MYL69535289/ICF247370-GMB253374-10m5onjblk2560000000/SIG-20250630_1420pfonn.jpeg", "SIG-20250630_1420pfonn.jpeg")</f>
        <v>SIG-20250630_1420pfonn.jpeg</v>
      </c>
      <c r="AU1043" s="1" t="s">
        <v>1735</v>
      </c>
      <c r="AV1043" s="3" t="str">
        <f>HYPERLINK("https://icf.clappia.com/app/GMB253374/submission/MYL69535289/ICF247370-GMB253374-1j6clnk015n0i0000000/SIG-20250630_1451ogckg.jpeg", "SIG-20250630_1451ogckg.jpeg")</f>
        <v>SIG-20250630_1451ogckg.jpeg</v>
      </c>
      <c r="AW1043" s="1" t="s">
        <v>1736</v>
      </c>
      <c r="AX1043" s="3" t="str">
        <f>HYPERLINK("https://icf.clappia.com/app/GMB253374/submission/MYL69535289/ICF247370-GMB253374-537mmpge7oic00000000/SIG-20250630_1451dldfn.jpeg", "SIG-20250630_1451dldfn.jpeg")</f>
        <v>SIG-20250630_1451dldfn.jpeg</v>
      </c>
      <c r="AY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2" t="s">
        <v>47</v>
      </c>
      <c r="C1044" s="1" t="s">
        <v>5082</v>
      </c>
      <c r="D1044" s="1" t="s">
        <v>5082</v>
      </c>
      <c r="E1044" s="1" t="s">
        <v>5083</v>
      </c>
      <c r="F1044" s="1" t="s">
        <v>51</v>
      </c>
      <c r="G1044" s="1">
        <v>256.0</v>
      </c>
      <c r="H1044" s="1" t="s">
        <v>52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53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54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56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57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f t="shared" si="1"/>
        <v>256</v>
      </c>
      <c r="AM1044" s="1">
        <v>256.0</v>
      </c>
      <c r="AN1044" s="1">
        <v>268.0</v>
      </c>
      <c r="AO1044" s="1">
        <v>246.0</v>
      </c>
      <c r="AP1044" s="2">
        <v>11.0</v>
      </c>
      <c r="AQ1044" s="1">
        <v>10.0</v>
      </c>
      <c r="AR1044" s="1">
        <v>10.0</v>
      </c>
      <c r="AS1044" s="1" t="s">
        <v>5084</v>
      </c>
      <c r="AT1044" s="3" t="str">
        <f>HYPERLINK("https://icf.clappia.com/app/GMB253374/submission/EFB25399457/ICF247370-GMB253374-2gd1pg2cf92a00000000/SIG-20250630_13506e6mb.jpeg", "SIG-20250630_13506e6mb.jpeg")</f>
        <v>SIG-20250630_13506e6mb.jpeg</v>
      </c>
      <c r="AU1044" s="1" t="s">
        <v>3772</v>
      </c>
      <c r="AV1044" s="3" t="str">
        <f>HYPERLINK("https://icf.clappia.com/app/GMB253374/submission/EFB25399457/ICF247370-GMB253374-4jggobnko96o00000000/SIG-20250630_13523opm0.jpeg", "SIG-20250630_13523opm0.jpeg")</f>
        <v>SIG-20250630_13523opm0.jpeg</v>
      </c>
      <c r="AW1044" s="1" t="s">
        <v>5085</v>
      </c>
      <c r="AX1044" s="3" t="str">
        <f>HYPERLINK("https://icf.clappia.com/app/GMB253374/submission/EFB25399457/ICF247370-GMB253374-2i2ogmb52c6a00000000/SIG-20250630_1446koigl.jpeg", "SIG-20250630_1446koigl.jpeg")</f>
        <v>SIG-20250630_1446koigl.jpeg</v>
      </c>
      <c r="AY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2" t="s">
        <v>47</v>
      </c>
      <c r="C1045" s="1" t="s">
        <v>4079</v>
      </c>
      <c r="D1045" s="1" t="s">
        <v>4079</v>
      </c>
      <c r="E1045" s="1" t="s">
        <v>5087</v>
      </c>
      <c r="F1045" s="1" t="s">
        <v>51</v>
      </c>
      <c r="G1045" s="1">
        <v>150.0</v>
      </c>
      <c r="H1045" s="1" t="s">
        <v>52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53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54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56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57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f t="shared" si="1"/>
        <v>146</v>
      </c>
      <c r="AM1045" s="1">
        <v>150.0</v>
      </c>
      <c r="AN1045" s="1">
        <v>162.0</v>
      </c>
      <c r="AO1045" s="1">
        <v>146.0</v>
      </c>
      <c r="AP1045" s="2">
        <v>11.0</v>
      </c>
      <c r="AQ1045" s="1">
        <v>4.0</v>
      </c>
      <c r="AR1045" s="1">
        <v>4.0</v>
      </c>
      <c r="AS1045" s="1" t="s">
        <v>781</v>
      </c>
      <c r="AT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U1045" s="1" t="s">
        <v>2411</v>
      </c>
      <c r="AV1045" s="3" t="str">
        <f>HYPERLINK("https://icf.clappia.com/app/GMB253374/submission/KBQ96916490/ICF247370-GMB253374-4ob2nggdc9ha00000000/SIG-20250630_1345jpi74.jpeg", "SIG-20250630_1345jpi74.jpeg")</f>
        <v>SIG-20250630_1345jpi74.jpeg</v>
      </c>
      <c r="AW1045" s="1" t="s">
        <v>5088</v>
      </c>
      <c r="AX1045" s="3" t="str">
        <f>HYPERLINK("https://icf.clappia.com/app/GMB253374/submission/KBQ96916490/ICF247370-GMB253374-8f0akfd3lk6o000000/SIG-20250630_12091a58nd.jpeg", "SIG-20250630_12091a58nd.jpeg")</f>
        <v>SIG-20250630_12091a58nd.jpeg</v>
      </c>
      <c r="AY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2" t="s">
        <v>47</v>
      </c>
      <c r="C1046" s="1" t="s">
        <v>5090</v>
      </c>
      <c r="D1046" s="1" t="s">
        <v>5090</v>
      </c>
      <c r="E1046" s="1" t="s">
        <v>5091</v>
      </c>
      <c r="F1046" s="1" t="s">
        <v>51</v>
      </c>
      <c r="G1046" s="1">
        <v>300.0</v>
      </c>
      <c r="H1046" s="1" t="s">
        <v>52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53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54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56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57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f t="shared" si="1"/>
        <v>244</v>
      </c>
      <c r="AM1046" s="1">
        <v>300.0</v>
      </c>
      <c r="AN1046" s="1">
        <v>312.0</v>
      </c>
      <c r="AO1046" s="1">
        <v>244.0</v>
      </c>
      <c r="AP1046" s="2">
        <v>11.0</v>
      </c>
      <c r="AQ1046" s="1">
        <v>56.0</v>
      </c>
      <c r="AR1046" s="1">
        <v>56.0</v>
      </c>
      <c r="AS1046" s="1" t="s">
        <v>1324</v>
      </c>
      <c r="AT1046" s="3" t="str">
        <f>HYPERLINK("https://icf.clappia.com/app/GMB253374/submission/IHH57407073/ICF247370-GMB253374-4lih3458269600000000/SIG-20250630_14426aph1.jpeg", "SIG-20250630_14426aph1.jpeg")</f>
        <v>SIG-20250630_14426aph1.jpeg</v>
      </c>
      <c r="AU1046" s="1" t="s">
        <v>5092</v>
      </c>
      <c r="AV1046" s="3" t="str">
        <f>HYPERLINK("https://icf.clappia.com/app/GMB253374/submission/IHH57407073/ICF247370-GMB253374-k88875d88ef20000000/SIG-20250630_141347f6c.jpeg", "SIG-20250630_141347f6c.jpeg")</f>
        <v>SIG-20250630_141347f6c.jpeg</v>
      </c>
      <c r="AW1046" s="1" t="s">
        <v>5093</v>
      </c>
      <c r="AX1046" s="3" t="str">
        <f>HYPERLINK("https://icf.clappia.com/app/GMB253374/submission/IHH57407073/ICF247370-GMB253374-4blddfcp5h0200000000/SIG-20250630_14146bk8a.jpeg", "SIG-20250630_14146bk8a.jpeg")</f>
        <v>SIG-20250630_14146bk8a.jpeg</v>
      </c>
      <c r="AY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2" t="s">
        <v>47</v>
      </c>
      <c r="C1047" s="1" t="s">
        <v>5095</v>
      </c>
      <c r="D1047" s="1" t="s">
        <v>5095</v>
      </c>
      <c r="E1047" s="1" t="s">
        <v>5096</v>
      </c>
      <c r="F1047" s="1" t="s">
        <v>51</v>
      </c>
      <c r="G1047" s="1">
        <v>250.0</v>
      </c>
      <c r="H1047" s="1" t="s">
        <v>52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53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54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56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57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f t="shared" si="1"/>
        <v>277</v>
      </c>
      <c r="AM1047" s="1">
        <v>250.0</v>
      </c>
      <c r="AN1047" s="1">
        <v>262.0</v>
      </c>
      <c r="AO1047" s="1">
        <v>250.0</v>
      </c>
      <c r="AP1047" s="2">
        <v>11.0</v>
      </c>
      <c r="AQ1047" s="1">
        <v>0.0</v>
      </c>
      <c r="AR1047" s="1">
        <v>0.0</v>
      </c>
      <c r="AS1047" s="1" t="s">
        <v>1667</v>
      </c>
      <c r="AT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U1047" s="1" t="s">
        <v>1668</v>
      </c>
      <c r="AV1047" s="3" t="str">
        <f>HYPERLINK("https://icf.clappia.com/app/GMB253374/submission/QYI90426811/ICF247370-GMB253374-lj569afm2lio0000000/SIG-20250630_143914f31j.jpeg", "SIG-20250630_143914f31j.jpeg")</f>
        <v>SIG-20250630_143914f31j.jpeg</v>
      </c>
      <c r="AW1047" s="1" t="s">
        <v>1669</v>
      </c>
      <c r="AX1047" s="3" t="str">
        <f>HYPERLINK("https://icf.clappia.com/app/GMB253374/submission/QYI90426811/ICF247370-GMB253374-2hm0g415l5g600000000/SIG-20250630_1440midpk.jpeg", "SIG-20250630_1440midpk.jpeg")</f>
        <v>SIG-20250630_1440midpk.jpeg</v>
      </c>
      <c r="AY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2" t="s">
        <v>47</v>
      </c>
      <c r="C1048" s="1" t="s">
        <v>5098</v>
      </c>
      <c r="D1048" s="1" t="s">
        <v>4776</v>
      </c>
      <c r="E1048" s="1" t="s">
        <v>5099</v>
      </c>
      <c r="F1048" s="1" t="s">
        <v>51</v>
      </c>
      <c r="G1048" s="1">
        <v>400.0</v>
      </c>
      <c r="H1048" s="1" t="s">
        <v>52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53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54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56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57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f t="shared" si="1"/>
        <v>295</v>
      </c>
      <c r="AM1048" s="1">
        <v>400.0</v>
      </c>
      <c r="AN1048" s="1">
        <v>412.0</v>
      </c>
      <c r="AO1048" s="1">
        <v>295.0</v>
      </c>
      <c r="AP1048" s="2">
        <v>11.0</v>
      </c>
      <c r="AQ1048" s="1">
        <v>105.0</v>
      </c>
      <c r="AR1048" s="1">
        <v>105.0</v>
      </c>
      <c r="AS1048" s="1" t="s">
        <v>5100</v>
      </c>
      <c r="AT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U1048" s="1" t="s">
        <v>5101</v>
      </c>
      <c r="AV1048" s="3" t="str">
        <f>HYPERLINK("https://icf.clappia.com/app/GMB253374/submission/ASX82955079/ICF247370-GMB253374-467dimhoobi000000000/SIG-20250630_1356egb94.jpeg", "SIG-20250630_1356egb94.jpeg")</f>
        <v>SIG-20250630_1356egb94.jpeg</v>
      </c>
      <c r="AW1048" s="1" t="s">
        <v>5102</v>
      </c>
      <c r="AX1048" s="3" t="str">
        <f>HYPERLINK("https://icf.clappia.com/app/GMB253374/submission/ASX82955079/ICF247370-GMB253374-12bio7a7b63040000000/SIG-20250630_1356lnp4i.jpeg", "SIG-20250630_1356lnp4i.jpeg")</f>
        <v>SIG-20250630_1356lnp4i.jpeg</v>
      </c>
      <c r="AY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2" t="s">
        <v>47</v>
      </c>
      <c r="C1049" s="1" t="s">
        <v>5104</v>
      </c>
      <c r="D1049" s="1" t="s">
        <v>5104</v>
      </c>
      <c r="E1049" s="1" t="s">
        <v>5105</v>
      </c>
      <c r="F1049" s="1" t="s">
        <v>51</v>
      </c>
      <c r="G1049" s="1">
        <v>150.0</v>
      </c>
      <c r="H1049" s="1" t="s">
        <v>52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53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54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56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57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f t="shared" si="1"/>
        <v>129</v>
      </c>
      <c r="AM1049" s="1">
        <v>150.0</v>
      </c>
      <c r="AN1049" s="1">
        <v>162.0</v>
      </c>
      <c r="AO1049" s="1">
        <v>118.0</v>
      </c>
      <c r="AP1049" s="2">
        <v>11.0</v>
      </c>
      <c r="AQ1049" s="1">
        <v>32.0</v>
      </c>
      <c r="AR1049" s="1">
        <v>32.0</v>
      </c>
      <c r="AS1049" s="1" t="s">
        <v>5106</v>
      </c>
      <c r="AT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U1049" s="1" t="s">
        <v>5107</v>
      </c>
      <c r="AV1049" s="3" t="str">
        <f>HYPERLINK("https://icf.clappia.com/app/GMB253374/submission/BPZ63847136/ICF247370-GMB253374-m8pih0km6li80000000/SIG-20250630_1438ffind.jpeg", "SIG-20250630_1438ffind.jpeg")</f>
        <v>SIG-20250630_1438ffind.jpeg</v>
      </c>
      <c r="AW1049" s="1" t="s">
        <v>5108</v>
      </c>
      <c r="AX1049" s="3" t="str">
        <f>HYPERLINK("https://icf.clappia.com/app/GMB253374/submission/BPZ63847136/ICF247370-GMB253374-a817hn1o7o720000000/SIG-20250630_143419oceo.jpeg", "SIG-20250630_143419oceo.jpeg")</f>
        <v>SIG-20250630_143419oceo.jpeg</v>
      </c>
      <c r="AY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2" t="s">
        <v>47</v>
      </c>
      <c r="C1050" s="1" t="s">
        <v>5110</v>
      </c>
      <c r="D1050" s="1" t="s">
        <v>5110</v>
      </c>
      <c r="E1050" s="1" t="s">
        <v>5111</v>
      </c>
      <c r="F1050" s="1" t="s">
        <v>51</v>
      </c>
      <c r="G1050" s="1">
        <v>240.0</v>
      </c>
      <c r="H1050" s="1" t="s">
        <v>52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53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54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56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57</v>
      </c>
      <c r="AG1050" s="1">
        <v>25.0</v>
      </c>
      <c r="AH1050" s="1">
        <v>4.0</v>
      </c>
      <c r="AI1050" s="1" t="s">
        <v>55</v>
      </c>
      <c r="AJ1050" s="1">
        <v>21.0</v>
      </c>
      <c r="AK1050" s="1">
        <v>10.0</v>
      </c>
      <c r="AL1050" s="1">
        <f t="shared" si="1"/>
        <v>290</v>
      </c>
      <c r="AM1050" s="1">
        <v>240.0</v>
      </c>
      <c r="AN1050" s="1">
        <v>252.0</v>
      </c>
      <c r="AO1050" s="1">
        <v>172.0</v>
      </c>
      <c r="AP1050" s="2">
        <v>11.0</v>
      </c>
      <c r="AQ1050" s="1">
        <v>68.0</v>
      </c>
      <c r="AR1050" s="1">
        <v>68.0</v>
      </c>
      <c r="AS1050" s="1" t="s">
        <v>5112</v>
      </c>
      <c r="AT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U1050" s="1" t="s">
        <v>5113</v>
      </c>
      <c r="AV1050" s="3" t="str">
        <f>HYPERLINK("https://icf.clappia.com/app/GMB253374/submission/QRD40619323/ICF247370-GMB253374-edfb93j32h1i0000000/SIG-20250630_14083jbon.jpeg", "SIG-20250630_14083jbon.jpeg")</f>
        <v>SIG-20250630_14083jbon.jpeg</v>
      </c>
      <c r="AW1050" s="1" t="s">
        <v>2485</v>
      </c>
      <c r="AX1050" s="3" t="str">
        <f>HYPERLINK("https://icf.clappia.com/app/GMB253374/submission/QRD40619323/ICF247370-GMB253374-1nl4l7b1dpjm00000000/SIG-20250630_1436j8i64.jpeg", "SIG-20250630_1436j8i64.jpeg")</f>
        <v>SIG-20250630_1436j8i64.jpeg</v>
      </c>
      <c r="AY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2" t="s">
        <v>47</v>
      </c>
      <c r="C1051" s="1" t="s">
        <v>5110</v>
      </c>
      <c r="D1051" s="1" t="s">
        <v>5110</v>
      </c>
      <c r="E1051" s="1" t="s">
        <v>5115</v>
      </c>
      <c r="F1051" s="1" t="s">
        <v>51</v>
      </c>
      <c r="G1051" s="1">
        <v>2847.0</v>
      </c>
      <c r="H1051" s="1" t="s">
        <v>52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53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54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56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57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f t="shared" si="1"/>
        <v>73</v>
      </c>
      <c r="AM1051" s="1">
        <v>2847.0</v>
      </c>
      <c r="AN1051" s="1">
        <v>2859.0</v>
      </c>
      <c r="AO1051" s="1">
        <v>73.0</v>
      </c>
      <c r="AP1051" s="2">
        <v>11.0</v>
      </c>
      <c r="AQ1051" s="1">
        <v>2774.0</v>
      </c>
      <c r="AR1051" s="1">
        <v>2774.0</v>
      </c>
      <c r="AS1051" s="1" t="s">
        <v>5116</v>
      </c>
      <c r="AT1051" s="3" t="str">
        <f>HYPERLINK("https://icf.clappia.com/app/GMB253374/submission/GQP18205518/ICF247370-GMB253374-3fek81j50lmm00000000/SIG-20250630_1432egkig.jpeg", "SIG-20250630_1432egkig.jpeg")</f>
        <v>SIG-20250630_1432egkig.jpeg</v>
      </c>
      <c r="AU1051" s="1" t="s">
        <v>5117</v>
      </c>
      <c r="AV1051" s="3" t="str">
        <f>HYPERLINK("https://icf.clappia.com/app/GMB253374/submission/GQP18205518/ICF247370-GMB253374-29e6dk0da4gpm0000000/SIG-20250630_1433i5054.jpeg", "SIG-20250630_1433i5054.jpeg")</f>
        <v>SIG-20250630_1433i5054.jpeg</v>
      </c>
      <c r="AW1051" s="1" t="s">
        <v>4207</v>
      </c>
      <c r="AX1051" s="3" t="str">
        <f>HYPERLINK("https://icf.clappia.com/app/GMB253374/submission/GQP18205518/ICF247370-GMB253374-4hec07b5o1kg00000000/SIG-20250630_1434g905.jpeg", "SIG-20250630_1434g905.jpeg")</f>
        <v>SIG-20250630_1434g905.jpeg</v>
      </c>
      <c r="AY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2" t="s">
        <v>47</v>
      </c>
      <c r="C1052" s="1" t="s">
        <v>5119</v>
      </c>
      <c r="D1052" s="1" t="s">
        <v>5119</v>
      </c>
      <c r="E1052" s="1" t="s">
        <v>5120</v>
      </c>
      <c r="F1052" s="1" t="s">
        <v>51</v>
      </c>
      <c r="G1052" s="1">
        <v>150.0</v>
      </c>
      <c r="H1052" s="1" t="s">
        <v>52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53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54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56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57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f t="shared" si="1"/>
        <v>216</v>
      </c>
      <c r="AM1052" s="1">
        <v>150.0</v>
      </c>
      <c r="AN1052" s="1">
        <v>162.0</v>
      </c>
      <c r="AO1052" s="1">
        <v>142.0</v>
      </c>
      <c r="AP1052" s="2">
        <v>11.0</v>
      </c>
      <c r="AQ1052" s="1">
        <v>8.0</v>
      </c>
      <c r="AR1052" s="1">
        <v>8.0</v>
      </c>
      <c r="AS1052" s="1" t="s">
        <v>5121</v>
      </c>
      <c r="AT1052" s="3" t="str">
        <f>HYPERLINK("https://icf.clappia.com/app/GMB253374/submission/IUS27442434/ICF247370-GMB253374-1fpbgl7foj9a00000000/SIG-20250630_1433jjilj.jpeg", "SIG-20250630_1433jjilj.jpeg")</f>
        <v>SIG-20250630_1433jjilj.jpeg</v>
      </c>
      <c r="AU1052" s="1" t="s">
        <v>1149</v>
      </c>
      <c r="AV1052" s="3" t="str">
        <f>HYPERLINK("https://icf.clappia.com/app/GMB253374/submission/IUS27442434/ICF247370-GMB253374-635078ggn5he00000000/SIG-20250630_143330618.jpeg", "SIG-20250630_143330618.jpeg")</f>
        <v>SIG-20250630_143330618.jpeg</v>
      </c>
      <c r="AW1052" s="1" t="s">
        <v>4674</v>
      </c>
      <c r="AX1052" s="3" t="str">
        <f>HYPERLINK("https://icf.clappia.com/app/GMB253374/submission/IUS27442434/ICF247370-GMB253374-6o8h3n9no1h20000000/SIG-20250630_1435115jjd.jpeg", "SIG-20250630_1435115jjd.jpeg")</f>
        <v>SIG-20250630_1435115jjd.jpeg</v>
      </c>
      <c r="AY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2" t="s">
        <v>47</v>
      </c>
      <c r="C1053" s="1" t="s">
        <v>5119</v>
      </c>
      <c r="D1053" s="1" t="s">
        <v>5119</v>
      </c>
      <c r="E1053" s="1" t="s">
        <v>5123</v>
      </c>
      <c r="F1053" s="1" t="s">
        <v>51</v>
      </c>
      <c r="G1053" s="1">
        <v>179.0</v>
      </c>
      <c r="H1053" s="1" t="s">
        <v>52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53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54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56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57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f t="shared" si="1"/>
        <v>176</v>
      </c>
      <c r="AM1053" s="1">
        <v>179.0</v>
      </c>
      <c r="AN1053" s="1">
        <v>191.0</v>
      </c>
      <c r="AO1053" s="1">
        <v>169.0</v>
      </c>
      <c r="AP1053" s="2">
        <v>11.0</v>
      </c>
      <c r="AQ1053" s="1">
        <v>10.0</v>
      </c>
      <c r="AR1053" s="1">
        <v>10.0</v>
      </c>
      <c r="AS1053" s="1" t="s">
        <v>5124</v>
      </c>
      <c r="AT1053" s="3" t="str">
        <f>HYPERLINK("https://icf.clappia.com/app/GMB253374/submission/DIS60264184/ICF247370-GMB253374-3cfhi4oaod9g00000000/SIG-20250630_111884hi6.jpeg", "SIG-20250630_111884hi6.jpeg")</f>
        <v>SIG-20250630_111884hi6.jpeg</v>
      </c>
      <c r="AU1053" s="1" t="s">
        <v>5125</v>
      </c>
      <c r="AV1053" s="3" t="str">
        <f>HYPERLINK("https://icf.clappia.com/app/GMB253374/submission/DIS60264184/ICF247370-GMB253374-50ipmahbpjie00000000/SIG-20250630_1123ajb9b.jpeg", "SIG-20250630_1123ajb9b.jpeg")</f>
        <v>SIG-20250630_1123ajb9b.jpeg</v>
      </c>
      <c r="AW1053" s="1" t="s">
        <v>1624</v>
      </c>
      <c r="AX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Y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2" t="s">
        <v>47</v>
      </c>
      <c r="C1054" s="1" t="s">
        <v>5127</v>
      </c>
      <c r="D1054" s="1" t="s">
        <v>5127</v>
      </c>
      <c r="E1054" s="1" t="s">
        <v>5128</v>
      </c>
      <c r="F1054" s="1" t="s">
        <v>51</v>
      </c>
      <c r="G1054" s="1">
        <v>550.0</v>
      </c>
      <c r="H1054" s="1" t="s">
        <v>52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53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54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56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57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f t="shared" si="1"/>
        <v>537</v>
      </c>
      <c r="AM1054" s="1">
        <v>550.0</v>
      </c>
      <c r="AN1054" s="1">
        <v>562.0</v>
      </c>
      <c r="AO1054" s="1">
        <v>399.0</v>
      </c>
      <c r="AP1054" s="2">
        <v>11.0</v>
      </c>
      <c r="AQ1054" s="1">
        <v>151.0</v>
      </c>
      <c r="AR1054" s="1">
        <v>151.0</v>
      </c>
      <c r="AS1054" s="1" t="s">
        <v>947</v>
      </c>
      <c r="AT1054" s="3" t="str">
        <f>HYPERLINK("https://icf.clappia.com/app/GMB253374/submission/YCY69220877/ICF247370-GMB253374-m16l2h7efok00000000/SIG-20250630_143013a71k.jpeg", "SIG-20250630_143013a71k.jpeg")</f>
        <v>SIG-20250630_143013a71k.jpeg</v>
      </c>
      <c r="AU1054" s="1" t="s">
        <v>1020</v>
      </c>
      <c r="AV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W1054" s="1" t="s">
        <v>5129</v>
      </c>
      <c r="AX1054" s="3" t="str">
        <f>HYPERLINK("https://icf.clappia.com/app/GMB253374/submission/YCY69220877/ICF247370-GMB253374-60k3knldhnmo00000000/SIG-20250630_1431onp26.jpeg", "SIG-20250630_1431onp26.jpeg")</f>
        <v>SIG-20250630_1431onp26.jpeg</v>
      </c>
      <c r="AY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2" t="s">
        <v>47</v>
      </c>
      <c r="C1055" s="1" t="s">
        <v>5131</v>
      </c>
      <c r="D1055" s="1" t="s">
        <v>5131</v>
      </c>
      <c r="E1055" s="1" t="s">
        <v>5132</v>
      </c>
      <c r="F1055" s="1" t="s">
        <v>51</v>
      </c>
      <c r="G1055" s="1">
        <v>117.0</v>
      </c>
      <c r="H1055" s="1" t="s">
        <v>52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53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54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56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57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f t="shared" si="1"/>
        <v>101</v>
      </c>
      <c r="AM1055" s="1">
        <v>117.0</v>
      </c>
      <c r="AN1055" s="1">
        <v>129.0</v>
      </c>
      <c r="AO1055" s="1">
        <v>99.0</v>
      </c>
      <c r="AP1055" s="2">
        <v>11.0</v>
      </c>
      <c r="AQ1055" s="1">
        <v>18.0</v>
      </c>
      <c r="AR1055" s="1">
        <v>18.0</v>
      </c>
      <c r="AS1055" s="1" t="s">
        <v>5133</v>
      </c>
      <c r="AT1055" s="3" t="str">
        <f>HYPERLINK("https://icf.clappia.com/app/GMB253374/submission/JIL18588290/ICF247370-GMB253374-2c8459aihkmo00000000/SIG-20250630_14236bnel.jpeg", "SIG-20250630_14236bnel.jpeg")</f>
        <v>SIG-20250630_14236bnel.jpeg</v>
      </c>
      <c r="AU1055" s="1" t="s">
        <v>2497</v>
      </c>
      <c r="AV1055" s="3" t="str">
        <f>HYPERLINK("https://icf.clappia.com/app/GMB253374/submission/JIL18588290/ICF247370-GMB253374-12m1l2a578ndi0000000/SIG-20250630_1424iinb6.jpeg", "SIG-20250630_1424iinb6.jpeg")</f>
        <v>SIG-20250630_1424iinb6.jpeg</v>
      </c>
      <c r="AW1055" s="1" t="s">
        <v>5134</v>
      </c>
      <c r="AX1055" s="3" t="str">
        <f>HYPERLINK("https://icf.clappia.com/app/GMB253374/submission/JIL18588290/ICF247370-GMB253374-5mb7d2df1a3m00000000/SIG-20250630_14252ehfl.jpeg", "SIG-20250630_14252ehfl.jpeg")</f>
        <v>SIG-20250630_14252ehfl.jpeg</v>
      </c>
      <c r="AY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2" t="s">
        <v>47</v>
      </c>
      <c r="C1056" s="1" t="s">
        <v>5136</v>
      </c>
      <c r="D1056" s="1" t="s">
        <v>5136</v>
      </c>
      <c r="E1056" s="1" t="s">
        <v>5137</v>
      </c>
      <c r="F1056" s="1" t="s">
        <v>51</v>
      </c>
      <c r="G1056" s="1">
        <v>100.0</v>
      </c>
      <c r="H1056" s="1" t="s">
        <v>52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53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54</v>
      </c>
      <c r="U1056" s="1" t="s">
        <v>55</v>
      </c>
      <c r="V1056" s="1" t="s">
        <v>55</v>
      </c>
      <c r="W1056" s="1" t="s">
        <v>55</v>
      </c>
      <c r="X1056" s="1" t="s">
        <v>55</v>
      </c>
      <c r="Y1056" s="1" t="s">
        <v>55</v>
      </c>
      <c r="Z1056" s="1" t="s">
        <v>56</v>
      </c>
      <c r="AA1056" s="1" t="s">
        <v>55</v>
      </c>
      <c r="AB1056" s="1" t="s">
        <v>55</v>
      </c>
      <c r="AC1056" s="1" t="s">
        <v>55</v>
      </c>
      <c r="AD1056" s="1" t="s">
        <v>55</v>
      </c>
      <c r="AE1056" s="1" t="s">
        <v>55</v>
      </c>
      <c r="AF1056" s="1" t="s">
        <v>57</v>
      </c>
      <c r="AG1056" s="1" t="s">
        <v>55</v>
      </c>
      <c r="AH1056" s="1" t="s">
        <v>55</v>
      </c>
      <c r="AI1056" s="1" t="s">
        <v>55</v>
      </c>
      <c r="AJ1056" s="1" t="s">
        <v>55</v>
      </c>
      <c r="AK1056" s="1" t="s">
        <v>55</v>
      </c>
      <c r="AL1056" s="1">
        <f t="shared" si="1"/>
        <v>82</v>
      </c>
      <c r="AM1056" s="1">
        <v>100.0</v>
      </c>
      <c r="AN1056" s="1">
        <v>112.0</v>
      </c>
      <c r="AO1056" s="1">
        <v>82.0</v>
      </c>
      <c r="AP1056" s="2">
        <v>11.0</v>
      </c>
      <c r="AQ1056" s="1">
        <v>18.0</v>
      </c>
      <c r="AR1056" s="1">
        <v>18.0</v>
      </c>
      <c r="AS1056" s="1" t="s">
        <v>2148</v>
      </c>
      <c r="AT1056" s="3" t="str">
        <f>HYPERLINK("https://icf.clappia.com/app/GMB253374/submission/WRK64213694/ICF247370-GMB253374-dklf88ghk9i80000000/SIG-20250630_1203d4o15.jpeg", "SIG-20250630_1203d4o15.jpeg")</f>
        <v>SIG-20250630_1203d4o15.jpeg</v>
      </c>
      <c r="AU1056" s="1" t="s">
        <v>2149</v>
      </c>
      <c r="AV1056" s="3" t="str">
        <f>HYPERLINK("https://icf.clappia.com/app/GMB253374/submission/WRK64213694/ICF247370-GMB253374-m4m3cg9gf6de000000/SIG-20250630_1201e722o.jpeg", "SIG-20250630_1201e722o.jpeg")</f>
        <v>SIG-20250630_1201e722o.jpeg</v>
      </c>
      <c r="AW1056" s="1" t="s">
        <v>2150</v>
      </c>
      <c r="AX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Y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2" t="s">
        <v>47</v>
      </c>
      <c r="C1057" s="1" t="s">
        <v>5139</v>
      </c>
      <c r="D1057" s="1" t="s">
        <v>5139</v>
      </c>
      <c r="E1057" s="1" t="s">
        <v>5140</v>
      </c>
      <c r="F1057" s="1" t="s">
        <v>51</v>
      </c>
      <c r="G1057" s="1">
        <v>229.0</v>
      </c>
      <c r="H1057" s="1" t="s">
        <v>52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53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54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56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57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f t="shared" si="1"/>
        <v>229</v>
      </c>
      <c r="AM1057" s="1">
        <v>229.0</v>
      </c>
      <c r="AN1057" s="1">
        <v>241.0</v>
      </c>
      <c r="AO1057" s="1">
        <v>220.0</v>
      </c>
      <c r="AP1057" s="2">
        <v>11.0</v>
      </c>
      <c r="AQ1057" s="1">
        <v>9.0</v>
      </c>
      <c r="AR1057" s="1">
        <v>9.0</v>
      </c>
      <c r="AS1057" s="1" t="s">
        <v>5141</v>
      </c>
      <c r="AT1057" s="3" t="str">
        <f>HYPERLINK("https://icf.clappia.com/app/GMB253374/submission/WND07164550/ICF247370-GMB253374-4pf16e59hd6g00000000/SIG-20250630_141447g6p.jpeg", "SIG-20250630_141447g6p.jpeg")</f>
        <v>SIG-20250630_141447g6p.jpeg</v>
      </c>
      <c r="AU1057" s="1" t="s">
        <v>3215</v>
      </c>
      <c r="AV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W1057" s="1" t="s">
        <v>5142</v>
      </c>
      <c r="AX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Y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2" t="s">
        <v>47</v>
      </c>
      <c r="C1058" s="1" t="s">
        <v>5144</v>
      </c>
      <c r="D1058" s="1" t="s">
        <v>5144</v>
      </c>
      <c r="E1058" s="1" t="s">
        <v>5145</v>
      </c>
      <c r="F1058" s="1" t="s">
        <v>51</v>
      </c>
      <c r="G1058" s="1">
        <v>200.0</v>
      </c>
      <c r="H1058" s="1" t="s">
        <v>52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53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54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56</v>
      </c>
      <c r="AA1058" s="1" t="s">
        <v>55</v>
      </c>
      <c r="AB1058" s="1" t="s">
        <v>55</v>
      </c>
      <c r="AC1058" s="1" t="s">
        <v>55</v>
      </c>
      <c r="AD1058" s="1" t="s">
        <v>55</v>
      </c>
      <c r="AE1058" s="1" t="s">
        <v>55</v>
      </c>
      <c r="AF1058" s="1" t="s">
        <v>57</v>
      </c>
      <c r="AG1058" s="1" t="s">
        <v>55</v>
      </c>
      <c r="AH1058" s="1" t="s">
        <v>55</v>
      </c>
      <c r="AI1058" s="1" t="s">
        <v>55</v>
      </c>
      <c r="AJ1058" s="1" t="s">
        <v>55</v>
      </c>
      <c r="AK1058" s="1" t="s">
        <v>55</v>
      </c>
      <c r="AL1058" s="1">
        <f t="shared" si="1"/>
        <v>183</v>
      </c>
      <c r="AM1058" s="1">
        <v>200.0</v>
      </c>
      <c r="AN1058" s="1">
        <v>212.0</v>
      </c>
      <c r="AO1058" s="1">
        <v>183.0</v>
      </c>
      <c r="AP1058" s="2">
        <v>11.0</v>
      </c>
      <c r="AQ1058" s="1">
        <v>17.0</v>
      </c>
      <c r="AR1058" s="1">
        <v>17.0</v>
      </c>
      <c r="AS1058" s="1" t="s">
        <v>1876</v>
      </c>
      <c r="AT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U1058" s="1" t="s">
        <v>1877</v>
      </c>
      <c r="AV1058" s="3" t="str">
        <f>HYPERLINK("https://icf.clappia.com/app/GMB253374/submission/HEY22891265/ICF247370-GMB253374-1ka9inm57n51g0000000/SIG-20250630_1317707oh.jpeg", "SIG-20250630_1317707oh.jpeg")</f>
        <v>SIG-20250630_1317707oh.jpeg</v>
      </c>
      <c r="AW1058" s="1" t="s">
        <v>2920</v>
      </c>
      <c r="AX1058" s="3" t="str">
        <f>HYPERLINK("https://icf.clappia.com/app/GMB253374/submission/HEY22891265/ICF247370-GMB253374-2ol12l0a2if000000000/SIG-20250630_13558epel.jpeg", "SIG-20250630_13558epel.jpeg")</f>
        <v>SIG-20250630_13558epel.jpeg</v>
      </c>
      <c r="AY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2" t="s">
        <v>47</v>
      </c>
      <c r="C1059" s="1" t="s">
        <v>5147</v>
      </c>
      <c r="D1059" s="1" t="s">
        <v>5148</v>
      </c>
      <c r="E1059" s="1" t="s">
        <v>5149</v>
      </c>
      <c r="F1059" s="1" t="s">
        <v>51</v>
      </c>
      <c r="G1059" s="1">
        <v>200.0</v>
      </c>
      <c r="H1059" s="1" t="s">
        <v>52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53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54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56</v>
      </c>
      <c r="AA1059" s="1" t="s">
        <v>55</v>
      </c>
      <c r="AB1059" s="1" t="s">
        <v>55</v>
      </c>
      <c r="AC1059" s="1" t="s">
        <v>55</v>
      </c>
      <c r="AD1059" s="1" t="s">
        <v>55</v>
      </c>
      <c r="AE1059" s="1" t="s">
        <v>55</v>
      </c>
      <c r="AF1059" s="1" t="s">
        <v>57</v>
      </c>
      <c r="AG1059" s="1" t="s">
        <v>55</v>
      </c>
      <c r="AH1059" s="1" t="s">
        <v>55</v>
      </c>
      <c r="AI1059" s="1" t="s">
        <v>55</v>
      </c>
      <c r="AJ1059" s="1" t="s">
        <v>55</v>
      </c>
      <c r="AK1059" s="1" t="s">
        <v>55</v>
      </c>
      <c r="AL1059" s="1">
        <f t="shared" si="1"/>
        <v>158</v>
      </c>
      <c r="AM1059" s="1">
        <v>200.0</v>
      </c>
      <c r="AN1059" s="1">
        <v>212.0</v>
      </c>
      <c r="AO1059" s="1">
        <v>158.0</v>
      </c>
      <c r="AP1059" s="2">
        <v>11.0</v>
      </c>
      <c r="AQ1059" s="1">
        <v>42.0</v>
      </c>
      <c r="AR1059" s="1">
        <v>42.0</v>
      </c>
      <c r="AS1059" s="1" t="s">
        <v>5150</v>
      </c>
      <c r="AT1059" s="3" t="str">
        <f>HYPERLINK("https://icf.clappia.com/app/GMB253374/submission/VYN33065954/ICF247370-GMB253374-2949bfd8o12fg000000/SIG-20250630_1232plden.jpeg", "SIG-20250630_1232plden.jpeg")</f>
        <v>SIG-20250630_1232plden.jpeg</v>
      </c>
      <c r="AU1059" s="1" t="s">
        <v>5151</v>
      </c>
      <c r="AV1059" s="3" t="str">
        <f>HYPERLINK("https://icf.clappia.com/app/GMB253374/submission/VYN33065954/ICF247370-GMB253374-81d2f8mj5nbi0000000/SIG-20250630_1232117m3m.jpeg", "SIG-20250630_1232117m3m.jpeg")</f>
        <v>SIG-20250630_1232117m3m.jpeg</v>
      </c>
      <c r="AW1059" s="1" t="s">
        <v>1967</v>
      </c>
      <c r="AX1059" s="3" t="str">
        <f>HYPERLINK("https://icf.clappia.com/app/GMB253374/submission/VYN33065954/ICF247370-GMB253374-129hf00bbnmle0000000/SIG-20250630_1235aa7dp.jpeg", "SIG-20250630_1235aa7dp.jpeg")</f>
        <v>SIG-20250630_1235aa7dp.jpeg</v>
      </c>
      <c r="AY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2" t="s">
        <v>47</v>
      </c>
      <c r="C1060" s="1" t="s">
        <v>5148</v>
      </c>
      <c r="D1060" s="1" t="s">
        <v>5148</v>
      </c>
      <c r="E1060" s="1" t="s">
        <v>5153</v>
      </c>
      <c r="F1060" s="1" t="s">
        <v>51</v>
      </c>
      <c r="G1060" s="1">
        <v>273.0</v>
      </c>
      <c r="H1060" s="1" t="s">
        <v>52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53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54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56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57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f t="shared" si="1"/>
        <v>223</v>
      </c>
      <c r="AM1060" s="1">
        <v>273.0</v>
      </c>
      <c r="AN1060" s="1">
        <v>285.0</v>
      </c>
      <c r="AO1060" s="1">
        <v>145.0</v>
      </c>
      <c r="AP1060" s="2">
        <v>11.0</v>
      </c>
      <c r="AQ1060" s="1">
        <v>128.0</v>
      </c>
      <c r="AR1060" s="1">
        <v>128.0</v>
      </c>
      <c r="AS1060" s="1" t="s">
        <v>5154</v>
      </c>
      <c r="AT1060" s="3" t="str">
        <f>HYPERLINK("https://icf.clappia.com/app/GMB253374/submission/TJD87370047/ICF247370-GMB253374-6103k432lboo00000000/SIG-20250630_1414i16m2.jpeg", "SIG-20250630_1414i16m2.jpeg")</f>
        <v>SIG-20250630_1414i16m2.jpeg</v>
      </c>
      <c r="AU1060" s="1" t="s">
        <v>4550</v>
      </c>
      <c r="AV1060" s="3" t="str">
        <f>HYPERLINK("https://icf.clappia.com/app/GMB253374/submission/TJD87370047/ICF247370-GMB253374-3h514cgncifk00000000/SIG-20250630_1414h5fn1.jpeg", "SIG-20250630_1414h5fn1.jpeg")</f>
        <v>SIG-20250630_1414h5fn1.jpeg</v>
      </c>
      <c r="AW1060" s="1" t="s">
        <v>5155</v>
      </c>
      <c r="AX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Y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2" t="s">
        <v>47</v>
      </c>
      <c r="C1061" s="1" t="s">
        <v>5157</v>
      </c>
      <c r="D1061" s="1" t="s">
        <v>5157</v>
      </c>
      <c r="E1061" s="1" t="s">
        <v>5158</v>
      </c>
      <c r="F1061" s="1" t="s">
        <v>51</v>
      </c>
      <c r="G1061" s="1">
        <v>250.0</v>
      </c>
      <c r="H1061" s="1" t="s">
        <v>52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53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54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56</v>
      </c>
      <c r="AA1061" s="1" t="s">
        <v>55</v>
      </c>
      <c r="AB1061" s="1" t="s">
        <v>55</v>
      </c>
      <c r="AC1061" s="1" t="s">
        <v>55</v>
      </c>
      <c r="AD1061" s="1" t="s">
        <v>55</v>
      </c>
      <c r="AE1061" s="1" t="s">
        <v>55</v>
      </c>
      <c r="AF1061" s="1" t="s">
        <v>57</v>
      </c>
      <c r="AG1061" s="1" t="s">
        <v>55</v>
      </c>
      <c r="AH1061" s="1" t="s">
        <v>55</v>
      </c>
      <c r="AI1061" s="1" t="s">
        <v>55</v>
      </c>
      <c r="AJ1061" s="1" t="s">
        <v>55</v>
      </c>
      <c r="AK1061" s="1" t="s">
        <v>55</v>
      </c>
      <c r="AL1061" s="1">
        <f t="shared" si="1"/>
        <v>205</v>
      </c>
      <c r="AM1061" s="1">
        <v>250.0</v>
      </c>
      <c r="AN1061" s="1">
        <v>262.0</v>
      </c>
      <c r="AO1061" s="1">
        <v>197.0</v>
      </c>
      <c r="AP1061" s="2">
        <v>11.0</v>
      </c>
      <c r="AQ1061" s="1">
        <v>53.0</v>
      </c>
      <c r="AR1061" s="1">
        <v>53.0</v>
      </c>
      <c r="AS1061" s="1" t="s">
        <v>5159</v>
      </c>
      <c r="AT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U1061" s="1" t="s">
        <v>5160</v>
      </c>
      <c r="AV1061" s="3" t="str">
        <f>HYPERLINK("https://icf.clappia.com/app/GMB253374/submission/KNO64988929/ICF247370-GMB253374-99joan4b05ig0000000/SIG-20250630_140518pf2j.jpeg", "SIG-20250630_140518pf2j.jpeg")</f>
        <v>SIG-20250630_140518pf2j.jpeg</v>
      </c>
      <c r="AW1061" s="1" t="s">
        <v>1076</v>
      </c>
      <c r="AX1061" s="3" t="str">
        <f>HYPERLINK("https://icf.clappia.com/app/GMB253374/submission/KNO64988929/ICF247370-GMB253374-5443n6co0m6800000000/SIG-20250630_1410593fd.jpeg", "SIG-20250630_1410593fd.jpeg")</f>
        <v>SIG-20250630_1410593fd.jpeg</v>
      </c>
      <c r="AY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2" t="s">
        <v>47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100.0</v>
      </c>
      <c r="H1062" s="1" t="s">
        <v>52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53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54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56</v>
      </c>
      <c r="AA1062" s="1" t="s">
        <v>55</v>
      </c>
      <c r="AB1062" s="1" t="s">
        <v>55</v>
      </c>
      <c r="AC1062" s="1" t="s">
        <v>55</v>
      </c>
      <c r="AD1062" s="1" t="s">
        <v>55</v>
      </c>
      <c r="AE1062" s="1" t="s">
        <v>55</v>
      </c>
      <c r="AF1062" s="1" t="s">
        <v>57</v>
      </c>
      <c r="AG1062" s="1" t="s">
        <v>55</v>
      </c>
      <c r="AH1062" s="1" t="s">
        <v>55</v>
      </c>
      <c r="AI1062" s="1" t="s">
        <v>55</v>
      </c>
      <c r="AJ1062" s="1" t="s">
        <v>55</v>
      </c>
      <c r="AK1062" s="1" t="s">
        <v>55</v>
      </c>
      <c r="AL1062" s="1">
        <f t="shared" si="1"/>
        <v>100</v>
      </c>
      <c r="AM1062" s="1">
        <v>100.0</v>
      </c>
      <c r="AN1062" s="1">
        <v>112.0</v>
      </c>
      <c r="AO1062" s="1">
        <v>100.0</v>
      </c>
      <c r="AP1062" s="2">
        <v>11.0</v>
      </c>
      <c r="AQ1062" s="1">
        <v>0.0</v>
      </c>
      <c r="AR1062" s="1">
        <v>0.0</v>
      </c>
      <c r="AS1062" s="1" t="s">
        <v>5164</v>
      </c>
      <c r="AT1062" s="3" t="str">
        <f>HYPERLINK("https://icf.clappia.com/app/GMB253374/submission/CEM36444057/ICF247370-GMB253374-69g8cbj8b3m200000000/SIG-20250630_1346h9d43.jpeg", "SIG-20250630_1346h9d43.jpeg")</f>
        <v>SIG-20250630_1346h9d43.jpeg</v>
      </c>
      <c r="AU1062" s="1" t="s">
        <v>2180</v>
      </c>
      <c r="AV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W1062" s="1" t="s">
        <v>4487</v>
      </c>
      <c r="AX1062" s="3" t="str">
        <f>HYPERLINK("https://icf.clappia.com/app/GMB253374/submission/CEM36444057/ICF247370-GMB253374-1gjb47277ikac0000000/SIG-20250630_13579a1de.jpeg", "SIG-20250630_13579a1de.jpeg")</f>
        <v>SIG-20250630_13579a1de.jpeg</v>
      </c>
      <c r="AY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2" t="s">
        <v>47</v>
      </c>
      <c r="C1063" s="1" t="s">
        <v>5166</v>
      </c>
      <c r="D1063" s="1" t="s">
        <v>5166</v>
      </c>
      <c r="E1063" s="1" t="s">
        <v>5167</v>
      </c>
      <c r="F1063" s="1" t="s">
        <v>51</v>
      </c>
      <c r="G1063" s="1">
        <v>350.0</v>
      </c>
      <c r="H1063" s="1" t="s">
        <v>52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53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54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56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57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f t="shared" si="1"/>
        <v>506</v>
      </c>
      <c r="AM1063" s="1">
        <v>350.0</v>
      </c>
      <c r="AN1063" s="1">
        <v>362.0</v>
      </c>
      <c r="AO1063" s="1">
        <v>276.0</v>
      </c>
      <c r="AP1063" s="2">
        <v>11.0</v>
      </c>
      <c r="AQ1063" s="1">
        <v>74.0</v>
      </c>
      <c r="AR1063" s="1">
        <v>74.0</v>
      </c>
      <c r="AS1063" s="1" t="s">
        <v>5168</v>
      </c>
      <c r="AT1063" s="3" t="str">
        <f>HYPERLINK("https://icf.clappia.com/app/GMB253374/submission/EZI96901648/ICF247370-GMB253374-4jbja73epnhc00000000/SIG-20250630_140913i7d.jpeg", "SIG-20250630_140913i7d.jpeg")</f>
        <v>SIG-20250630_140913i7d.jpeg</v>
      </c>
      <c r="AU1063" s="1" t="s">
        <v>5169</v>
      </c>
      <c r="AV1063" s="3" t="str">
        <f>HYPERLINK("https://icf.clappia.com/app/GMB253374/submission/EZI96901648/ICF247370-GMB253374-6acdb1014o2g00000000/SIG-20250630_1410ll9b3.jpeg", "SIG-20250630_1410ll9b3.jpeg")</f>
        <v>SIG-20250630_1410ll9b3.jpeg</v>
      </c>
      <c r="AW1063" s="1" t="s">
        <v>612</v>
      </c>
      <c r="AX1063" s="3" t="str">
        <f>HYPERLINK("https://icf.clappia.com/app/GMB253374/submission/EZI96901648/ICF247370-GMB253374-51l9b7b4e0na00000000/SIG-20250630_1411ol014.jpeg", "SIG-20250630_1411ol014.jpeg")</f>
        <v>SIG-20250630_1411ol014.jpeg</v>
      </c>
      <c r="AY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2" t="s">
        <v>47</v>
      </c>
      <c r="C1064" s="1" t="s">
        <v>5171</v>
      </c>
      <c r="D1064" s="1" t="s">
        <v>5171</v>
      </c>
      <c r="E1064" s="1" t="s">
        <v>5172</v>
      </c>
      <c r="F1064" s="1" t="s">
        <v>51</v>
      </c>
      <c r="G1064" s="1">
        <v>140.0</v>
      </c>
      <c r="H1064" s="1" t="s">
        <v>52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53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54</v>
      </c>
      <c r="U1064" s="1">
        <v>2.0</v>
      </c>
      <c r="V1064" s="1" t="s">
        <v>55</v>
      </c>
      <c r="W1064" s="1" t="s">
        <v>55</v>
      </c>
      <c r="X1064" s="1">
        <v>2.0</v>
      </c>
      <c r="Y1064" s="1">
        <v>2.0</v>
      </c>
      <c r="Z1064" s="1" t="s">
        <v>56</v>
      </c>
      <c r="AA1064" s="1">
        <v>1.0</v>
      </c>
      <c r="AB1064" s="1">
        <v>1.0</v>
      </c>
      <c r="AC1064" s="1">
        <v>1.0</v>
      </c>
      <c r="AD1064" s="1" t="s">
        <v>55</v>
      </c>
      <c r="AE1064" s="1" t="s">
        <v>55</v>
      </c>
      <c r="AF1064" s="1" t="s">
        <v>57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f t="shared" si="1"/>
        <v>22</v>
      </c>
      <c r="AM1064" s="1">
        <v>140.0</v>
      </c>
      <c r="AN1064" s="1">
        <v>152.0</v>
      </c>
      <c r="AO1064" s="1">
        <v>20.0</v>
      </c>
      <c r="AP1064" s="2">
        <v>11.0</v>
      </c>
      <c r="AQ1064" s="1">
        <v>120.0</v>
      </c>
      <c r="AR1064" s="1">
        <v>120.0</v>
      </c>
      <c r="AS1064" s="1" t="s">
        <v>975</v>
      </c>
      <c r="AT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U1064" s="1" t="s">
        <v>976</v>
      </c>
      <c r="AV1064" s="3" t="str">
        <f>HYPERLINK("https://icf.clappia.com/app/GMB253374/submission/BVT49753515/ICF247370-GMB253374-1oi0i5fc879eo0000000/SIG-20250630_1410nbfml.jpeg", "SIG-20250630_1410nbfml.jpeg")</f>
        <v>SIG-20250630_1410nbfml.jpeg</v>
      </c>
      <c r="AW1064" s="1" t="s">
        <v>1377</v>
      </c>
      <c r="AX1064" s="3" t="str">
        <f>HYPERLINK("https://icf.clappia.com/app/GMB253374/submission/BVT49753515/ICF247370-GMB253374-onc7acgme2240000000/SIG-20250630_1410l8337.jpeg", "SIG-20250630_1410l8337.jpeg")</f>
        <v>SIG-20250630_1410l8337.jpeg</v>
      </c>
      <c r="AY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2" t="s">
        <v>47</v>
      </c>
      <c r="C1065" s="1" t="s">
        <v>5174</v>
      </c>
      <c r="D1065" s="1" t="s">
        <v>5174</v>
      </c>
      <c r="E1065" s="1" t="s">
        <v>5175</v>
      </c>
      <c r="F1065" s="1" t="s">
        <v>51</v>
      </c>
      <c r="G1065" s="1">
        <v>166.0</v>
      </c>
      <c r="H1065" s="1" t="s">
        <v>52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53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54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56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57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f t="shared" si="1"/>
        <v>166</v>
      </c>
      <c r="AM1065" s="1">
        <v>166.0</v>
      </c>
      <c r="AN1065" s="1">
        <v>178.0</v>
      </c>
      <c r="AO1065" s="1">
        <v>166.0</v>
      </c>
      <c r="AP1065" s="2">
        <v>11.0</v>
      </c>
      <c r="AQ1065" s="1">
        <v>0.0</v>
      </c>
      <c r="AR1065" s="1">
        <v>0.0</v>
      </c>
      <c r="AS1065" s="1" t="s">
        <v>2946</v>
      </c>
      <c r="AT1065" s="3" t="str">
        <f>HYPERLINK("https://icf.clappia.com/app/GMB253374/submission/AJR72097410/ICF247370-GMB253374-5b093ilfb48600000000/SIG-20250630_1408fm0e6.jpeg", "SIG-20250630_1408fm0e6.jpeg")</f>
        <v>SIG-20250630_1408fm0e6.jpeg</v>
      </c>
      <c r="AU1065" s="1" t="s">
        <v>611</v>
      </c>
      <c r="AV1065" s="3" t="str">
        <f>HYPERLINK("https://icf.clappia.com/app/GMB253374/submission/AJR72097410/ICF247370-GMB253374-1g0eo4jkeojbm0000000/SIG-20250630_1408o6m67.jpeg", "SIG-20250630_1408o6m67.jpeg")</f>
        <v>SIG-20250630_1408o6m67.jpeg</v>
      </c>
      <c r="AW1065" s="1" t="s">
        <v>5176</v>
      </c>
      <c r="AX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Y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2" t="s">
        <v>47</v>
      </c>
      <c r="C1066" s="1" t="s">
        <v>5178</v>
      </c>
      <c r="D1066" s="1" t="s">
        <v>5174</v>
      </c>
      <c r="E1066" s="1" t="s">
        <v>5179</v>
      </c>
      <c r="F1066" s="1" t="s">
        <v>51</v>
      </c>
      <c r="G1066" s="1">
        <v>320.0</v>
      </c>
      <c r="H1066" s="1" t="s">
        <v>52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53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54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56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57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f t="shared" si="1"/>
        <v>217</v>
      </c>
      <c r="AM1066" s="1">
        <v>320.0</v>
      </c>
      <c r="AN1066" s="1">
        <v>332.0</v>
      </c>
      <c r="AO1066" s="1">
        <v>209.0</v>
      </c>
      <c r="AP1066" s="2">
        <v>11.0</v>
      </c>
      <c r="AQ1066" s="1">
        <v>111.0</v>
      </c>
      <c r="AR1066" s="1">
        <v>111.0</v>
      </c>
      <c r="AS1066" s="1" t="s">
        <v>2521</v>
      </c>
      <c r="AT1066" s="3" t="str">
        <f>HYPERLINK("https://icf.clappia.com/app/GMB253374/submission/LVH09280333/ICF247370-GMB253374-p55ahnefk35i0000000/SIG-20250630_14071f5og.jpeg", "SIG-20250630_14071f5og.jpeg")</f>
        <v>SIG-20250630_14071f5og.jpeg</v>
      </c>
      <c r="AU1066" s="1" t="s">
        <v>2522</v>
      </c>
      <c r="AV1066" s="3" t="str">
        <f>HYPERLINK("https://icf.clappia.com/app/GMB253374/submission/LVH09280333/ICF247370-GMB253374-5o5bhm40c3de00000000/SIG-20250630_14085ak0o.jpeg", "SIG-20250630_14085ak0o.jpeg")</f>
        <v>SIG-20250630_14085ak0o.jpeg</v>
      </c>
      <c r="AW1066" s="1" t="s">
        <v>2523</v>
      </c>
      <c r="AX1066" s="3" t="str">
        <f>HYPERLINK("https://icf.clappia.com/app/GMB253374/submission/LVH09280333/ICF247370-GMB253374-62ae73imf08800000000/SIG-20250630_1409maink.jpeg", "SIG-20250630_1409maink.jpeg")</f>
        <v>SIG-20250630_1409maink.jpeg</v>
      </c>
      <c r="AY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2" t="s">
        <v>47</v>
      </c>
      <c r="C1067" s="1" t="s">
        <v>5174</v>
      </c>
      <c r="D1067" s="1" t="s">
        <v>5174</v>
      </c>
      <c r="E1067" s="1" t="s">
        <v>5181</v>
      </c>
      <c r="F1067" s="1" t="s">
        <v>51</v>
      </c>
      <c r="G1067" s="1">
        <v>303.0</v>
      </c>
      <c r="H1067" s="1" t="s">
        <v>52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53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54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56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57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f t="shared" si="1"/>
        <v>223</v>
      </c>
      <c r="AM1067" s="1">
        <v>303.0</v>
      </c>
      <c r="AN1067" s="1">
        <v>315.0</v>
      </c>
      <c r="AO1067" s="1">
        <v>187.0</v>
      </c>
      <c r="AP1067" s="2">
        <v>11.0</v>
      </c>
      <c r="AQ1067" s="1">
        <v>116.0</v>
      </c>
      <c r="AR1067" s="1">
        <v>116.0</v>
      </c>
      <c r="AS1067" s="1" t="s">
        <v>5182</v>
      </c>
      <c r="AT1067" s="3" t="str">
        <f>HYPERLINK("https://icf.clappia.com/app/GMB253374/submission/ZJF29646082/ICF247370-GMB253374-56kad24jkd5m00000000/SIG-20250630_1155ihond.jpeg", "SIG-20250630_1155ihond.jpeg")</f>
        <v>SIG-20250630_1155ihond.jpeg</v>
      </c>
      <c r="AU1067" s="1" t="s">
        <v>809</v>
      </c>
      <c r="AV1067" s="3" t="str">
        <f>HYPERLINK("https://icf.clappia.com/app/GMB253374/submission/ZJF29646082/ICF247370-GMB253374-loh4c47c93a80000000/SIG-20250630_1305pdk02.jpeg", "SIG-20250630_1305pdk02.jpeg")</f>
        <v>SIG-20250630_1305pdk02.jpeg</v>
      </c>
      <c r="AW1067" s="1" t="s">
        <v>810</v>
      </c>
      <c r="AX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Y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2" t="s">
        <v>47</v>
      </c>
      <c r="C1068" s="1" t="s">
        <v>5174</v>
      </c>
      <c r="D1068" s="1" t="s">
        <v>5174</v>
      </c>
      <c r="E1068" s="1" t="s">
        <v>5184</v>
      </c>
      <c r="F1068" s="1" t="s">
        <v>51</v>
      </c>
      <c r="G1068" s="1">
        <v>150.0</v>
      </c>
      <c r="H1068" s="1" t="s">
        <v>52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53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54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56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57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f t="shared" si="1"/>
        <v>146</v>
      </c>
      <c r="AM1068" s="1">
        <v>150.0</v>
      </c>
      <c r="AN1068" s="1">
        <v>162.0</v>
      </c>
      <c r="AO1068" s="1">
        <v>92.0</v>
      </c>
      <c r="AP1068" s="2">
        <v>11.0</v>
      </c>
      <c r="AQ1068" s="1">
        <v>58.0</v>
      </c>
      <c r="AR1068" s="1">
        <v>58.0</v>
      </c>
      <c r="AS1068" s="1" t="s">
        <v>5185</v>
      </c>
      <c r="AT1068" s="3" t="str">
        <f>HYPERLINK("https://icf.clappia.com/app/GMB253374/submission/YJN97236634/ICF247370-GMB253374-hld7k0lfkp2g0000000/SIG-20250630_135417ojea.jpeg", "SIG-20250630_135417ojea.jpeg")</f>
        <v>SIG-20250630_135417ojea.jpeg</v>
      </c>
      <c r="AU1068" s="1" t="s">
        <v>5186</v>
      </c>
      <c r="AV1068" s="3" t="str">
        <f>HYPERLINK("https://icf.clappia.com/app/GMB253374/submission/YJN97236634/ICF247370-GMB253374-40nc6jkelmn000000000/SIG-20250630_1355dkijm.jpeg", "SIG-20250630_1355dkijm.jpeg")</f>
        <v>SIG-20250630_1355dkijm.jpeg</v>
      </c>
      <c r="AW1068" s="1" t="s">
        <v>5187</v>
      </c>
      <c r="AX1068" s="3" t="str">
        <f>HYPERLINK("https://icf.clappia.com/app/GMB253374/submission/YJN97236634/ICF247370-GMB253374-11f29jbgk1lj60000000/SIG-20250630_13546cklh.jpeg", "SIG-20250630_13546cklh.jpeg")</f>
        <v>SIG-20250630_13546cklh.jpeg</v>
      </c>
      <c r="AY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2" t="s">
        <v>47</v>
      </c>
      <c r="C1069" s="1" t="s">
        <v>5189</v>
      </c>
      <c r="D1069" s="1" t="s">
        <v>5189</v>
      </c>
      <c r="E1069" s="1" t="s">
        <v>5190</v>
      </c>
      <c r="F1069" s="1" t="s">
        <v>51</v>
      </c>
      <c r="G1069" s="1">
        <v>150.0</v>
      </c>
      <c r="H1069" s="1" t="s">
        <v>52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53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54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56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57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f t="shared" si="1"/>
        <v>171</v>
      </c>
      <c r="AM1069" s="1">
        <v>150.0</v>
      </c>
      <c r="AN1069" s="1">
        <v>162.0</v>
      </c>
      <c r="AO1069" s="1">
        <v>94.0</v>
      </c>
      <c r="AP1069" s="2">
        <v>11.0</v>
      </c>
      <c r="AQ1069" s="1">
        <v>56.0</v>
      </c>
      <c r="AR1069" s="1">
        <v>56.0</v>
      </c>
      <c r="AS1069" s="1" t="s">
        <v>5191</v>
      </c>
      <c r="AT1069" s="3" t="str">
        <f>HYPERLINK("https://icf.clappia.com/app/GMB253374/submission/HHZ51324074/ICF247370-GMB253374-59nen0d49gki00000000/SIG-20250630_11038cme1.jpeg", "SIG-20250630_11038cme1.jpeg")</f>
        <v>SIG-20250630_11038cme1.jpeg</v>
      </c>
      <c r="AU1069" s="1" t="s">
        <v>5192</v>
      </c>
      <c r="AV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W1069" s="1" t="s">
        <v>2787</v>
      </c>
      <c r="AX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Y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2" t="s">
        <v>47</v>
      </c>
      <c r="C1070" s="1" t="s">
        <v>5194</v>
      </c>
      <c r="D1070" s="1" t="s">
        <v>5194</v>
      </c>
      <c r="E1070" s="1" t="s">
        <v>5195</v>
      </c>
      <c r="F1070" s="1" t="s">
        <v>51</v>
      </c>
      <c r="G1070" s="1">
        <v>100.0</v>
      </c>
      <c r="H1070" s="1" t="s">
        <v>52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53</v>
      </c>
      <c r="O1070" s="1" t="s">
        <v>55</v>
      </c>
      <c r="P1070" s="1" t="s">
        <v>55</v>
      </c>
      <c r="Q1070" s="1" t="s">
        <v>55</v>
      </c>
      <c r="R1070" s="1" t="s">
        <v>55</v>
      </c>
      <c r="S1070" s="1" t="s">
        <v>55</v>
      </c>
      <c r="T1070" s="1" t="s">
        <v>54</v>
      </c>
      <c r="U1070" s="1" t="s">
        <v>55</v>
      </c>
      <c r="V1070" s="1" t="s">
        <v>55</v>
      </c>
      <c r="W1070" s="1" t="s">
        <v>55</v>
      </c>
      <c r="X1070" s="1" t="s">
        <v>55</v>
      </c>
      <c r="Y1070" s="1" t="s">
        <v>55</v>
      </c>
      <c r="Z1070" s="1" t="s">
        <v>56</v>
      </c>
      <c r="AA1070" s="1" t="s">
        <v>55</v>
      </c>
      <c r="AB1070" s="1" t="s">
        <v>55</v>
      </c>
      <c r="AC1070" s="1" t="s">
        <v>55</v>
      </c>
      <c r="AD1070" s="1" t="s">
        <v>55</v>
      </c>
      <c r="AE1070" s="1" t="s">
        <v>55</v>
      </c>
      <c r="AF1070" s="1" t="s">
        <v>57</v>
      </c>
      <c r="AG1070" s="1" t="s">
        <v>55</v>
      </c>
      <c r="AH1070" s="1" t="s">
        <v>55</v>
      </c>
      <c r="AI1070" s="1" t="s">
        <v>55</v>
      </c>
      <c r="AJ1070" s="1" t="s">
        <v>55</v>
      </c>
      <c r="AK1070" s="1" t="s">
        <v>55</v>
      </c>
      <c r="AL1070" s="1">
        <f t="shared" si="1"/>
        <v>57</v>
      </c>
      <c r="AM1070" s="1">
        <v>100.0</v>
      </c>
      <c r="AN1070" s="1">
        <v>112.0</v>
      </c>
      <c r="AO1070" s="1">
        <v>57.0</v>
      </c>
      <c r="AP1070" s="2">
        <v>11.0</v>
      </c>
      <c r="AQ1070" s="1">
        <v>43.0</v>
      </c>
      <c r="AR1070" s="1">
        <v>43.0</v>
      </c>
      <c r="AS1070" s="1" t="s">
        <v>5196</v>
      </c>
      <c r="AT1070" s="3" t="str">
        <f>HYPERLINK("https://icf.clappia.com/app/GMB253374/submission/YFY32443794/ICF247370-GMB253374-278gg2all1a7g0000000/SIG-20250630_1328kb5mf.jpeg", "SIG-20250630_1328kb5mf.jpeg")</f>
        <v>SIG-20250630_1328kb5mf.jpeg</v>
      </c>
      <c r="AU1070" s="1" t="s">
        <v>5197</v>
      </c>
      <c r="AV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W1070" s="1" t="s">
        <v>5198</v>
      </c>
      <c r="AX1070" s="3" t="str">
        <f>HYPERLINK("https://icf.clappia.com/app/GMB253374/submission/YFY32443794/ICF247370-GMB253374-58jjcd12lmfa00000000/SIG-20250630_13298limb.jpeg", "SIG-20250630_13298limb.jpeg")</f>
        <v>SIG-20250630_13298limb.jpeg</v>
      </c>
      <c r="AY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2" t="s">
        <v>47</v>
      </c>
      <c r="C1071" s="1" t="s">
        <v>5200</v>
      </c>
      <c r="D1071" s="1" t="s">
        <v>5194</v>
      </c>
      <c r="E1071" s="1" t="s">
        <v>5201</v>
      </c>
      <c r="F1071" s="1" t="s">
        <v>51</v>
      </c>
      <c r="G1071" s="1">
        <v>188.0</v>
      </c>
      <c r="H1071" s="1" t="s">
        <v>52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53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54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56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57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f t="shared" si="1"/>
        <v>188</v>
      </c>
      <c r="AM1071" s="1">
        <v>188.0</v>
      </c>
      <c r="AN1071" s="1">
        <v>200.0</v>
      </c>
      <c r="AO1071" s="1">
        <v>188.0</v>
      </c>
      <c r="AP1071" s="2">
        <v>11.0</v>
      </c>
      <c r="AQ1071" s="1">
        <v>0.0</v>
      </c>
      <c r="AR1071" s="1">
        <v>0.0</v>
      </c>
      <c r="AS1071" s="1" t="s">
        <v>1900</v>
      </c>
      <c r="AT1071" s="3" t="str">
        <f>HYPERLINK("https://icf.clappia.com/app/GMB253374/submission/LJH93201931/ICF247370-GMB253374-5h03mchnbm8200000000/SIG-20250630_13001ea6m.jpeg", "SIG-20250630_13001ea6m.jpeg")</f>
        <v>SIG-20250630_13001ea6m.jpeg</v>
      </c>
      <c r="AU1071" s="1" t="s">
        <v>1901</v>
      </c>
      <c r="AV1071" s="3" t="str">
        <f>HYPERLINK("https://icf.clappia.com/app/GMB253374/submission/LJH93201931/ICF247370-GMB253374-5c73bd3fga4m00000000/SIG-20250630_1313ic99h.jpeg", "SIG-20250630_1313ic99h.jpeg")</f>
        <v>SIG-20250630_1313ic99h.jpeg</v>
      </c>
      <c r="AW1071" s="1" t="s">
        <v>1902</v>
      </c>
      <c r="AX1071" s="3" t="str">
        <f>HYPERLINK("https://icf.clappia.com/app/GMB253374/submission/LJH93201931/ICF247370-GMB253374-4jna56hdl1ic00000000/SIG-20250630_13012l4c3.jpeg", "SIG-20250630_13012l4c3.jpeg")</f>
        <v>SIG-20250630_13012l4c3.jpeg</v>
      </c>
      <c r="AY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2" t="s">
        <v>47</v>
      </c>
      <c r="C1072" s="1" t="s">
        <v>5203</v>
      </c>
      <c r="D1072" s="1" t="s">
        <v>5203</v>
      </c>
      <c r="E1072" s="1" t="s">
        <v>5204</v>
      </c>
      <c r="F1072" s="1" t="s">
        <v>51</v>
      </c>
      <c r="G1072" s="1">
        <v>100.0</v>
      </c>
      <c r="H1072" s="1" t="s">
        <v>52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53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54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56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57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f t="shared" si="1"/>
        <v>285</v>
      </c>
      <c r="AM1072" s="1">
        <v>100.0</v>
      </c>
      <c r="AN1072" s="1">
        <v>112.0</v>
      </c>
      <c r="AO1072" s="1">
        <v>100.0</v>
      </c>
      <c r="AP1072" s="2">
        <v>11.0</v>
      </c>
      <c r="AQ1072" s="1">
        <v>0.0</v>
      </c>
      <c r="AR1072" s="1">
        <v>0.0</v>
      </c>
      <c r="AS1072" s="1" t="s">
        <v>5205</v>
      </c>
      <c r="AT1072" s="3" t="str">
        <f>HYPERLINK("https://icf.clappia.com/app/GMB253374/submission/VYO87194841/ICF247370-GMB253374-45496i0d4do800000000/SIG-20250630_1336ja747.jpeg", "SIG-20250630_1336ja747.jpeg")</f>
        <v>SIG-20250630_1336ja747.jpeg</v>
      </c>
      <c r="AU1072" s="1" t="s">
        <v>5206</v>
      </c>
      <c r="AV1072" s="3" t="str">
        <f>HYPERLINK("https://icf.clappia.com/app/GMB253374/submission/VYO87194841/ICF247370-GMB253374-fa1754ah8c7a0000000/SIG-20250630_1337dgnej.jpeg", "SIG-20250630_1337dgnej.jpeg")</f>
        <v>SIG-20250630_1337dgnej.jpeg</v>
      </c>
      <c r="AW1072" s="1" t="s">
        <v>2241</v>
      </c>
      <c r="AX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Y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2" t="s">
        <v>47</v>
      </c>
      <c r="C1073" s="1" t="s">
        <v>5208</v>
      </c>
      <c r="D1073" s="1" t="s">
        <v>5208</v>
      </c>
      <c r="E1073" s="1" t="s">
        <v>5209</v>
      </c>
      <c r="F1073" s="1" t="s">
        <v>51</v>
      </c>
      <c r="G1073" s="1">
        <v>150.0</v>
      </c>
      <c r="H1073" s="1" t="s">
        <v>52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53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54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56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57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f t="shared" si="1"/>
        <v>141</v>
      </c>
      <c r="AM1073" s="1">
        <v>150.0</v>
      </c>
      <c r="AN1073" s="1">
        <v>162.0</v>
      </c>
      <c r="AO1073" s="1">
        <v>134.0</v>
      </c>
      <c r="AP1073" s="2">
        <v>11.0</v>
      </c>
      <c r="AQ1073" s="1">
        <v>16.0</v>
      </c>
      <c r="AR1073" s="1">
        <v>16.0</v>
      </c>
      <c r="AS1073" s="1" t="s">
        <v>5210</v>
      </c>
      <c r="AT1073" s="3" t="str">
        <f>HYPERLINK("https://icf.clappia.com/app/GMB253374/submission/IRB97691938/ICF247370-GMB253374-19pioohp8c6c00000000/SIG-20250630_134651ief.jpeg", "SIG-20250630_134651ief.jpeg")</f>
        <v>SIG-20250630_134651ief.jpeg</v>
      </c>
      <c r="AU1073" s="1" t="s">
        <v>4545</v>
      </c>
      <c r="AV1073" s="3" t="str">
        <f>HYPERLINK("https://icf.clappia.com/app/GMB253374/submission/IRB97691938/ICF247370-GMB253374-e7d1a2h7mjeo0000000/SIG-20250630_135313ig6a.jpeg", "SIG-20250630_135313ig6a.jpeg")</f>
        <v>SIG-20250630_135313ig6a.jpeg</v>
      </c>
      <c r="AW1073" s="1" t="s">
        <v>4546</v>
      </c>
      <c r="AX1073" s="3" t="str">
        <f>HYPERLINK("https://icf.clappia.com/app/GMB253374/submission/IRB97691938/ICF247370-GMB253374-56kjigij208400000000/SIG-20250630_13503h1be.jpeg", "SIG-20250630_13503h1be.jpeg")</f>
        <v>SIG-20250630_13503h1be.jpeg</v>
      </c>
      <c r="AY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2" t="s">
        <v>47</v>
      </c>
      <c r="C1074" s="1" t="s">
        <v>5212</v>
      </c>
      <c r="D1074" s="1" t="s">
        <v>5212</v>
      </c>
      <c r="E1074" s="1" t="s">
        <v>5213</v>
      </c>
      <c r="F1074" s="1" t="s">
        <v>51</v>
      </c>
      <c r="G1074" s="1">
        <v>278.0</v>
      </c>
      <c r="H1074" s="1" t="s">
        <v>52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53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54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56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57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f t="shared" si="1"/>
        <v>278</v>
      </c>
      <c r="AM1074" s="1">
        <v>278.0</v>
      </c>
      <c r="AN1074" s="1">
        <v>290.0</v>
      </c>
      <c r="AO1074" s="1">
        <v>276.0</v>
      </c>
      <c r="AP1074" s="2">
        <v>11.0</v>
      </c>
      <c r="AQ1074" s="1">
        <v>2.0</v>
      </c>
      <c r="AR1074" s="1">
        <v>2.0</v>
      </c>
      <c r="AS1074" s="1" t="s">
        <v>5214</v>
      </c>
      <c r="AT1074" s="3" t="str">
        <f>HYPERLINK("https://icf.clappia.com/app/GMB253374/submission/DRO56499311/ICF247370-GMB253374-5295m2fdg4g200000000/SIG-20250630_13071n83d.jpeg", "SIG-20250630_13071n83d.jpeg")</f>
        <v>SIG-20250630_13071n83d.jpeg</v>
      </c>
      <c r="AU1074" s="1" t="s">
        <v>2891</v>
      </c>
      <c r="AV1074" s="3" t="str">
        <f>HYPERLINK("https://icf.clappia.com/app/GMB253374/submission/DRO56499311/ICF247370-GMB253374-30mpccooeooe00000000/SIG-20250630_130568kp6.jpeg", "SIG-20250630_130568kp6.jpeg")</f>
        <v>SIG-20250630_130568kp6.jpeg</v>
      </c>
      <c r="AW1074" s="1" t="s">
        <v>5215</v>
      </c>
      <c r="AX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Y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2" t="s">
        <v>47</v>
      </c>
      <c r="C1075" s="1" t="s">
        <v>5217</v>
      </c>
      <c r="D1075" s="1" t="s">
        <v>5218</v>
      </c>
      <c r="E1075" s="1" t="s">
        <v>5219</v>
      </c>
      <c r="F1075" s="1" t="s">
        <v>51</v>
      </c>
      <c r="G1075" s="1">
        <v>150.0</v>
      </c>
      <c r="H1075" s="1" t="s">
        <v>52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53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54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56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57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f t="shared" si="1"/>
        <v>132</v>
      </c>
      <c r="AM1075" s="1">
        <v>150.0</v>
      </c>
      <c r="AN1075" s="1">
        <v>162.0</v>
      </c>
      <c r="AO1075" s="1">
        <v>115.0</v>
      </c>
      <c r="AP1075" s="2">
        <v>11.0</v>
      </c>
      <c r="AQ1075" s="1">
        <v>35.0</v>
      </c>
      <c r="AR1075" s="1">
        <v>35.0</v>
      </c>
      <c r="AS1075" s="1" t="s">
        <v>5220</v>
      </c>
      <c r="AT1075" s="3" t="str">
        <f>HYPERLINK("https://icf.clappia.com/app/GMB253374/submission/IWP38377586/ICF247370-GMB253374-4e8ccbioee3c00000000/SIG-20250630_13302o6lh.jpeg", "SIG-20250630_13302o6lh.jpeg")</f>
        <v>SIG-20250630_13302o6lh.jpeg</v>
      </c>
      <c r="AU1075" s="1" t="s">
        <v>5221</v>
      </c>
      <c r="AV1075" s="3" t="str">
        <f>HYPERLINK("https://icf.clappia.com/app/GMB253374/submission/IWP38377586/ICF247370-GMB253374-52l6e40fd36m00000000/SIG-20250630_133475nkd.jpeg", "SIG-20250630_133475nkd.jpeg")</f>
        <v>SIG-20250630_133475nkd.jpeg</v>
      </c>
      <c r="AW1075" s="1" t="s">
        <v>5222</v>
      </c>
      <c r="AX1075" s="3" t="str">
        <f>HYPERLINK("https://icf.clappia.com/app/GMB253374/submission/IWP38377586/ICF247370-GMB253374-2387e2emk0pn60000000/SIG-20250630_1334d148m.jpeg", "SIG-20250630_1334d148m.jpeg")</f>
        <v>SIG-20250630_1334d148m.jpeg</v>
      </c>
      <c r="AY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2" t="s">
        <v>47</v>
      </c>
      <c r="C1076" s="1" t="s">
        <v>5224</v>
      </c>
      <c r="D1076" s="1" t="s">
        <v>5224</v>
      </c>
      <c r="E1076" s="1" t="s">
        <v>5225</v>
      </c>
      <c r="F1076" s="1" t="s">
        <v>51</v>
      </c>
      <c r="G1076" s="1">
        <v>200.0</v>
      </c>
      <c r="H1076" s="1" t="s">
        <v>52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53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54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56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57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f t="shared" si="1"/>
        <v>183</v>
      </c>
      <c r="AM1076" s="1">
        <v>200.0</v>
      </c>
      <c r="AN1076" s="1">
        <v>212.0</v>
      </c>
      <c r="AO1076" s="1">
        <v>173.0</v>
      </c>
      <c r="AP1076" s="2">
        <v>11.0</v>
      </c>
      <c r="AQ1076" s="1">
        <v>27.0</v>
      </c>
      <c r="AR1076" s="1">
        <v>27.0</v>
      </c>
      <c r="AS1076" s="1" t="s">
        <v>4185</v>
      </c>
      <c r="AT1076" s="3" t="str">
        <f>HYPERLINK("https://icf.clappia.com/app/GMB253374/submission/VYT47983338/ICF247370-GMB253374-48m9a40fm9pg00000000/SIG-20250630_1331bhbif.jpeg", "SIG-20250630_1331bhbif.jpeg")</f>
        <v>SIG-20250630_1331bhbif.jpeg</v>
      </c>
      <c r="AU1076" s="1" t="s">
        <v>4184</v>
      </c>
      <c r="AV1076" s="3" t="str">
        <f>HYPERLINK("https://icf.clappia.com/app/GMB253374/submission/VYT47983338/ICF247370-GMB253374-1c748dio2l1a00000000/SIG-20250630_13315pnkg.jpeg", "SIG-20250630_13315pnkg.jpeg")</f>
        <v>SIG-20250630_13315pnkg.jpeg</v>
      </c>
      <c r="AW1076" s="1" t="s">
        <v>5226</v>
      </c>
      <c r="AX1076" s="3" t="str">
        <f>HYPERLINK("https://icf.clappia.com/app/GMB253374/submission/VYT47983338/ICF247370-GMB253374-k5o4gjokm2a40000000/SIG-20250630_1342oa9f.jpeg", "SIG-20250630_1342oa9f.jpeg")</f>
        <v>SIG-20250630_1342oa9f.jpeg</v>
      </c>
      <c r="AY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2" t="s">
        <v>47</v>
      </c>
      <c r="C1077" s="1" t="s">
        <v>5228</v>
      </c>
      <c r="D1077" s="1" t="s">
        <v>5228</v>
      </c>
      <c r="E1077" s="1" t="s">
        <v>5229</v>
      </c>
      <c r="F1077" s="1" t="s">
        <v>51</v>
      </c>
      <c r="G1077" s="1">
        <v>150.0</v>
      </c>
      <c r="H1077" s="1" t="s">
        <v>52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53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54</v>
      </c>
      <c r="U1077" s="1" t="s">
        <v>55</v>
      </c>
      <c r="V1077" s="1" t="s">
        <v>55</v>
      </c>
      <c r="W1077" s="1" t="s">
        <v>55</v>
      </c>
      <c r="X1077" s="1" t="s">
        <v>55</v>
      </c>
      <c r="Y1077" s="1" t="s">
        <v>55</v>
      </c>
      <c r="Z1077" s="1" t="s">
        <v>56</v>
      </c>
      <c r="AA1077" s="1" t="s">
        <v>55</v>
      </c>
      <c r="AB1077" s="1" t="s">
        <v>55</v>
      </c>
      <c r="AC1077" s="1" t="s">
        <v>55</v>
      </c>
      <c r="AD1077" s="1" t="s">
        <v>55</v>
      </c>
      <c r="AE1077" s="1" t="s">
        <v>55</v>
      </c>
      <c r="AF1077" s="1" t="s">
        <v>57</v>
      </c>
      <c r="AG1077" s="1" t="s">
        <v>55</v>
      </c>
      <c r="AH1077" s="1" t="s">
        <v>55</v>
      </c>
      <c r="AI1077" s="1" t="s">
        <v>55</v>
      </c>
      <c r="AJ1077" s="1" t="s">
        <v>55</v>
      </c>
      <c r="AK1077" s="1" t="s">
        <v>55</v>
      </c>
      <c r="AL1077" s="1">
        <f t="shared" si="1"/>
        <v>165</v>
      </c>
      <c r="AM1077" s="1">
        <v>150.0</v>
      </c>
      <c r="AN1077" s="1">
        <v>162.0</v>
      </c>
      <c r="AO1077" s="1">
        <v>150.0</v>
      </c>
      <c r="AP1077" s="2">
        <v>11.0</v>
      </c>
      <c r="AQ1077" s="1">
        <v>0.0</v>
      </c>
      <c r="AR1077" s="1">
        <v>0.0</v>
      </c>
      <c r="AS1077" s="1" t="s">
        <v>5230</v>
      </c>
      <c r="AT1077" s="3" t="str">
        <f>HYPERLINK("https://icf.clappia.com/app/GMB253374/submission/RKN64951214/ICF247370-GMB253374-4elmb85lb0a800000000/SIG-20250630_1200p30hh.jpeg", "SIG-20250630_1200p30hh.jpeg")</f>
        <v>SIG-20250630_1200p30hh.jpeg</v>
      </c>
      <c r="AU1077" s="1" t="s">
        <v>5231</v>
      </c>
      <c r="AV1077" s="3" t="str">
        <f>HYPERLINK("https://icf.clappia.com/app/GMB253374/submission/RKN64951214/ICF247370-GMB253374-67969f4ebi4g00000000/SIG-20250630_1201m0cnf.jpeg", "SIG-20250630_1201m0cnf.jpeg")</f>
        <v>SIG-20250630_1201m0cnf.jpeg</v>
      </c>
      <c r="AW1077" s="1" t="s">
        <v>5232</v>
      </c>
      <c r="AX1077" s="3" t="str">
        <f>HYPERLINK("https://icf.clappia.com/app/GMB253374/submission/RKN64951214/ICF247370-GMB253374-3hf3bd7dm2g400000000/SIG-20250630_1203f7bic.jpeg", "SIG-20250630_1203f7bic.jpeg")</f>
        <v>SIG-20250630_1203f7bic.jpeg</v>
      </c>
      <c r="AY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2" t="s">
        <v>47</v>
      </c>
      <c r="C1078" s="1" t="s">
        <v>5234</v>
      </c>
      <c r="D1078" s="1" t="s">
        <v>5234</v>
      </c>
      <c r="E1078" s="1" t="s">
        <v>5235</v>
      </c>
      <c r="F1078" s="1" t="s">
        <v>51</v>
      </c>
      <c r="G1078" s="1">
        <v>308.0</v>
      </c>
      <c r="H1078" s="1" t="s">
        <v>52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53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54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56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57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f t="shared" si="1"/>
        <v>308</v>
      </c>
      <c r="AM1078" s="1">
        <v>308.0</v>
      </c>
      <c r="AN1078" s="1">
        <v>320.0</v>
      </c>
      <c r="AO1078" s="1">
        <v>298.0</v>
      </c>
      <c r="AP1078" s="2">
        <v>11.0</v>
      </c>
      <c r="AQ1078" s="1">
        <v>10.0</v>
      </c>
      <c r="AR1078" s="1">
        <v>10.0</v>
      </c>
      <c r="AS1078" s="1" t="s">
        <v>5236</v>
      </c>
      <c r="AT1078" s="3" t="str">
        <f>HYPERLINK("https://icf.clappia.com/app/GMB253374/submission/TVS20863940/ICF247370-GMB253374-4jccgnle63e600000000/SIG-20250630_13465p8l8.jpeg", "SIG-20250630_13465p8l8.jpeg")</f>
        <v>SIG-20250630_13465p8l8.jpeg</v>
      </c>
      <c r="AU1078" s="1" t="s">
        <v>5237</v>
      </c>
      <c r="AV1078" s="3" t="str">
        <f>HYPERLINK("https://icf.clappia.com/app/GMB253374/submission/TVS20863940/ICF247370-GMB253374-af52daif2dmg0000000/SIG-20250630_13462icoh.jpeg", "SIG-20250630_13462icoh.jpeg")</f>
        <v>SIG-20250630_13462icoh.jpeg</v>
      </c>
      <c r="AW1078" s="1" t="s">
        <v>5238</v>
      </c>
      <c r="AX1078" s="3" t="str">
        <f>HYPERLINK("https://icf.clappia.com/app/GMB253374/submission/TVS20863940/ICF247370-GMB253374-5o7116dal9pe00000000/SIG-20250630_1348nckmc.jpeg", "SIG-20250630_1348nckmc.jpeg")</f>
        <v>SIG-20250630_1348nckmc.jpeg</v>
      </c>
      <c r="AY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2" t="s">
        <v>47</v>
      </c>
      <c r="C1079" s="1" t="s">
        <v>5234</v>
      </c>
      <c r="D1079" s="1" t="s">
        <v>5234</v>
      </c>
      <c r="E1079" s="1" t="s">
        <v>5240</v>
      </c>
      <c r="F1079" s="1" t="s">
        <v>51</v>
      </c>
      <c r="G1079" s="1">
        <v>200.0</v>
      </c>
      <c r="H1079" s="1" t="s">
        <v>52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53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54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56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57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f t="shared" si="1"/>
        <v>189</v>
      </c>
      <c r="AM1079" s="1">
        <v>200.0</v>
      </c>
      <c r="AN1079" s="1">
        <v>212.0</v>
      </c>
      <c r="AO1079" s="1">
        <v>170.0</v>
      </c>
      <c r="AP1079" s="2">
        <v>11.0</v>
      </c>
      <c r="AQ1079" s="1">
        <v>30.0</v>
      </c>
      <c r="AR1079" s="1">
        <v>30.0</v>
      </c>
      <c r="AS1079" s="1" t="s">
        <v>5241</v>
      </c>
      <c r="AT1079" s="3" t="str">
        <f>HYPERLINK("https://icf.clappia.com/app/GMB253374/submission/VJF96700283/ICF247370-GMB253374-1o20bfo746k640000000/SIG-20250630_1346h9l96.jpeg", "SIG-20250630_1346h9l96.jpeg")</f>
        <v>SIG-20250630_1346h9l96.jpeg</v>
      </c>
      <c r="AU1079" s="1" t="s">
        <v>5242</v>
      </c>
      <c r="AV1079" s="3" t="str">
        <f>HYPERLINK("https://icf.clappia.com/app/GMB253374/submission/VJF96700283/ICF247370-GMB253374-1ffncjm0old1a0000000/SIG-20250630_1347d7b1i.jpeg", "SIG-20250630_1347d7b1i.jpeg")</f>
        <v>SIG-20250630_1347d7b1i.jpeg</v>
      </c>
      <c r="AW1079" s="1" t="s">
        <v>5243</v>
      </c>
      <c r="AX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Y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2" t="s">
        <v>47</v>
      </c>
      <c r="C1080" s="1" t="s">
        <v>5245</v>
      </c>
      <c r="D1080" s="1" t="s">
        <v>5246</v>
      </c>
      <c r="E1080" s="1" t="s">
        <v>2967</v>
      </c>
      <c r="F1080" s="1" t="s">
        <v>51</v>
      </c>
      <c r="G1080" s="1">
        <v>227.0</v>
      </c>
      <c r="H1080" s="1" t="s">
        <v>52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53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54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56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57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f t="shared" si="1"/>
        <v>227</v>
      </c>
      <c r="AM1080" s="1">
        <v>227.0</v>
      </c>
      <c r="AN1080" s="1">
        <v>239.0</v>
      </c>
      <c r="AO1080" s="1">
        <v>227.0</v>
      </c>
      <c r="AP1080" s="2">
        <v>11.0</v>
      </c>
      <c r="AQ1080" s="1">
        <v>0.0</v>
      </c>
      <c r="AR1080" s="1">
        <v>0.0</v>
      </c>
      <c r="AS1080" s="1" t="s">
        <v>5247</v>
      </c>
      <c r="AT1080" s="3" t="str">
        <f>HYPERLINK("https://icf.clappia.com/app/GMB253374/submission/IMT35040416/ICF247370-GMB253374-2acnok9ln7kdg0000000/SIG-20250630_1344b3o4h.jpeg", "SIG-20250630_1344b3o4h.jpeg")</f>
        <v>SIG-20250630_1344b3o4h.jpeg</v>
      </c>
      <c r="AU1080" s="1" t="s">
        <v>5248</v>
      </c>
      <c r="AV1080" s="3" t="str">
        <f>HYPERLINK("https://icf.clappia.com/app/GMB253374/submission/IMT35040416/ICF247370-GMB253374-76lp9g6ki6800000000/SIG-20250630_1345lco9h.jpeg", "SIG-20250630_1345lco9h.jpeg")</f>
        <v>SIG-20250630_1345lco9h.jpeg</v>
      </c>
      <c r="AW1080" s="1" t="s">
        <v>5249</v>
      </c>
      <c r="AX1080" s="3" t="str">
        <f>HYPERLINK("https://icf.clappia.com/app/GMB253374/submission/IMT35040416/ICF247370-GMB253374-646j6ieb2oeg00000000/SIG-20250630_1347plpc6.jpeg", "SIG-20250630_1347plpc6.jpeg")</f>
        <v>SIG-20250630_1347plpc6.jpeg</v>
      </c>
      <c r="AY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2" t="s">
        <v>47</v>
      </c>
      <c r="C1081" s="1" t="s">
        <v>5251</v>
      </c>
      <c r="D1081" s="1" t="s">
        <v>5251</v>
      </c>
      <c r="E1081" s="1" t="s">
        <v>5252</v>
      </c>
      <c r="F1081" s="1" t="s">
        <v>51</v>
      </c>
      <c r="G1081" s="1">
        <v>234.0</v>
      </c>
      <c r="H1081" s="1" t="s">
        <v>52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53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54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56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57</v>
      </c>
      <c r="AG1081" s="1" t="s">
        <v>55</v>
      </c>
      <c r="AH1081" s="1" t="s">
        <v>55</v>
      </c>
      <c r="AI1081" s="1" t="s">
        <v>55</v>
      </c>
      <c r="AJ1081" s="1" t="s">
        <v>55</v>
      </c>
      <c r="AK1081" s="1" t="s">
        <v>55</v>
      </c>
      <c r="AL1081" s="1">
        <f t="shared" si="1"/>
        <v>234</v>
      </c>
      <c r="AM1081" s="1">
        <v>234.0</v>
      </c>
      <c r="AN1081" s="1">
        <v>246.0</v>
      </c>
      <c r="AO1081" s="1">
        <v>234.0</v>
      </c>
      <c r="AP1081" s="2">
        <v>11.0</v>
      </c>
      <c r="AQ1081" s="1">
        <v>0.0</v>
      </c>
      <c r="AR1081" s="1">
        <v>0.0</v>
      </c>
      <c r="AS1081" s="1" t="s">
        <v>4038</v>
      </c>
      <c r="AT1081" s="3" t="str">
        <f>HYPERLINK("https://icf.clappia.com/app/GMB253374/submission/PTL60628036/ICF247370-GMB253374-1b4nfiec1io160000000/SIG-20250630_1344lah3b.jpeg", "SIG-20250630_1344lah3b.jpeg")</f>
        <v>SIG-20250630_1344lah3b.jpeg</v>
      </c>
      <c r="AU1081" s="1" t="s">
        <v>4039</v>
      </c>
      <c r="AV1081" s="3" t="str">
        <f>HYPERLINK("https://icf.clappia.com/app/GMB253374/submission/PTL60628036/ICF247370-GMB253374-4h8e5d344i9200000000/SIG-20250630_1345lfai.jpeg", "SIG-20250630_1345lfai.jpeg")</f>
        <v>SIG-20250630_1345lfai.jpeg</v>
      </c>
      <c r="AW1081" s="1" t="s">
        <v>5253</v>
      </c>
      <c r="AX1081" s="3" t="str">
        <f>HYPERLINK("https://icf.clappia.com/app/GMB253374/submission/PTL60628036/ICF247370-GMB253374-3eecbpnco61000000000/SIG-20250630_134635k42.jpeg", "SIG-20250630_134635k42.jpeg")</f>
        <v>SIG-20250630_134635k42.jpeg</v>
      </c>
      <c r="AY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2" t="s">
        <v>47</v>
      </c>
      <c r="C1082" s="1" t="s">
        <v>5255</v>
      </c>
      <c r="D1082" s="1" t="s">
        <v>5255</v>
      </c>
      <c r="E1082" s="1" t="s">
        <v>5256</v>
      </c>
      <c r="F1082" s="1" t="s">
        <v>51</v>
      </c>
      <c r="G1082" s="1">
        <v>400.0</v>
      </c>
      <c r="H1082" s="1" t="s">
        <v>52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53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54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56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57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f t="shared" si="1"/>
        <v>357</v>
      </c>
      <c r="AM1082" s="1">
        <v>400.0</v>
      </c>
      <c r="AN1082" s="1">
        <v>412.0</v>
      </c>
      <c r="AO1082" s="1">
        <v>347.0</v>
      </c>
      <c r="AP1082" s="2">
        <v>11.0</v>
      </c>
      <c r="AQ1082" s="1">
        <v>53.0</v>
      </c>
      <c r="AR1082" s="1">
        <v>53.0</v>
      </c>
      <c r="AS1082" s="1" t="s">
        <v>894</v>
      </c>
      <c r="AT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U1082" s="1" t="s">
        <v>895</v>
      </c>
      <c r="AV1082" s="3" t="str">
        <f>HYPERLINK("https://icf.clappia.com/app/GMB253374/submission/NSY60333921/ICF247370-GMB253374-1d9pkn0n01djg0000000/SIG-20250630_1339n4j69.jpeg", "SIG-20250630_1339n4j69.jpeg")</f>
        <v>SIG-20250630_1339n4j69.jpeg</v>
      </c>
      <c r="AW1082" s="1" t="s">
        <v>5257</v>
      </c>
      <c r="AX1082" s="3" t="str">
        <f>HYPERLINK("https://icf.clappia.com/app/GMB253374/submission/NSY60333921/ICF247370-GMB253374-1i2aai4gdo3oe0000000/SIG-20250630_1341ha25n.jpeg", "SIG-20250630_1341ha25n.jpeg")</f>
        <v>SIG-20250630_1341ha25n.jpeg</v>
      </c>
      <c r="AY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2" t="s">
        <v>47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131.0</v>
      </c>
      <c r="H1083" s="1" t="s">
        <v>52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53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54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56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57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f t="shared" si="1"/>
        <v>131</v>
      </c>
      <c r="AM1083" s="1">
        <v>131.0</v>
      </c>
      <c r="AN1083" s="1">
        <v>143.0</v>
      </c>
      <c r="AO1083" s="1">
        <v>123.0</v>
      </c>
      <c r="AP1083" s="2">
        <v>11.0</v>
      </c>
      <c r="AQ1083" s="1">
        <v>8.0</v>
      </c>
      <c r="AR1083" s="1">
        <v>8.0</v>
      </c>
      <c r="AS1083" s="1" t="s">
        <v>3133</v>
      </c>
      <c r="AT1083" s="3" t="str">
        <f>HYPERLINK("https://icf.clappia.com/app/GMB253374/submission/MBZ95462960/ICF247370-GMB253374-de9lenpc7o0g0000000/SIG-20250630_1331eidpl.jpeg", "SIG-20250630_1331eidpl.jpeg")</f>
        <v>SIG-20250630_1331eidpl.jpeg</v>
      </c>
      <c r="AU1083" s="1" t="s">
        <v>3134</v>
      </c>
      <c r="AV1083" s="3" t="str">
        <f>HYPERLINK("https://icf.clappia.com/app/GMB253374/submission/MBZ95462960/ICF247370-GMB253374-4clk1c2o8bko00000000/SIG-20250630_13406i397.jpeg", "SIG-20250630_13406i397.jpeg")</f>
        <v>SIG-20250630_13406i397.jpeg</v>
      </c>
      <c r="AW1083" s="1" t="s">
        <v>5261</v>
      </c>
      <c r="AX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Y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2" t="s">
        <v>47</v>
      </c>
      <c r="C1084" s="1" t="s">
        <v>4896</v>
      </c>
      <c r="D1084" s="1" t="s">
        <v>4896</v>
      </c>
      <c r="E1084" s="1" t="s">
        <v>5263</v>
      </c>
      <c r="F1084" s="1" t="s">
        <v>51</v>
      </c>
      <c r="G1084" s="1">
        <v>109.0</v>
      </c>
      <c r="H1084" s="1" t="s">
        <v>52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53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54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56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57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f t="shared" si="1"/>
        <v>129</v>
      </c>
      <c r="AM1084" s="1">
        <v>109.0</v>
      </c>
      <c r="AN1084" s="1">
        <v>121.0</v>
      </c>
      <c r="AO1084" s="1">
        <v>100.0</v>
      </c>
      <c r="AP1084" s="2">
        <v>11.0</v>
      </c>
      <c r="AQ1084" s="1">
        <v>9.0</v>
      </c>
      <c r="AR1084" s="1">
        <v>9.0</v>
      </c>
      <c r="AS1084" s="1" t="s">
        <v>5264</v>
      </c>
      <c r="AT1084" s="3" t="str">
        <f>HYPERLINK("https://icf.clappia.com/app/GMB253374/submission/IGY16870407/ICF247370-GMB253374-4nbfd4939e5200000000/SIG-20250630_1303c7671.jpeg", "SIG-20250630_1303c7671.jpeg")</f>
        <v>SIG-20250630_1303c7671.jpeg</v>
      </c>
      <c r="AU1084" s="1" t="s">
        <v>2226</v>
      </c>
      <c r="AV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W1084" s="1" t="s">
        <v>5265</v>
      </c>
      <c r="AX1084" s="3" t="str">
        <f>HYPERLINK("https://icf.clappia.com/app/GMB253374/submission/IGY16870407/ICF247370-GMB253374-6apkp60p6h8k00000000/SIG-20250630_13138538f.jpeg", "SIG-20250630_13138538f.jpeg")</f>
        <v>SIG-20250630_13138538f.jpeg</v>
      </c>
      <c r="AY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2" t="s">
        <v>47</v>
      </c>
      <c r="C1085" s="1" t="s">
        <v>5267</v>
      </c>
      <c r="D1085" s="1" t="s">
        <v>5267</v>
      </c>
      <c r="E1085" s="1" t="s">
        <v>5268</v>
      </c>
      <c r="F1085" s="1" t="s">
        <v>51</v>
      </c>
      <c r="G1085" s="1">
        <v>50.0</v>
      </c>
      <c r="H1085" s="1" t="s">
        <v>52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53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54</v>
      </c>
      <c r="U1085" s="1">
        <v>5.0</v>
      </c>
      <c r="V1085" s="1">
        <v>2.0</v>
      </c>
      <c r="W1085" s="1" t="s">
        <v>55</v>
      </c>
      <c r="X1085" s="1">
        <v>3.0</v>
      </c>
      <c r="Y1085" s="1">
        <v>2.0</v>
      </c>
      <c r="Z1085" s="1" t="s">
        <v>56</v>
      </c>
      <c r="AA1085" s="1">
        <v>4.0</v>
      </c>
      <c r="AB1085" s="1">
        <v>2.0</v>
      </c>
      <c r="AC1085" s="1" t="s">
        <v>55</v>
      </c>
      <c r="AD1085" s="1">
        <v>2.0</v>
      </c>
      <c r="AE1085" s="1">
        <v>2.0</v>
      </c>
      <c r="AF1085" s="1" t="s">
        <v>57</v>
      </c>
      <c r="AG1085" s="1" t="s">
        <v>55</v>
      </c>
      <c r="AH1085" s="1" t="s">
        <v>55</v>
      </c>
      <c r="AI1085" s="1" t="s">
        <v>55</v>
      </c>
      <c r="AJ1085" s="1" t="s">
        <v>55</v>
      </c>
      <c r="AK1085" s="1" t="s">
        <v>55</v>
      </c>
      <c r="AL1085" s="1">
        <f t="shared" si="1"/>
        <v>42</v>
      </c>
      <c r="AM1085" s="1">
        <v>50.0</v>
      </c>
      <c r="AN1085" s="1">
        <v>62.0</v>
      </c>
      <c r="AO1085" s="1">
        <v>33.0</v>
      </c>
      <c r="AP1085" s="2">
        <v>11.0</v>
      </c>
      <c r="AQ1085" s="1">
        <v>17.0</v>
      </c>
      <c r="AR1085" s="1">
        <v>17.0</v>
      </c>
      <c r="AS1085" s="1" t="s">
        <v>1992</v>
      </c>
      <c r="AT1085" s="3" t="str">
        <f>HYPERLINK("https://icf.clappia.com/app/GMB253374/submission/WGT11322600/ICF247370-GMB253374-lpk89bhk5l040000000/SIG-20250630_1327cd1ka.jpeg", "SIG-20250630_1327cd1ka.jpeg")</f>
        <v>SIG-20250630_1327cd1ka.jpeg</v>
      </c>
      <c r="AU1085" s="1" t="s">
        <v>5269</v>
      </c>
      <c r="AV1085" s="3" t="str">
        <f>HYPERLINK("https://icf.clappia.com/app/GMB253374/submission/WGT11322600/ICF247370-GMB253374-3c668m2030l400000000/SIG-20250630_13288ijcj.jpeg", "SIG-20250630_13288ijcj.jpeg")</f>
        <v>SIG-20250630_13288ijcj.jpeg</v>
      </c>
      <c r="AW1085" s="1" t="s">
        <v>5270</v>
      </c>
      <c r="AX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Y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2" t="s">
        <v>47</v>
      </c>
      <c r="C1086" s="1" t="s">
        <v>5272</v>
      </c>
      <c r="D1086" s="1" t="s">
        <v>5272</v>
      </c>
      <c r="E1086" s="1" t="s">
        <v>5273</v>
      </c>
      <c r="F1086" s="1" t="s">
        <v>51</v>
      </c>
      <c r="G1086" s="1">
        <v>250.0</v>
      </c>
      <c r="H1086" s="1" t="s">
        <v>52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53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54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56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57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f t="shared" si="1"/>
        <v>236</v>
      </c>
      <c r="AM1086" s="1">
        <v>250.0</v>
      </c>
      <c r="AN1086" s="1">
        <v>262.0</v>
      </c>
      <c r="AO1086" s="1">
        <v>141.0</v>
      </c>
      <c r="AP1086" s="2">
        <v>11.0</v>
      </c>
      <c r="AQ1086" s="1">
        <v>109.0</v>
      </c>
      <c r="AR1086" s="1">
        <v>109.0</v>
      </c>
      <c r="AS1086" s="1" t="s">
        <v>4014</v>
      </c>
      <c r="AT1086" s="3" t="str">
        <f>HYPERLINK("https://icf.clappia.com/app/GMB253374/submission/PCT06301898/ICF247370-GMB253374-a2e1fh8f123a0000000/SIG-20250630_1329hgcoc.jpeg", "SIG-20250630_1329hgcoc.jpeg")</f>
        <v>SIG-20250630_1329hgcoc.jpeg</v>
      </c>
      <c r="AU1086" s="1" t="s">
        <v>4015</v>
      </c>
      <c r="AV1086" s="3" t="str">
        <f>HYPERLINK("https://icf.clappia.com/app/GMB253374/submission/PCT06301898/ICF247370-GMB253374-fo50l63k39li0000000/SIG-20250630_1330a6dlb.jpeg", "SIG-20250630_1330a6dlb.jpeg")</f>
        <v>SIG-20250630_1330a6dlb.jpeg</v>
      </c>
      <c r="AW1086" s="1" t="s">
        <v>5274</v>
      </c>
      <c r="AX1086" s="3" t="str">
        <f>HYPERLINK("https://icf.clappia.com/app/GMB253374/submission/PCT06301898/ICF247370-GMB253374-3h7o65nph2ha00000000/SIG-20250630_1331eghpe.jpeg", "SIG-20250630_1331eghpe.jpeg")</f>
        <v>SIG-20250630_1331eghpe.jpeg</v>
      </c>
      <c r="AY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2" t="s">
        <v>47</v>
      </c>
      <c r="C1087" s="1" t="s">
        <v>5272</v>
      </c>
      <c r="D1087" s="1" t="s">
        <v>5272</v>
      </c>
      <c r="E1087" s="1" t="s">
        <v>5276</v>
      </c>
      <c r="F1087" s="1" t="s">
        <v>51</v>
      </c>
      <c r="G1087" s="1">
        <v>254.0</v>
      </c>
      <c r="H1087" s="1" t="s">
        <v>52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53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54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56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57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f t="shared" si="1"/>
        <v>274</v>
      </c>
      <c r="AM1087" s="1">
        <v>254.0</v>
      </c>
      <c r="AN1087" s="1">
        <v>266.0</v>
      </c>
      <c r="AO1087" s="1">
        <v>250.0</v>
      </c>
      <c r="AP1087" s="2">
        <v>11.0</v>
      </c>
      <c r="AQ1087" s="1">
        <v>4.0</v>
      </c>
      <c r="AR1087" s="1">
        <v>4.0</v>
      </c>
      <c r="AS1087" s="1" t="s">
        <v>4732</v>
      </c>
      <c r="AT1087" s="3" t="str">
        <f>HYPERLINK("https://icf.clappia.com/app/GMB253374/submission/JAI47457796/ICF247370-GMB253374-1bic595a4l5360000000/SIG-20250630_13269fclj.jpeg", "SIG-20250630_13269fclj.jpeg")</f>
        <v>SIG-20250630_13269fclj.jpeg</v>
      </c>
      <c r="AU1087" s="1" t="s">
        <v>5277</v>
      </c>
      <c r="AV1087" s="3" t="str">
        <f>HYPERLINK("https://icf.clappia.com/app/GMB253374/submission/JAI47457796/ICF247370-GMB253374-62c5b5dj84oo00000000/SIG-20250630_13276ako1.jpeg", "SIG-20250630_13276ako1.jpeg")</f>
        <v>SIG-20250630_13276ako1.jpeg</v>
      </c>
      <c r="AW1087" s="1" t="s">
        <v>5278</v>
      </c>
      <c r="AX1087" s="3" t="str">
        <f>HYPERLINK("https://icf.clappia.com/app/GMB253374/submission/JAI47457796/ICF247370-GMB253374-1im0agnl71f7m000000/SIG-20250630_1328kaoi6.jpeg", "SIG-20250630_1328kaoi6.jpeg")</f>
        <v>SIG-20250630_1328kaoi6.jpeg</v>
      </c>
      <c r="AY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2" t="s">
        <v>47</v>
      </c>
      <c r="C1088" s="1" t="s">
        <v>5280</v>
      </c>
      <c r="D1088" s="1" t="s">
        <v>5280</v>
      </c>
      <c r="E1088" s="1" t="s">
        <v>5281</v>
      </c>
      <c r="F1088" s="1" t="s">
        <v>51</v>
      </c>
      <c r="G1088" s="1">
        <v>750.0</v>
      </c>
      <c r="H1088" s="1" t="s">
        <v>52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53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54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56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57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f t="shared" si="1"/>
        <v>754</v>
      </c>
      <c r="AM1088" s="1">
        <v>750.0</v>
      </c>
      <c r="AN1088" s="1">
        <v>762.0</v>
      </c>
      <c r="AO1088" s="1">
        <v>678.0</v>
      </c>
      <c r="AP1088" s="2">
        <v>11.0</v>
      </c>
      <c r="AQ1088" s="1">
        <v>72.0</v>
      </c>
      <c r="AR1088" s="1">
        <v>72.0</v>
      </c>
      <c r="AS1088" s="1" t="s">
        <v>2940</v>
      </c>
      <c r="AT1088" s="3" t="str">
        <f>HYPERLINK("https://icf.clappia.com/app/GMB253374/submission/LJO87518568/ICF247370-GMB253374-go0k2fm8kg9m000000/SIG-20250630_13291lfeh.jpeg", "SIG-20250630_13291lfeh.jpeg")</f>
        <v>SIG-20250630_13291lfeh.jpeg</v>
      </c>
      <c r="AU1088" s="1" t="s">
        <v>2941</v>
      </c>
      <c r="AV1088" s="3" t="str">
        <f>HYPERLINK("https://icf.clappia.com/app/GMB253374/submission/LJO87518568/ICF247370-GMB253374-3844g7fdg8o000000000/SIG-20250630_1330fh136.jpeg", "SIG-20250630_1330fh136.jpeg")</f>
        <v>SIG-20250630_1330fh136.jpeg</v>
      </c>
      <c r="AW1088" s="1" t="s">
        <v>5282</v>
      </c>
      <c r="AX1088" s="3" t="str">
        <f>HYPERLINK("https://icf.clappia.com/app/GMB253374/submission/LJO87518568/ICF247370-GMB253374-4i95i3e7bp8000000000/SIG-20250630_1330f9ldh.jpeg", "SIG-20250630_1330f9ldh.jpeg")</f>
        <v>SIG-20250630_1330f9ldh.jpeg</v>
      </c>
      <c r="AY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2" t="s">
        <v>47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200.0</v>
      </c>
      <c r="H1089" s="1" t="s">
        <v>52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53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54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56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57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f t="shared" si="1"/>
        <v>170</v>
      </c>
      <c r="AM1089" s="1">
        <v>200.0</v>
      </c>
      <c r="AN1089" s="1">
        <v>212.0</v>
      </c>
      <c r="AO1089" s="1">
        <v>170.0</v>
      </c>
      <c r="AP1089" s="2">
        <v>11.0</v>
      </c>
      <c r="AQ1089" s="1">
        <v>30.0</v>
      </c>
      <c r="AR1089" s="1">
        <v>30.0</v>
      </c>
      <c r="AS1089" s="1" t="s">
        <v>4263</v>
      </c>
      <c r="AT1089" s="3" t="str">
        <f>HYPERLINK("https://icf.clappia.com/app/GMB253374/submission/CZX85278567/ICF247370-GMB253374-54bh2g44fpk400000000/SIG-20250630_1221b7d8n.jpeg", "SIG-20250630_1221b7d8n.jpeg")</f>
        <v>SIG-20250630_1221b7d8n.jpeg</v>
      </c>
      <c r="AU1089" s="1" t="s">
        <v>5285</v>
      </c>
      <c r="AV1089" s="3" t="str">
        <f>HYPERLINK("https://icf.clappia.com/app/GMB253374/submission/CZX85278567/ICF247370-GMB253374-10o1odn8phoik0000000/SIG-20250630_1222m3jjd.jpeg", "SIG-20250630_1222m3jjd.jpeg")</f>
        <v>SIG-20250630_1222m3jjd.jpeg</v>
      </c>
      <c r="AW1089" s="1" t="s">
        <v>5286</v>
      </c>
      <c r="AX1089" s="3" t="str">
        <f>HYPERLINK("https://icf.clappia.com/app/GMB253374/submission/CZX85278567/ICF247370-GMB253374-9289g9ln2e3m0000000/SIG-20250630_122310h9ic.jpeg", "SIG-20250630_122310h9ic.jpeg")</f>
        <v>SIG-20250630_122310h9ic.jpeg</v>
      </c>
      <c r="AY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2" t="s">
        <v>47</v>
      </c>
      <c r="C1090" s="1" t="s">
        <v>5288</v>
      </c>
      <c r="D1090" s="1" t="s">
        <v>5288</v>
      </c>
      <c r="E1090" s="1" t="s">
        <v>5289</v>
      </c>
      <c r="F1090" s="1" t="s">
        <v>51</v>
      </c>
      <c r="G1090" s="1">
        <v>385.0</v>
      </c>
      <c r="H1090" s="1" t="s">
        <v>52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53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54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56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57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f t="shared" si="1"/>
        <v>395</v>
      </c>
      <c r="AM1090" s="1">
        <v>385.0</v>
      </c>
      <c r="AN1090" s="1">
        <v>397.0</v>
      </c>
      <c r="AO1090" s="1">
        <v>385.0</v>
      </c>
      <c r="AP1090" s="2">
        <v>11.0</v>
      </c>
      <c r="AQ1090" s="1">
        <v>0.0</v>
      </c>
      <c r="AR1090" s="1">
        <v>0.0</v>
      </c>
      <c r="AS1090" s="1" t="s">
        <v>5290</v>
      </c>
      <c r="AT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U1090" s="1" t="s">
        <v>3225</v>
      </c>
      <c r="AV1090" s="3" t="str">
        <f>HYPERLINK("https://icf.clappia.com/app/GMB253374/submission/TOI02875064/ICF247370-GMB253374-lm1e7hoen65e0000000/SIG-20250630_1326146lgn.jpeg", "SIG-20250630_1326146lgn.jpeg")</f>
        <v>SIG-20250630_1326146lgn.jpeg</v>
      </c>
      <c r="AW1090" s="1" t="s">
        <v>5291</v>
      </c>
      <c r="AX1090" s="3" t="str">
        <f>HYPERLINK("https://icf.clappia.com/app/GMB253374/submission/TOI02875064/ICF247370-GMB253374-4441ff1higp200000000/SIG-20250630_13275m4h5.jpeg", "SIG-20250630_13275m4h5.jpeg")</f>
        <v>SIG-20250630_13275m4h5.jpeg</v>
      </c>
      <c r="AY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2" t="s">
        <v>47</v>
      </c>
      <c r="C1091" s="1" t="s">
        <v>5293</v>
      </c>
      <c r="D1091" s="1" t="s">
        <v>5293</v>
      </c>
      <c r="E1091" s="1" t="s">
        <v>5294</v>
      </c>
      <c r="F1091" s="1" t="s">
        <v>51</v>
      </c>
      <c r="G1091" s="1">
        <v>149.0</v>
      </c>
      <c r="H1091" s="1" t="s">
        <v>52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53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54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56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55</v>
      </c>
      <c r="AF1091" s="1" t="s">
        <v>57</v>
      </c>
      <c r="AG1091" s="1" t="s">
        <v>55</v>
      </c>
      <c r="AH1091" s="1" t="s">
        <v>55</v>
      </c>
      <c r="AI1091" s="1" t="s">
        <v>55</v>
      </c>
      <c r="AJ1091" s="1" t="s">
        <v>55</v>
      </c>
      <c r="AK1091" s="1" t="s">
        <v>55</v>
      </c>
      <c r="AL1091" s="1">
        <f t="shared" si="1"/>
        <v>149</v>
      </c>
      <c r="AM1091" s="1">
        <v>149.0</v>
      </c>
      <c r="AN1091" s="1">
        <v>161.0</v>
      </c>
      <c r="AO1091" s="1">
        <v>149.0</v>
      </c>
      <c r="AP1091" s="2">
        <v>11.0</v>
      </c>
      <c r="AQ1091" s="1">
        <v>0.0</v>
      </c>
      <c r="AR1091" s="1">
        <v>0.0</v>
      </c>
      <c r="AS1091" s="1" t="s">
        <v>2100</v>
      </c>
      <c r="AT1091" s="3" t="str">
        <f>HYPERLINK("https://icf.clappia.com/app/GMB253374/submission/ASX97743708/ICF247370-GMB253374-4c8c78mc06k800000000/SIG-20250630_1310610l2.jpeg", "SIG-20250630_1310610l2.jpeg")</f>
        <v>SIG-20250630_1310610l2.jpeg</v>
      </c>
      <c r="AU1091" s="1" t="s">
        <v>2101</v>
      </c>
      <c r="AV1091" s="3" t="str">
        <f>HYPERLINK("https://icf.clappia.com/app/GMB253374/submission/ASX97743708/ICF247370-GMB253374-5agi8ede27og00000000/SIG-20250630_1310e6866.jpeg", "SIG-20250630_1310e6866.jpeg")</f>
        <v>SIG-20250630_1310e6866.jpeg</v>
      </c>
      <c r="AW1091" s="1" t="s">
        <v>5295</v>
      </c>
      <c r="AX1091" s="3" t="str">
        <f>HYPERLINK("https://icf.clappia.com/app/GMB253374/submission/ASX97743708/ICF247370-GMB253374-49m7j6jg1cgm000000/SIG-20250630_1311n6hm5.jpeg", "SIG-20250630_1311n6hm5.jpeg")</f>
        <v>SIG-20250630_1311n6hm5.jpeg</v>
      </c>
      <c r="AY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2" t="s">
        <v>47</v>
      </c>
      <c r="C1092" s="1" t="s">
        <v>5297</v>
      </c>
      <c r="D1092" s="1" t="s">
        <v>5297</v>
      </c>
      <c r="E1092" s="1" t="s">
        <v>5298</v>
      </c>
      <c r="F1092" s="1" t="s">
        <v>51</v>
      </c>
      <c r="G1092" s="1">
        <v>251.0</v>
      </c>
      <c r="H1092" s="1" t="s">
        <v>52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53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54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56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57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f t="shared" si="1"/>
        <v>239</v>
      </c>
      <c r="AM1092" s="1">
        <v>251.0</v>
      </c>
      <c r="AN1092" s="1">
        <v>263.0</v>
      </c>
      <c r="AO1092" s="1">
        <v>175.0</v>
      </c>
      <c r="AP1092" s="2">
        <v>11.0</v>
      </c>
      <c r="AQ1092" s="1">
        <v>76.0</v>
      </c>
      <c r="AR1092" s="1">
        <v>76.0</v>
      </c>
      <c r="AS1092" s="1" t="s">
        <v>4459</v>
      </c>
      <c r="AT1092" s="3" t="str">
        <f>HYPERLINK("https://icf.clappia.com/app/GMB253374/submission/QCM78410122/ICF247370-GMB253374-3k7njoicn7e800000000/SIG-20250630_1148h4j8a.jpeg", "SIG-20250630_1148h4j8a.jpeg")</f>
        <v>SIG-20250630_1148h4j8a.jpeg</v>
      </c>
      <c r="AU1092" s="1" t="s">
        <v>5299</v>
      </c>
      <c r="AV1092" s="3" t="str">
        <f>HYPERLINK("https://icf.clappia.com/app/GMB253374/submission/QCM78410122/ICF247370-GMB253374-66o5oh7f8iek00000000/SIG-20250630_11334n3fl.jpeg", "SIG-20250630_11334n3fl.jpeg")</f>
        <v>SIG-20250630_11334n3fl.jpeg</v>
      </c>
      <c r="AW1092" s="1" t="s">
        <v>5300</v>
      </c>
      <c r="AX1092" s="3" t="str">
        <f>HYPERLINK("https://icf.clappia.com/app/GMB253374/submission/QCM78410122/ICF247370-GMB253374-ch3ji22m04880000000/SIG-20250630_1134a9o5h.jpeg", "SIG-20250630_1134a9o5h.jpeg")</f>
        <v>SIG-20250630_1134a9o5h.jpeg</v>
      </c>
      <c r="AY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2" t="s">
        <v>47</v>
      </c>
      <c r="C1093" s="1" t="s">
        <v>5302</v>
      </c>
      <c r="D1093" s="1" t="s">
        <v>5302</v>
      </c>
      <c r="E1093" s="1" t="s">
        <v>5303</v>
      </c>
      <c r="F1093" s="1" t="s">
        <v>51</v>
      </c>
      <c r="G1093" s="1">
        <v>263.0</v>
      </c>
      <c r="H1093" s="1" t="s">
        <v>52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53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54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56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57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f t="shared" si="1"/>
        <v>263</v>
      </c>
      <c r="AM1093" s="1">
        <v>263.0</v>
      </c>
      <c r="AN1093" s="1">
        <v>275.0</v>
      </c>
      <c r="AO1093" s="1">
        <v>253.0</v>
      </c>
      <c r="AP1093" s="2">
        <v>11.0</v>
      </c>
      <c r="AQ1093" s="1">
        <v>10.0</v>
      </c>
      <c r="AR1093" s="1">
        <v>10.0</v>
      </c>
      <c r="AS1093" s="1" t="s">
        <v>5304</v>
      </c>
      <c r="AT1093" s="3" t="str">
        <f>HYPERLINK("https://icf.clappia.com/app/GMB253374/submission/DVL76826793/ICF247370-GMB253374-41p97lm14bec00000000/SIG-20250630_1310mlfjp.jpeg", "SIG-20250630_1310mlfjp.jpeg")</f>
        <v>SIG-20250630_1310mlfjp.jpeg</v>
      </c>
      <c r="AU1093" s="1" t="s">
        <v>5305</v>
      </c>
      <c r="AV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W1093" s="1" t="s">
        <v>5306</v>
      </c>
      <c r="AX1093" s="3" t="str">
        <f>HYPERLINK("https://icf.clappia.com/app/GMB253374/submission/DVL76826793/ICF247370-GMB253374-524g134ein2400000000/SIG-20250630_1309n9c10.jpeg", "SIG-20250630_1309n9c10.jpeg")</f>
        <v>SIG-20250630_1309n9c10.jpeg</v>
      </c>
      <c r="AY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2" t="s">
        <v>47</v>
      </c>
      <c r="C1094" s="1" t="s">
        <v>5308</v>
      </c>
      <c r="D1094" s="1" t="s">
        <v>5308</v>
      </c>
      <c r="E1094" s="1" t="s">
        <v>5309</v>
      </c>
      <c r="F1094" s="1" t="s">
        <v>51</v>
      </c>
      <c r="G1094" s="1">
        <v>210.0</v>
      </c>
      <c r="H1094" s="1" t="s">
        <v>52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53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54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56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57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f t="shared" si="1"/>
        <v>221</v>
      </c>
      <c r="AM1094" s="1">
        <v>210.0</v>
      </c>
      <c r="AN1094" s="1">
        <v>222.0</v>
      </c>
      <c r="AO1094" s="1">
        <v>210.0</v>
      </c>
      <c r="AP1094" s="2">
        <v>11.0</v>
      </c>
      <c r="AQ1094" s="1">
        <v>0.0</v>
      </c>
      <c r="AR1094" s="1">
        <v>0.0</v>
      </c>
      <c r="AS1094" s="1" t="s">
        <v>2983</v>
      </c>
      <c r="AT1094" s="3" t="str">
        <f>HYPERLINK("https://icf.clappia.com/app/GMB253374/submission/FAX93499269/ICF247370-GMB253374-35f8mkaoghbi00000000/SIG-20250630_1316o84ck.jpeg", "SIG-20250630_1316o84ck.jpeg")</f>
        <v>SIG-20250630_1316o84ck.jpeg</v>
      </c>
      <c r="AU1094" s="1" t="s">
        <v>5310</v>
      </c>
      <c r="AV1094" s="3" t="str">
        <f>HYPERLINK("https://icf.clappia.com/app/GMB253374/submission/FAX93499269/ICF247370-GMB253374-5p5gjb5f068g00000000/SIG-20250630_131929leo.jpeg", "SIG-20250630_131929leo.jpeg")</f>
        <v>SIG-20250630_131929leo.jpeg</v>
      </c>
      <c r="AW1094" s="1" t="s">
        <v>5311</v>
      </c>
      <c r="AX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Y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2" t="s">
        <v>47</v>
      </c>
      <c r="C1095" s="1" t="s">
        <v>5313</v>
      </c>
      <c r="D1095" s="1" t="s">
        <v>5313</v>
      </c>
      <c r="E1095" s="1" t="s">
        <v>5314</v>
      </c>
      <c r="F1095" s="1" t="s">
        <v>51</v>
      </c>
      <c r="G1095" s="1">
        <v>150.0</v>
      </c>
      <c r="H1095" s="1" t="s">
        <v>52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53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54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56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57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f t="shared" si="1"/>
        <v>91</v>
      </c>
      <c r="AM1095" s="1">
        <v>150.0</v>
      </c>
      <c r="AN1095" s="1">
        <v>162.0</v>
      </c>
      <c r="AO1095" s="1">
        <v>59.0</v>
      </c>
      <c r="AP1095" s="2">
        <v>11.0</v>
      </c>
      <c r="AQ1095" s="1">
        <v>91.0</v>
      </c>
      <c r="AR1095" s="1">
        <v>91.0</v>
      </c>
      <c r="AS1095" s="1" t="s">
        <v>5315</v>
      </c>
      <c r="AT1095" s="3" t="str">
        <f>HYPERLINK("https://icf.clappia.com/app/GMB253374/submission/TOM28892418/ICF247370-GMB253374-2l2f29mfpn2k00000000/SIG-20250630_1249h1fo3.jpeg", "SIG-20250630_1249h1fo3.jpeg")</f>
        <v>SIG-20250630_1249h1fo3.jpeg</v>
      </c>
      <c r="AU1095" s="1" t="s">
        <v>5316</v>
      </c>
      <c r="AV1095" s="3" t="str">
        <f>HYPERLINK("https://icf.clappia.com/app/GMB253374/submission/TOM28892418/ICF247370-GMB253374-6290753n6hck00000000/SIG-20250630_12512h8am.jpeg", "SIG-20250630_12512h8am.jpeg")</f>
        <v>SIG-20250630_12512h8am.jpeg</v>
      </c>
      <c r="AW1095" s="1" t="s">
        <v>5317</v>
      </c>
      <c r="AX1095" s="3" t="str">
        <f>HYPERLINK("https://icf.clappia.com/app/GMB253374/submission/TOM28892418/ICF247370-GMB253374-2d76jmgbg3e400000000/SIG-20250630_125197cga.jpeg", "SIG-20250630_125197cga.jpeg")</f>
        <v>SIG-20250630_125197cga.jpeg</v>
      </c>
      <c r="AY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2" t="s">
        <v>47</v>
      </c>
      <c r="C1096" s="1" t="s">
        <v>5319</v>
      </c>
      <c r="D1096" s="1" t="s">
        <v>5319</v>
      </c>
      <c r="E1096" s="1" t="s">
        <v>5320</v>
      </c>
      <c r="F1096" s="1" t="s">
        <v>51</v>
      </c>
      <c r="G1096" s="1">
        <v>150.0</v>
      </c>
      <c r="H1096" s="1" t="s">
        <v>52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53</v>
      </c>
      <c r="O1096" s="1">
        <v>8.0</v>
      </c>
      <c r="P1096" s="1">
        <v>4.0</v>
      </c>
      <c r="Q1096" s="1" t="s">
        <v>55</v>
      </c>
      <c r="R1096" s="1">
        <v>4.0</v>
      </c>
      <c r="S1096" s="1">
        <v>4.0</v>
      </c>
      <c r="T1096" s="1" t="s">
        <v>54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56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57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f t="shared" si="1"/>
        <v>74</v>
      </c>
      <c r="AM1096" s="1">
        <v>150.0</v>
      </c>
      <c r="AN1096" s="1">
        <v>162.0</v>
      </c>
      <c r="AO1096" s="1">
        <v>64.0</v>
      </c>
      <c r="AP1096" s="2">
        <v>11.0</v>
      </c>
      <c r="AQ1096" s="1">
        <v>86.0</v>
      </c>
      <c r="AR1096" s="1">
        <v>86.0</v>
      </c>
      <c r="AS1096" s="1" t="s">
        <v>5210</v>
      </c>
      <c r="AT1096" s="3" t="str">
        <f>HYPERLINK("https://icf.clappia.com/app/GMB253374/submission/NBT07896456/ICF247370-GMB253374-65d0cc1c3i8a00000000/SIG-20250630_1226nijo0.jpeg", "SIG-20250630_1226nijo0.jpeg")</f>
        <v>SIG-20250630_1226nijo0.jpeg</v>
      </c>
      <c r="AU1096" s="1" t="s">
        <v>4545</v>
      </c>
      <c r="AV1096" s="3" t="str">
        <f>HYPERLINK("https://icf.clappia.com/app/GMB253374/submission/NBT07896456/ICF247370-GMB253374-4891lcid2gcc00000000/SIG-20250630_1227a64ai.jpeg", "SIG-20250630_1227a64ai.jpeg")</f>
        <v>SIG-20250630_1227a64ai.jpeg</v>
      </c>
      <c r="AW1096" s="1" t="s">
        <v>4546</v>
      </c>
      <c r="AX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Y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2" t="s">
        <v>47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150.0</v>
      </c>
      <c r="H1097" s="1" t="s">
        <v>52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53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54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56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57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f t="shared" si="1"/>
        <v>157</v>
      </c>
      <c r="AM1097" s="1">
        <v>150.0</v>
      </c>
      <c r="AN1097" s="1">
        <v>162.0</v>
      </c>
      <c r="AO1097" s="1">
        <v>121.0</v>
      </c>
      <c r="AP1097" s="2">
        <v>11.0</v>
      </c>
      <c r="AQ1097" s="1">
        <v>29.0</v>
      </c>
      <c r="AR1097" s="1">
        <v>29.0</v>
      </c>
      <c r="AS1097" s="1" t="s">
        <v>987</v>
      </c>
      <c r="AT1097" s="3" t="str">
        <f>HYPERLINK("https://icf.clappia.com/app/GMB253374/submission/NYR82230609/ICF247370-GMB253374-47oc286938em00000000/SIG-20250630_1236bnoj4.jpeg", "SIG-20250630_1236bnoj4.jpeg")</f>
        <v>SIG-20250630_1236bnoj4.jpeg</v>
      </c>
      <c r="AU1097" s="1" t="s">
        <v>988</v>
      </c>
      <c r="AV1097" s="3" t="str">
        <f>HYPERLINK("https://icf.clappia.com/app/GMB253374/submission/NYR82230609/ICF247370-GMB253374-575a7cg4epk800000000/SIG-20250630_123670jgn.jpeg", "SIG-20250630_123670jgn.jpeg")</f>
        <v>SIG-20250630_123670jgn.jpeg</v>
      </c>
      <c r="AW1097" s="1" t="s">
        <v>2578</v>
      </c>
      <c r="AX1097" s="3" t="str">
        <f>HYPERLINK("https://icf.clappia.com/app/GMB253374/submission/NYR82230609/ICF247370-GMB253374-30mf8l9j9o6g00000000/SIG-20250630_1243hfh37.jpeg", "SIG-20250630_1243hfh37.jpeg")</f>
        <v>SIG-20250630_1243hfh37.jpeg</v>
      </c>
      <c r="AY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2" t="s">
        <v>47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150.0</v>
      </c>
      <c r="H1098" s="1" t="s">
        <v>52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53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54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56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57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f t="shared" si="1"/>
        <v>155</v>
      </c>
      <c r="AM1098" s="1">
        <v>150.0</v>
      </c>
      <c r="AN1098" s="1">
        <v>162.0</v>
      </c>
      <c r="AO1098" s="1">
        <v>150.0</v>
      </c>
      <c r="AP1098" s="2">
        <v>11.0</v>
      </c>
      <c r="AQ1098" s="1">
        <v>0.0</v>
      </c>
      <c r="AR1098" s="1">
        <v>0.0</v>
      </c>
      <c r="AS1098" s="1">
        <v>1.0</v>
      </c>
      <c r="AT1098" s="3" t="str">
        <f>HYPERLINK("https://icf.clappia.com/app/GMB253374/submission/OKY07032290/ICF247370-GMB253374-34biiep16aam00000000/SIG-20250630_1156jmi0a.jpeg", "SIG-20250630_1156jmi0a.jpeg")</f>
        <v>SIG-20250630_1156jmi0a.jpeg</v>
      </c>
      <c r="AU1098" s="1">
        <v>1.0</v>
      </c>
      <c r="AV1098" s="3" t="str">
        <f>HYPERLINK("https://icf.clappia.com/app/GMB253374/submission/OKY07032290/ICF247370-GMB253374-2b70ae8mcnhm80000000/SIG-20250630_12026mdob.jpeg", "SIG-20250630_12026mdob.jpeg")</f>
        <v>SIG-20250630_12026mdob.jpeg</v>
      </c>
      <c r="AW1098" s="1" t="s">
        <v>5327</v>
      </c>
      <c r="AX1098" s="3" t="str">
        <f>HYPERLINK("https://icf.clappia.com/app/GMB253374/submission/OKY07032290/ICF247370-GMB253374-4fg79iif568000000000/SIG-20250630_1203j36df.jpeg", "SIG-20250630_1203j36df.jpeg")</f>
        <v>SIG-20250630_1203j36df.jpeg</v>
      </c>
      <c r="AY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2" t="s">
        <v>47</v>
      </c>
      <c r="C1099" s="1" t="s">
        <v>5329</v>
      </c>
      <c r="D1099" s="1" t="s">
        <v>5329</v>
      </c>
      <c r="E1099" s="1" t="s">
        <v>5330</v>
      </c>
      <c r="F1099" s="1" t="s">
        <v>51</v>
      </c>
      <c r="G1099" s="1">
        <v>100.0</v>
      </c>
      <c r="H1099" s="1" t="s">
        <v>52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53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54</v>
      </c>
      <c r="U1099" s="1" t="s">
        <v>55</v>
      </c>
      <c r="V1099" s="1" t="s">
        <v>55</v>
      </c>
      <c r="W1099" s="1" t="s">
        <v>55</v>
      </c>
      <c r="X1099" s="1" t="s">
        <v>55</v>
      </c>
      <c r="Y1099" s="1" t="s">
        <v>55</v>
      </c>
      <c r="Z1099" s="1" t="s">
        <v>56</v>
      </c>
      <c r="AA1099" s="1" t="s">
        <v>55</v>
      </c>
      <c r="AB1099" s="1" t="s">
        <v>55</v>
      </c>
      <c r="AC1099" s="1" t="s">
        <v>55</v>
      </c>
      <c r="AD1099" s="1" t="s">
        <v>55</v>
      </c>
      <c r="AE1099" s="1" t="s">
        <v>55</v>
      </c>
      <c r="AF1099" s="1" t="s">
        <v>57</v>
      </c>
      <c r="AG1099" s="1" t="s">
        <v>55</v>
      </c>
      <c r="AH1099" s="1" t="s">
        <v>55</v>
      </c>
      <c r="AI1099" s="1" t="s">
        <v>55</v>
      </c>
      <c r="AJ1099" s="1" t="s">
        <v>55</v>
      </c>
      <c r="AK1099" s="1" t="s">
        <v>55</v>
      </c>
      <c r="AL1099" s="1">
        <f t="shared" si="1"/>
        <v>63</v>
      </c>
      <c r="AM1099" s="1">
        <v>100.0</v>
      </c>
      <c r="AN1099" s="1">
        <v>112.0</v>
      </c>
      <c r="AO1099" s="1">
        <v>63.0</v>
      </c>
      <c r="AP1099" s="2">
        <v>11.0</v>
      </c>
      <c r="AQ1099" s="1">
        <v>37.0</v>
      </c>
      <c r="AR1099" s="1">
        <v>37.0</v>
      </c>
      <c r="AS1099" s="1" t="s">
        <v>5331</v>
      </c>
      <c r="AT1099" s="3" t="str">
        <f>HYPERLINK("https://icf.clappia.com/app/GMB253374/submission/ARJ60984373/ICF247370-GMB253374-62paddf2ad6e00000000/SIG-20250630_1225gk155.jpeg", "SIG-20250630_1225gk155.jpeg")</f>
        <v>SIG-20250630_1225gk155.jpeg</v>
      </c>
      <c r="AU1099" s="1" t="s">
        <v>5332</v>
      </c>
      <c r="AV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W1099" s="1" t="s">
        <v>5333</v>
      </c>
      <c r="AX1099" s="3" t="str">
        <f>HYPERLINK("https://icf.clappia.com/app/GMB253374/submission/ARJ60984373/ICF247370-GMB253374-1d9nfigi292hg0000000/SIG-20250630_1227ibek1.jpeg", "SIG-20250630_1227ibek1.jpeg")</f>
        <v>SIG-20250630_1227ibek1.jpeg</v>
      </c>
      <c r="AY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2" t="s">
        <v>47</v>
      </c>
      <c r="C1100" s="1" t="s">
        <v>5335</v>
      </c>
      <c r="D1100" s="1" t="s">
        <v>5335</v>
      </c>
      <c r="E1100" s="1" t="s">
        <v>5336</v>
      </c>
      <c r="F1100" s="1" t="s">
        <v>51</v>
      </c>
      <c r="G1100" s="1">
        <v>132.0</v>
      </c>
      <c r="H1100" s="1" t="s">
        <v>52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53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54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56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57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f t="shared" si="1"/>
        <v>132</v>
      </c>
      <c r="AM1100" s="1">
        <v>132.0</v>
      </c>
      <c r="AN1100" s="1">
        <v>144.0</v>
      </c>
      <c r="AO1100" s="1">
        <v>82.0</v>
      </c>
      <c r="AP1100" s="2">
        <v>11.0</v>
      </c>
      <c r="AQ1100" s="1">
        <v>50.0</v>
      </c>
      <c r="AR1100" s="1">
        <v>50.0</v>
      </c>
      <c r="AS1100" s="1" t="s">
        <v>5337</v>
      </c>
      <c r="AT1100" s="3" t="str">
        <f>HYPERLINK("https://icf.clappia.com/app/GMB253374/submission/MIQ74607196/ICF247370-GMB253374-1956i5afolf1i0000000/SIG-20250630_1315haeo5.jpeg", "SIG-20250630_1315haeo5.jpeg")</f>
        <v>SIG-20250630_1315haeo5.jpeg</v>
      </c>
      <c r="AU1100" s="1" t="s">
        <v>5338</v>
      </c>
      <c r="AV1100" s="3" t="str">
        <f>HYPERLINK("https://icf.clappia.com/app/GMB253374/submission/MIQ74607196/ICF247370-GMB253374-12ekn8flk0pi80000000/SIG-20250630_1236mk4kn.jpeg", "SIG-20250630_1236mk4kn.jpeg")</f>
        <v>SIG-20250630_1236mk4kn.jpeg</v>
      </c>
      <c r="AW1100" s="1" t="s">
        <v>3891</v>
      </c>
      <c r="AX1100" s="3" t="str">
        <f>HYPERLINK("https://icf.clappia.com/app/GMB253374/submission/MIQ74607196/ICF247370-GMB253374-5jfc35khc4gm00000000/SIG-20250630_1316ld16g.jpeg", "SIG-20250630_1316ld16g.jpeg")</f>
        <v>SIG-20250630_1316ld16g.jpeg</v>
      </c>
      <c r="AY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2" t="s">
        <v>47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85.0</v>
      </c>
      <c r="H1101" s="1" t="s">
        <v>52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53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54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56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57</v>
      </c>
      <c r="AG1101" s="1">
        <v>5.0</v>
      </c>
      <c r="AH1101" s="1">
        <v>5.0</v>
      </c>
      <c r="AI1101" s="1">
        <v>5.0</v>
      </c>
      <c r="AJ1101" s="1" t="s">
        <v>55</v>
      </c>
      <c r="AK1101" s="1" t="s">
        <v>55</v>
      </c>
      <c r="AL1101" s="1">
        <f t="shared" si="1"/>
        <v>85</v>
      </c>
      <c r="AM1101" s="1">
        <v>85.0</v>
      </c>
      <c r="AN1101" s="1">
        <v>97.0</v>
      </c>
      <c r="AO1101" s="1">
        <v>50.0</v>
      </c>
      <c r="AP1101" s="2">
        <v>11.0</v>
      </c>
      <c r="AQ1101" s="1">
        <v>35.0</v>
      </c>
      <c r="AR1101" s="1">
        <v>35.0</v>
      </c>
      <c r="AS1101" s="1" t="s">
        <v>1227</v>
      </c>
      <c r="AT1101" s="3" t="str">
        <f>HYPERLINK("https://icf.clappia.com/app/GMB253374/submission/OHK95058632/ICF247370-GMB253374-45e3i367in2g00000000/SIG-20250630_1314hpgm9.jpeg", "SIG-20250630_1314hpgm9.jpeg")</f>
        <v>SIG-20250630_1314hpgm9.jpeg</v>
      </c>
      <c r="AU1101" s="1" t="s">
        <v>853</v>
      </c>
      <c r="AV1101" s="3" t="str">
        <f>HYPERLINK("https://icf.clappia.com/app/GMB253374/submission/OHK95058632/ICF247370-GMB253374-4fe126b0cbpk00000000/SIG-20250630_13154127k.jpeg", "SIG-20250630_13154127k.jpeg")</f>
        <v>SIG-20250630_13154127k.jpeg</v>
      </c>
      <c r="AW1101" s="1" t="s">
        <v>1228</v>
      </c>
      <c r="AX1101" s="3" t="str">
        <f>HYPERLINK("https://icf.clappia.com/app/GMB253374/submission/OHK95058632/ICF247370-GMB253374-53habc2foo4g00000000/SIG-20250630_13169d0nl.jpeg", "SIG-20250630_13169d0nl.jpeg")</f>
        <v>SIG-20250630_13169d0nl.jpeg</v>
      </c>
      <c r="AY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2" t="s">
        <v>47</v>
      </c>
      <c r="C1102" s="1" t="s">
        <v>5342</v>
      </c>
      <c r="D1102" s="1" t="s">
        <v>5342</v>
      </c>
      <c r="E1102" s="1" t="s">
        <v>5343</v>
      </c>
      <c r="F1102" s="1" t="s">
        <v>51</v>
      </c>
      <c r="G1102" s="1">
        <v>200.0</v>
      </c>
      <c r="H1102" s="1" t="s">
        <v>52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53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54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56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57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f t="shared" si="1"/>
        <v>157</v>
      </c>
      <c r="AM1102" s="1">
        <v>200.0</v>
      </c>
      <c r="AN1102" s="1">
        <v>212.0</v>
      </c>
      <c r="AO1102" s="1">
        <v>143.0</v>
      </c>
      <c r="AP1102" s="2">
        <v>11.0</v>
      </c>
      <c r="AQ1102" s="1">
        <v>57.0</v>
      </c>
      <c r="AR1102" s="1">
        <v>57.0</v>
      </c>
      <c r="AS1102" s="1" t="s">
        <v>125</v>
      </c>
      <c r="AT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U1102" s="1" t="s">
        <v>5344</v>
      </c>
      <c r="AV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W1102" s="1" t="s">
        <v>126</v>
      </c>
      <c r="AX1102" s="3" t="str">
        <f>HYPERLINK("https://icf.clappia.com/app/GMB253374/submission/KOT91851634/ICF247370-GMB253374-856o8dbfk9ck0000000/SIG-20250630_123317f1ea.jpeg", "SIG-20250630_123317f1ea.jpeg")</f>
        <v>SIG-20250630_123317f1ea.jpeg</v>
      </c>
      <c r="AY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2" t="s">
        <v>47</v>
      </c>
      <c r="C1103" s="1" t="s">
        <v>5324</v>
      </c>
      <c r="D1103" s="1" t="s">
        <v>5324</v>
      </c>
      <c r="E1103" s="1" t="s">
        <v>5346</v>
      </c>
      <c r="F1103" s="1" t="s">
        <v>51</v>
      </c>
      <c r="G1103" s="1">
        <v>422.0</v>
      </c>
      <c r="H1103" s="1" t="s">
        <v>52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53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54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56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57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f t="shared" si="1"/>
        <v>351</v>
      </c>
      <c r="AM1103" s="1">
        <v>422.0</v>
      </c>
      <c r="AN1103" s="1">
        <v>434.0</v>
      </c>
      <c r="AO1103" s="1">
        <v>346.0</v>
      </c>
      <c r="AP1103" s="2">
        <v>11.0</v>
      </c>
      <c r="AQ1103" s="1">
        <v>76.0</v>
      </c>
      <c r="AR1103" s="1">
        <v>76.0</v>
      </c>
      <c r="AS1103" s="1" t="s">
        <v>2258</v>
      </c>
      <c r="AT1103" s="3" t="str">
        <f>HYPERLINK("https://icf.clappia.com/app/GMB253374/submission/USR64835760/ICF247370-GMB253374-1p9e16mbinf0c0000000/SIG-20250630_12406ff96.jpeg", "SIG-20250630_12406ff96.jpeg")</f>
        <v>SIG-20250630_12406ff96.jpeg</v>
      </c>
      <c r="AU1103" s="1" t="s">
        <v>2259</v>
      </c>
      <c r="AV1103" s="3" t="str">
        <f>HYPERLINK("https://icf.clappia.com/app/GMB253374/submission/USR64835760/ICF247370-GMB253374-h54d99578j360000000/SIG-20250630_1241lga8d.jpeg", "SIG-20250630_1241lga8d.jpeg")</f>
        <v>SIG-20250630_1241lga8d.jpeg</v>
      </c>
      <c r="AW1103" s="1" t="s">
        <v>2260</v>
      </c>
      <c r="AX1103" s="3" t="str">
        <f>HYPERLINK("https://icf.clappia.com/app/GMB253374/submission/USR64835760/ICF247370-GMB253374-2ijpmf0k59j400000000/SIG-20250630_1241h3lj2.jpeg", "SIG-20250630_1241h3lj2.jpeg")</f>
        <v>SIG-20250630_1241h3lj2.jpeg</v>
      </c>
      <c r="AY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2" t="s">
        <v>47</v>
      </c>
      <c r="C1104" s="1" t="s">
        <v>5324</v>
      </c>
      <c r="D1104" s="1" t="s">
        <v>5324</v>
      </c>
      <c r="E1104" s="1" t="s">
        <v>5348</v>
      </c>
      <c r="F1104" s="1" t="s">
        <v>51</v>
      </c>
      <c r="G1104" s="1">
        <v>250.0</v>
      </c>
      <c r="H1104" s="1" t="s">
        <v>52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53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54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56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57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f t="shared" si="1"/>
        <v>261</v>
      </c>
      <c r="AM1104" s="1">
        <v>250.0</v>
      </c>
      <c r="AN1104" s="1">
        <v>262.0</v>
      </c>
      <c r="AO1104" s="1">
        <v>242.0</v>
      </c>
      <c r="AP1104" s="2">
        <v>11.0</v>
      </c>
      <c r="AQ1104" s="1">
        <v>8.0</v>
      </c>
      <c r="AR1104" s="1">
        <v>8.0</v>
      </c>
      <c r="AS1104" s="1" t="s">
        <v>713</v>
      </c>
      <c r="AT1104" s="3" t="str">
        <f>HYPERLINK("https://icf.clappia.com/app/GMB253374/submission/NON69347445/ICF247370-GMB253374-1efep44oljcie0000000/SIG-20250630_1254ekph1.jpeg", "SIG-20250630_1254ekph1.jpeg")</f>
        <v>SIG-20250630_1254ekph1.jpeg</v>
      </c>
      <c r="AU1104" s="1" t="s">
        <v>5349</v>
      </c>
      <c r="AV1104" s="3" t="str">
        <f>HYPERLINK("https://icf.clappia.com/app/GMB253374/submission/NON69347445/ICF247370-GMB253374-1n3j92ea10pck0000000/SIG-20250630_1254m2fnn.jpeg", "SIG-20250630_1254m2fnn.jpeg")</f>
        <v>SIG-20250630_1254m2fnn.jpeg</v>
      </c>
      <c r="AW1104" s="1" t="s">
        <v>5350</v>
      </c>
      <c r="AX1104" s="3" t="str">
        <f>HYPERLINK("https://icf.clappia.com/app/GMB253374/submission/NON69347445/ICF247370-GMB253374-3kh81g6bio7e00000000/SIG-20250630_1255pko8l.jpeg", "SIG-20250630_1255pko8l.jpeg")</f>
        <v>SIG-20250630_1255pko8l.jpeg</v>
      </c>
      <c r="AY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2" t="s">
        <v>47</v>
      </c>
      <c r="C1105" s="1" t="s">
        <v>3823</v>
      </c>
      <c r="D1105" s="1" t="s">
        <v>3823</v>
      </c>
      <c r="E1105" s="1" t="s">
        <v>5352</v>
      </c>
      <c r="F1105" s="1" t="s">
        <v>51</v>
      </c>
      <c r="G1105" s="1">
        <v>124.0</v>
      </c>
      <c r="H1105" s="1" t="s">
        <v>52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53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54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56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57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f t="shared" si="1"/>
        <v>124</v>
      </c>
      <c r="AM1105" s="1">
        <v>124.0</v>
      </c>
      <c r="AN1105" s="1">
        <v>136.0</v>
      </c>
      <c r="AO1105" s="1">
        <v>124.0</v>
      </c>
      <c r="AP1105" s="2">
        <v>11.0</v>
      </c>
      <c r="AQ1105" s="1">
        <v>0.0</v>
      </c>
      <c r="AR1105" s="1">
        <v>0.0</v>
      </c>
      <c r="AS1105" s="1" t="s">
        <v>5353</v>
      </c>
      <c r="AT1105" s="3" t="str">
        <f>HYPERLINK("https://icf.clappia.com/app/GMB253374/submission/KHW13554408/ICF247370-GMB253374-5nl2lg9dp8g600000000/SIG-20250630_1258gbaff.jpeg", "SIG-20250630_1258gbaff.jpeg")</f>
        <v>SIG-20250630_1258gbaff.jpeg</v>
      </c>
      <c r="AU1105" s="1" t="s">
        <v>5354</v>
      </c>
      <c r="AV1105" s="3" t="str">
        <f>HYPERLINK("https://icf.clappia.com/app/GMB253374/submission/KHW13554408/ICF247370-GMB253374-5l4bfa8cecok00000000/SIG-20250630_1252e91hd.jpeg", "SIG-20250630_1252e91hd.jpeg")</f>
        <v>SIG-20250630_1252e91hd.jpeg</v>
      </c>
      <c r="AW1105" s="1" t="s">
        <v>228</v>
      </c>
      <c r="AX1105" s="3" t="str">
        <f>HYPERLINK("https://icf.clappia.com/app/GMB253374/submission/KHW13554408/ICF247370-GMB253374-4eilob7e803600000000/SIG-20250630_12584d33h.jpeg", "SIG-20250630_12584d33h.jpeg")</f>
        <v>SIG-20250630_12584d33h.jpeg</v>
      </c>
      <c r="AY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2" t="s">
        <v>47</v>
      </c>
      <c r="C1106" s="1" t="s">
        <v>3823</v>
      </c>
      <c r="D1106" s="1" t="s">
        <v>3823</v>
      </c>
      <c r="E1106" s="1" t="s">
        <v>5356</v>
      </c>
      <c r="F1106" s="1" t="s">
        <v>51</v>
      </c>
      <c r="G1106" s="1">
        <v>259.0</v>
      </c>
      <c r="H1106" s="1" t="s">
        <v>52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53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54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56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57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f t="shared" si="1"/>
        <v>202</v>
      </c>
      <c r="AM1106" s="1">
        <v>259.0</v>
      </c>
      <c r="AN1106" s="1">
        <v>271.0</v>
      </c>
      <c r="AO1106" s="1">
        <v>159.0</v>
      </c>
      <c r="AP1106" s="2">
        <v>11.0</v>
      </c>
      <c r="AQ1106" s="1">
        <v>100.0</v>
      </c>
      <c r="AR1106" s="1">
        <v>100.0</v>
      </c>
      <c r="AS1106" s="1" t="s">
        <v>5357</v>
      </c>
      <c r="AT1106" s="3" t="str">
        <f>HYPERLINK("https://icf.clappia.com/app/GMB253374/submission/OKT33443519/ICF247370-GMB253374-6140lmm9gaio00000000/SIG-20250630_1310a4mkn.jpeg", "SIG-20250630_1310a4mkn.jpeg")</f>
        <v>SIG-20250630_1310a4mkn.jpeg</v>
      </c>
      <c r="AU1106" s="1" t="s">
        <v>5358</v>
      </c>
      <c r="AV1106" s="3" t="str">
        <f>HYPERLINK("https://icf.clappia.com/app/GMB253374/submission/OKT33443519/ICF247370-GMB253374-5hmg63n827me00000000/SIG-20250630_1230p6fcb.jpeg", "SIG-20250630_1230p6fcb.jpeg")</f>
        <v>SIG-20250630_1230p6fcb.jpeg</v>
      </c>
      <c r="AW1106" s="1" t="s">
        <v>5359</v>
      </c>
      <c r="AX1106" s="3" t="str">
        <f>HYPERLINK("https://icf.clappia.com/app/GMB253374/submission/OKT33443519/ICF247370-GMB253374-3i02p39ae2di00000000/SIG-20250630_1307d7di.jpeg", "SIG-20250630_1307d7di.jpeg")</f>
        <v>SIG-20250630_1307d7di.jpeg</v>
      </c>
      <c r="AY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2" t="s">
        <v>47</v>
      </c>
      <c r="C1107" s="1" t="s">
        <v>5361</v>
      </c>
      <c r="D1107" s="1" t="s">
        <v>5361</v>
      </c>
      <c r="E1107" s="1" t="s">
        <v>5362</v>
      </c>
      <c r="F1107" s="1" t="s">
        <v>51</v>
      </c>
      <c r="G1107" s="1">
        <v>200.0</v>
      </c>
      <c r="H1107" s="1" t="s">
        <v>52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53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54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56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57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f t="shared" si="1"/>
        <v>212</v>
      </c>
      <c r="AM1107" s="1">
        <v>200.0</v>
      </c>
      <c r="AN1107" s="1">
        <v>212.0</v>
      </c>
      <c r="AO1107" s="1">
        <v>200.0</v>
      </c>
      <c r="AP1107" s="2">
        <v>11.0</v>
      </c>
      <c r="AQ1107" s="1">
        <v>0.0</v>
      </c>
      <c r="AR1107" s="1">
        <v>0.0</v>
      </c>
      <c r="AS1107" s="1" t="s">
        <v>5363</v>
      </c>
      <c r="AT1107" s="3" t="str">
        <f>HYPERLINK("https://icf.clappia.com/app/GMB253374/submission/NPE19089147/ICF247370-GMB253374-5hlh3a5hc8c000000000/SIG-20250630_1256k0762.jpeg", "SIG-20250630_1256k0762.jpeg")</f>
        <v>SIG-20250630_1256k0762.jpeg</v>
      </c>
      <c r="AU1107" s="1" t="s">
        <v>5364</v>
      </c>
      <c r="AV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W1107" s="1" t="s">
        <v>829</v>
      </c>
      <c r="AX1107" s="3" t="str">
        <f>HYPERLINK("https://icf.clappia.com/app/GMB253374/submission/NPE19089147/ICF247370-GMB253374-3bfklgp86c8i0000000/SIG-20250630_1258ngee4.jpeg", "SIG-20250630_1258ngee4.jpeg")</f>
        <v>SIG-20250630_1258ngee4.jpeg</v>
      </c>
      <c r="AY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2" t="s">
        <v>47</v>
      </c>
      <c r="C1108" s="1" t="s">
        <v>5366</v>
      </c>
      <c r="D1108" s="1" t="s">
        <v>5366</v>
      </c>
      <c r="E1108" s="1" t="s">
        <v>5367</v>
      </c>
      <c r="F1108" s="1" t="s">
        <v>51</v>
      </c>
      <c r="G1108" s="1">
        <v>357.0</v>
      </c>
      <c r="H1108" s="1" t="s">
        <v>52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53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54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56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57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f t="shared" si="1"/>
        <v>357</v>
      </c>
      <c r="AM1108" s="1">
        <v>357.0</v>
      </c>
      <c r="AN1108" s="1">
        <v>369.0</v>
      </c>
      <c r="AO1108" s="1">
        <v>357.0</v>
      </c>
      <c r="AP1108" s="2">
        <v>11.0</v>
      </c>
      <c r="AQ1108" s="1">
        <v>0.0</v>
      </c>
      <c r="AR1108" s="1">
        <v>0.0</v>
      </c>
      <c r="AS1108" s="1" t="s">
        <v>5368</v>
      </c>
      <c r="AT1108" s="3" t="str">
        <f>HYPERLINK("https://icf.clappia.com/app/GMB253374/submission/DFP87838815/ICF247370-GMB253374-360kcj0alaac0000000/SIG-20250630_1306e66m8.jpeg", "SIG-20250630_1306e66m8.jpeg")</f>
        <v>SIG-20250630_1306e66m8.jpeg</v>
      </c>
      <c r="AU1108" s="1" t="s">
        <v>5369</v>
      </c>
      <c r="AV1108" s="3" t="str">
        <f>HYPERLINK("https://icf.clappia.com/app/GMB253374/submission/DFP87838815/ICF247370-GMB253374-3g2bbaeldi4g00000000/SIG-20250630_1058caelg.jpeg", "SIG-20250630_1058caelg.jpeg")</f>
        <v>SIG-20250630_1058caelg.jpeg</v>
      </c>
      <c r="AW1108" s="1" t="s">
        <v>2272</v>
      </c>
      <c r="AX1108" s="3" t="str">
        <f>HYPERLINK("https://icf.clappia.com/app/GMB253374/submission/DFP87838815/ICF247370-GMB253374-576lepg728g000000000/SIG-20250630_1107nmb7g.jpeg", "SIG-20250630_1107nmb7g.jpeg")</f>
        <v>SIG-20250630_1107nmb7g.jpeg</v>
      </c>
      <c r="AY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2" t="s">
        <v>47</v>
      </c>
      <c r="C1109" s="1" t="s">
        <v>5371</v>
      </c>
      <c r="D1109" s="1" t="s">
        <v>5371</v>
      </c>
      <c r="E1109" s="1" t="s">
        <v>5372</v>
      </c>
      <c r="F1109" s="1" t="s">
        <v>51</v>
      </c>
      <c r="G1109" s="1">
        <v>358.0</v>
      </c>
      <c r="H1109" s="1" t="s">
        <v>52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53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54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56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57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f t="shared" si="1"/>
        <v>310</v>
      </c>
      <c r="AM1109" s="1">
        <v>358.0</v>
      </c>
      <c r="AN1109" s="1">
        <v>370.0</v>
      </c>
      <c r="AO1109" s="1">
        <v>269.0</v>
      </c>
      <c r="AP1109" s="2">
        <v>11.0</v>
      </c>
      <c r="AQ1109" s="1">
        <v>89.0</v>
      </c>
      <c r="AR1109" s="1">
        <v>89.0</v>
      </c>
      <c r="AS1109" s="1" t="s">
        <v>755</v>
      </c>
      <c r="AT1109" s="3" t="str">
        <f>HYPERLINK("https://icf.clappia.com/app/GMB253374/submission/TJZ58042393/ICF247370-GMB253374-of9fhidl3am40000000/SIG-20250630_1303eda3b.jpeg", "SIG-20250630_1303eda3b.jpeg")</f>
        <v>SIG-20250630_1303eda3b.jpeg</v>
      </c>
      <c r="AU1109" s="1" t="s">
        <v>5373</v>
      </c>
      <c r="AV1109" s="3" t="str">
        <f>HYPERLINK("https://icf.clappia.com/app/GMB253374/submission/TJZ58042393/ICF247370-GMB253374-1meg3bdfl5p040000000/SIG-20250630_130415k6j.jpeg", "SIG-20250630_130415k6j.jpeg")</f>
        <v>SIG-20250630_130415k6j.jpeg</v>
      </c>
      <c r="AW1109" s="1" t="s">
        <v>5374</v>
      </c>
      <c r="AX1109" s="3" t="str">
        <f>HYPERLINK("https://icf.clappia.com/app/GMB253374/submission/TJZ58042393/ICF247370-GMB253374-9o51o58j3dp20000000/SIG-20250630_12566cl9k.jpeg", "SIG-20250630_12566cl9k.jpeg")</f>
        <v>SIG-20250630_12566cl9k.jpeg</v>
      </c>
      <c r="AY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2" t="s">
        <v>47</v>
      </c>
      <c r="C1110" s="1" t="s">
        <v>5376</v>
      </c>
      <c r="D1110" s="1" t="s">
        <v>3764</v>
      </c>
      <c r="E1110" s="1" t="s">
        <v>5377</v>
      </c>
      <c r="F1110" s="1" t="s">
        <v>51</v>
      </c>
      <c r="G1110" s="1">
        <v>100.0</v>
      </c>
      <c r="H1110" s="1" t="s">
        <v>52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53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54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56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57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f t="shared" si="1"/>
        <v>89</v>
      </c>
      <c r="AM1110" s="1">
        <v>100.0</v>
      </c>
      <c r="AN1110" s="1">
        <v>112.0</v>
      </c>
      <c r="AO1110" s="1">
        <v>89.0</v>
      </c>
      <c r="AP1110" s="2">
        <v>11.0</v>
      </c>
      <c r="AQ1110" s="1">
        <v>11.0</v>
      </c>
      <c r="AR1110" s="1">
        <v>11.0</v>
      </c>
      <c r="AS1110" s="1" t="s">
        <v>5378</v>
      </c>
      <c r="AT1110" s="3" t="str">
        <f>HYPERLINK("https://icf.clappia.com/app/GMB253374/submission/RAW53481743/ICF247370-GMB253374-3d87dj757l4a00000000/SIG-20250630_1155357ap.jpeg", "SIG-20250630_1155357ap.jpeg")</f>
        <v>SIG-20250630_1155357ap.jpeg</v>
      </c>
      <c r="AU1110" s="1" t="s">
        <v>5379</v>
      </c>
      <c r="AV1110" s="3" t="str">
        <f>HYPERLINK("https://icf.clappia.com/app/GMB253374/submission/RAW53481743/ICF247370-GMB253374-2mm2fhdiah8600000000/SIG-20250630_1157o11dl.jpeg", "SIG-20250630_1157o11dl.jpeg")</f>
        <v>SIG-20250630_1157o11dl.jpeg</v>
      </c>
      <c r="AW1110" s="1" t="s">
        <v>3187</v>
      </c>
      <c r="AX1110" s="3" t="str">
        <f>HYPERLINK("https://icf.clappia.com/app/GMB253374/submission/RAW53481743/ICF247370-GMB253374-5e1clpi7h8gc00000000/SIG-20250630_1200l6jgl.jpeg", "SIG-20250630_1200l6jgl.jpeg")</f>
        <v>SIG-20250630_1200l6jgl.jpeg</v>
      </c>
      <c r="AY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2" t="s">
        <v>47</v>
      </c>
      <c r="C1111" s="1" t="s">
        <v>5376</v>
      </c>
      <c r="D1111" s="1" t="s">
        <v>5381</v>
      </c>
      <c r="E1111" s="1" t="s">
        <v>5382</v>
      </c>
      <c r="F1111" s="1" t="s">
        <v>51</v>
      </c>
      <c r="G1111" s="1">
        <v>300.0</v>
      </c>
      <c r="H1111" s="1" t="s">
        <v>52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53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54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56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57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f t="shared" si="1"/>
        <v>292</v>
      </c>
      <c r="AM1111" s="1">
        <v>300.0</v>
      </c>
      <c r="AN1111" s="1">
        <v>312.0</v>
      </c>
      <c r="AO1111" s="1">
        <v>288.0</v>
      </c>
      <c r="AP1111" s="2">
        <v>11.0</v>
      </c>
      <c r="AQ1111" s="1">
        <v>12.0</v>
      </c>
      <c r="AR1111" s="1">
        <v>12.0</v>
      </c>
      <c r="AS1111" s="1" t="s">
        <v>5383</v>
      </c>
      <c r="AT1111" s="3" t="str">
        <f>HYPERLINK("https://icf.clappia.com/app/GMB253374/submission/QBI50750291/ICF247370-GMB253374-3f3h23hlgc8g00000000/SIG-20250630_1259a2b7l.jpeg", "SIG-20250630_1259a2b7l.jpeg")</f>
        <v>SIG-20250630_1259a2b7l.jpeg</v>
      </c>
      <c r="AU1111" s="1" t="s">
        <v>3558</v>
      </c>
      <c r="AV1111" s="3" t="str">
        <f>HYPERLINK("https://icf.clappia.com/app/GMB253374/submission/QBI50750291/ICF247370-GMB253374-2l3o77if4l2c00000000/SIG-20250630_1259gmf64.jpeg", "SIG-20250630_1259gmf64.jpeg")</f>
        <v>SIG-20250630_1259gmf64.jpeg</v>
      </c>
      <c r="AW1111" s="1" t="s">
        <v>3559</v>
      </c>
      <c r="AX1111" s="3" t="str">
        <f>HYPERLINK("https://icf.clappia.com/app/GMB253374/submission/QBI50750291/ICF247370-GMB253374-eogcf8fif2pc0000000/SIG-20250630_1259onn4i.jpeg", "SIG-20250630_1259onn4i.jpeg")</f>
        <v>SIG-20250630_1259onn4i.jpeg</v>
      </c>
      <c r="AY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2" t="s">
        <v>47</v>
      </c>
      <c r="C1112" s="1" t="s">
        <v>5385</v>
      </c>
      <c r="D1112" s="1" t="s">
        <v>5385</v>
      </c>
      <c r="E1112" s="1" t="s">
        <v>5386</v>
      </c>
      <c r="F1112" s="1" t="s">
        <v>51</v>
      </c>
      <c r="G1112" s="1">
        <v>100.0</v>
      </c>
      <c r="H1112" s="1" t="s">
        <v>52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53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54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56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57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f t="shared" si="1"/>
        <v>180</v>
      </c>
      <c r="AM1112" s="1">
        <v>100.0</v>
      </c>
      <c r="AN1112" s="1">
        <v>112.0</v>
      </c>
      <c r="AO1112" s="1">
        <v>96.0</v>
      </c>
      <c r="AP1112" s="2">
        <v>11.0</v>
      </c>
      <c r="AQ1112" s="1">
        <v>4.0</v>
      </c>
      <c r="AR1112" s="1">
        <v>4.0</v>
      </c>
      <c r="AS1112" s="1" t="s">
        <v>5387</v>
      </c>
      <c r="AT1112" s="3" t="str">
        <f>HYPERLINK("https://icf.clappia.com/app/GMB253374/submission/MVD58319835/ICF247370-GMB253374-1532oe9h88bjm0000000/SIG-20250630_125245b06.jpeg", "SIG-20250630_125245b06.jpeg")</f>
        <v>SIG-20250630_125245b06.jpeg</v>
      </c>
      <c r="AU1112" s="1" t="s">
        <v>5388</v>
      </c>
      <c r="AV1112" s="3" t="str">
        <f>HYPERLINK("https://icf.clappia.com/app/GMB253374/submission/MVD58319835/ICF247370-GMB253374-214jc2h7d22jg0000000/SIG-20250630_1254f7n7i.jpeg", "SIG-20250630_1254f7n7i.jpeg")</f>
        <v>SIG-20250630_1254f7n7i.jpeg</v>
      </c>
      <c r="AW1112" s="1" t="s">
        <v>1818</v>
      </c>
      <c r="AX1112" s="3" t="str">
        <f>HYPERLINK("https://icf.clappia.com/app/GMB253374/submission/MVD58319835/ICF247370-GMB253374-57a28g6kn55a00000000/SIG-20250630_1256178am.jpeg", "SIG-20250630_1256178am.jpeg")</f>
        <v>SIG-20250630_1256178am.jpeg</v>
      </c>
      <c r="AY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2" t="s">
        <v>47</v>
      </c>
      <c r="C1113" s="1" t="s">
        <v>5385</v>
      </c>
      <c r="D1113" s="1" t="s">
        <v>5385</v>
      </c>
      <c r="E1113" s="1" t="s">
        <v>5390</v>
      </c>
      <c r="F1113" s="1" t="s">
        <v>51</v>
      </c>
      <c r="G1113" s="1">
        <v>230.0</v>
      </c>
      <c r="H1113" s="1" t="s">
        <v>52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53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54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56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57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f t="shared" si="1"/>
        <v>230</v>
      </c>
      <c r="AM1113" s="1">
        <v>230.0</v>
      </c>
      <c r="AN1113" s="1">
        <v>242.0</v>
      </c>
      <c r="AO1113" s="1">
        <v>230.0</v>
      </c>
      <c r="AP1113" s="2">
        <v>11.0</v>
      </c>
      <c r="AQ1113" s="1">
        <v>0.0</v>
      </c>
      <c r="AR1113" s="1">
        <v>0.0</v>
      </c>
      <c r="AS1113" s="1" t="s">
        <v>5391</v>
      </c>
      <c r="AT1113" s="3" t="str">
        <f>HYPERLINK("https://icf.clappia.com/app/GMB253374/submission/KGU46572619/ICF247370-GMB253374-k883ncdb5aac0000000/SIG-20250630_1301k43mc.jpeg", "SIG-20250630_1301k43mc.jpeg")</f>
        <v>SIG-20250630_1301k43mc.jpeg</v>
      </c>
      <c r="AU1113" s="1" t="s">
        <v>5392</v>
      </c>
      <c r="AV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W1113" s="1" t="s">
        <v>2318</v>
      </c>
      <c r="AX1113" s="3" t="str">
        <f>HYPERLINK("https://icf.clappia.com/app/GMB253374/submission/KGU46572619/ICF247370-GMB253374-36ok9n0h0g8400000000/SIG-20250630_1300ce4id.jpeg", "SIG-20250630_1300ce4id.jpeg")</f>
        <v>SIG-20250630_1300ce4id.jpeg</v>
      </c>
      <c r="AY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2" t="s">
        <v>47</v>
      </c>
      <c r="C1114" s="1" t="s">
        <v>5394</v>
      </c>
      <c r="D1114" s="1" t="s">
        <v>5394</v>
      </c>
      <c r="E1114" s="1" t="s">
        <v>5395</v>
      </c>
      <c r="F1114" s="1" t="s">
        <v>51</v>
      </c>
      <c r="G1114" s="1">
        <v>350.0</v>
      </c>
      <c r="H1114" s="1" t="s">
        <v>52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53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54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56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57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f t="shared" si="1"/>
        <v>314</v>
      </c>
      <c r="AM1114" s="1">
        <v>350.0</v>
      </c>
      <c r="AN1114" s="1">
        <v>362.0</v>
      </c>
      <c r="AO1114" s="1">
        <v>307.0</v>
      </c>
      <c r="AP1114" s="2">
        <v>11.0</v>
      </c>
      <c r="AQ1114" s="1">
        <v>43.0</v>
      </c>
      <c r="AR1114" s="1">
        <v>43.0</v>
      </c>
      <c r="AS1114" s="1" t="s">
        <v>2762</v>
      </c>
      <c r="AT1114" s="3" t="str">
        <f>HYPERLINK("https://icf.clappia.com/app/GMB253374/submission/BSC52653994/ICF247370-GMB253374-32haojdi40da00000000/SIG-20250630_1257o38fl.jpeg", "SIG-20250630_1257o38fl.jpeg")</f>
        <v>SIG-20250630_1257o38fl.jpeg</v>
      </c>
      <c r="AU1114" s="1" t="s">
        <v>5396</v>
      </c>
      <c r="AV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W1114" s="1" t="s">
        <v>5397</v>
      </c>
      <c r="AX1114" s="3" t="str">
        <f>HYPERLINK("https://icf.clappia.com/app/GMB253374/submission/BSC52653994/ICF247370-GMB253374-2n4g7cndcc4o00000000/SIG-20250630_125941d1e.jpeg", "SIG-20250630_125941d1e.jpeg")</f>
        <v>SIG-20250630_125941d1e.jpeg</v>
      </c>
      <c r="AY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2" t="s">
        <v>47</v>
      </c>
      <c r="C1115" s="1" t="s">
        <v>5394</v>
      </c>
      <c r="D1115" s="1" t="s">
        <v>5394</v>
      </c>
      <c r="E1115" s="1" t="s">
        <v>5399</v>
      </c>
      <c r="F1115" s="1" t="s">
        <v>51</v>
      </c>
      <c r="G1115" s="1">
        <v>359.0</v>
      </c>
      <c r="H1115" s="1" t="s">
        <v>52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53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54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56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57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f t="shared" si="1"/>
        <v>295</v>
      </c>
      <c r="AM1115" s="1">
        <v>359.0</v>
      </c>
      <c r="AN1115" s="1">
        <v>371.0</v>
      </c>
      <c r="AO1115" s="1">
        <v>295.0</v>
      </c>
      <c r="AP1115" s="2">
        <v>11.0</v>
      </c>
      <c r="AQ1115" s="1">
        <v>64.0</v>
      </c>
      <c r="AR1115" s="1">
        <v>64.0</v>
      </c>
      <c r="AS1115" s="1" t="s">
        <v>1956</v>
      </c>
      <c r="AT1115" s="3" t="str">
        <f>HYPERLINK("https://icf.clappia.com/app/GMB253374/submission/TBN19221599/ICF247370-GMB253374-11l3125h698cg0000000/SIG-20250630_1255gjo47.jpeg", "SIG-20250630_1255gjo47.jpeg")</f>
        <v>SIG-20250630_1255gjo47.jpeg</v>
      </c>
      <c r="AU1115" s="1" t="s">
        <v>1957</v>
      </c>
      <c r="AV1115" s="3" t="str">
        <f>HYPERLINK("https://icf.clappia.com/app/GMB253374/submission/TBN19221599/ICF247370-GMB253374-30l8d9kj7a6m00000000/SIG-20250630_1256gom61.jpeg", "SIG-20250630_1256gom61.jpeg")</f>
        <v>SIG-20250630_1256gom61.jpeg</v>
      </c>
      <c r="AW1115" s="1" t="s">
        <v>1958</v>
      </c>
      <c r="AX1115" s="3" t="str">
        <f>HYPERLINK("https://icf.clappia.com/app/GMB253374/submission/TBN19221599/ICF247370-GMB253374-np8n4ho84gj80000000/SIG-20250630_1257ad6j5.jpeg", "SIG-20250630_1257ad6j5.jpeg")</f>
        <v>SIG-20250630_1257ad6j5.jpeg</v>
      </c>
      <c r="AY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2" t="s">
        <v>47</v>
      </c>
      <c r="C1116" s="1" t="s">
        <v>3019</v>
      </c>
      <c r="D1116" s="1" t="s">
        <v>3019</v>
      </c>
      <c r="E1116" s="1" t="s">
        <v>5401</v>
      </c>
      <c r="F1116" s="1" t="s">
        <v>51</v>
      </c>
      <c r="G1116" s="1">
        <v>343.0</v>
      </c>
      <c r="H1116" s="1" t="s">
        <v>52</v>
      </c>
      <c r="I1116" s="1">
        <v>20.0</v>
      </c>
      <c r="J1116" s="1" t="s">
        <v>2000</v>
      </c>
      <c r="K1116" s="1" t="s">
        <v>2000</v>
      </c>
      <c r="L1116" s="1">
        <v>11.0</v>
      </c>
      <c r="M1116" s="1">
        <v>11.0</v>
      </c>
      <c r="N1116" s="1" t="s">
        <v>53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54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56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57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f t="shared" si="1"/>
        <v>69</v>
      </c>
      <c r="AM1116" s="1">
        <v>343.0</v>
      </c>
      <c r="AN1116" s="1">
        <v>355.0</v>
      </c>
      <c r="AO1116" s="1">
        <v>69.0</v>
      </c>
      <c r="AP1116" s="2">
        <v>11.0</v>
      </c>
      <c r="AQ1116" s="1">
        <v>274.0</v>
      </c>
      <c r="AR1116" s="1">
        <v>274.0</v>
      </c>
      <c r="AS1116" s="1" t="s">
        <v>2001</v>
      </c>
      <c r="AT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U1116" s="1" t="s">
        <v>3124</v>
      </c>
      <c r="AV1116" s="3" t="str">
        <f>HYPERLINK("https://icf.clappia.com/app/GMB253374/submission/XTK84758885/ICF247370-GMB253374-5en35fd8ff2k00000000/SIG-20250630_1254mml1b.jpeg", "SIG-20250630_1254mml1b.jpeg")</f>
        <v>SIG-20250630_1254mml1b.jpeg</v>
      </c>
      <c r="AW1116" s="1" t="s">
        <v>2002</v>
      </c>
      <c r="AX1116" s="3" t="str">
        <f>HYPERLINK("https://icf.clappia.com/app/GMB253374/submission/XTK84758885/ICF247370-GMB253374-51ahmfo683k800000000/SIG-20250630_12564hlna.jpeg", "SIG-20250630_12564hlna.jpeg")</f>
        <v>SIG-20250630_12564hlna.jpeg</v>
      </c>
      <c r="AY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2" t="s">
        <v>47</v>
      </c>
      <c r="C1117" s="1" t="s">
        <v>3019</v>
      </c>
      <c r="D1117" s="1" t="s">
        <v>3019</v>
      </c>
      <c r="E1117" s="1" t="s">
        <v>5403</v>
      </c>
      <c r="F1117" s="1" t="s">
        <v>51</v>
      </c>
      <c r="G1117" s="1">
        <v>150.0</v>
      </c>
      <c r="H1117" s="1" t="s">
        <v>52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53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54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56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57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f t="shared" si="1"/>
        <v>210</v>
      </c>
      <c r="AM1117" s="1">
        <v>150.0</v>
      </c>
      <c r="AN1117" s="1">
        <v>162.0</v>
      </c>
      <c r="AO1117" s="1">
        <v>150.0</v>
      </c>
      <c r="AP1117" s="2">
        <v>11.0</v>
      </c>
      <c r="AQ1117" s="1">
        <v>0.0</v>
      </c>
      <c r="AR1117" s="1">
        <v>0.0</v>
      </c>
      <c r="AS1117" s="1" t="s">
        <v>5404</v>
      </c>
      <c r="AT1117" s="3" t="str">
        <f>HYPERLINK("https://icf.clappia.com/app/GMB253374/submission/QZW30658063/ICF247370-GMB253374-cg0n1ja9og9e0000000/SIG-20250630_1251123hdi.jpeg", "SIG-20250630_1251123hdi.jpeg")</f>
        <v>SIG-20250630_1251123hdi.jpeg</v>
      </c>
      <c r="AU1117" s="1" t="s">
        <v>4001</v>
      </c>
      <c r="AV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W1117" s="1" t="s">
        <v>5405</v>
      </c>
      <c r="AX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Y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2" t="s">
        <v>47</v>
      </c>
      <c r="C1118" s="1" t="s">
        <v>5407</v>
      </c>
      <c r="D1118" s="1" t="s">
        <v>5407</v>
      </c>
      <c r="E1118" s="1" t="s">
        <v>5408</v>
      </c>
      <c r="F1118" s="1" t="s">
        <v>51</v>
      </c>
      <c r="G1118" s="1">
        <v>350.0</v>
      </c>
      <c r="H1118" s="1" t="s">
        <v>52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53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54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56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57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f t="shared" si="1"/>
        <v>329</v>
      </c>
      <c r="AM1118" s="1">
        <v>350.0</v>
      </c>
      <c r="AN1118" s="1">
        <v>362.0</v>
      </c>
      <c r="AO1118" s="1">
        <v>329.0</v>
      </c>
      <c r="AP1118" s="2">
        <v>11.0</v>
      </c>
      <c r="AQ1118" s="1">
        <v>21.0</v>
      </c>
      <c r="AR1118" s="1">
        <v>21.0</v>
      </c>
      <c r="AS1118" s="1" t="s">
        <v>1912</v>
      </c>
      <c r="AT1118" s="3" t="str">
        <f>HYPERLINK("https://icf.clappia.com/app/GMB253374/submission/IDX95905470/ICF247370-GMB253374-jfne3nogm71i0000000/SIG-20250630_122713h8jl.jpeg", "SIG-20250630_122713h8jl.jpeg")</f>
        <v>SIG-20250630_122713h8jl.jpeg</v>
      </c>
      <c r="AU1118" s="1" t="s">
        <v>3142</v>
      </c>
      <c r="AV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W1118" s="1" t="s">
        <v>3143</v>
      </c>
      <c r="AX1118" s="3" t="str">
        <f>HYPERLINK("https://icf.clappia.com/app/GMB253374/submission/IDX95905470/ICF247370-GMB253374-1elfil91dc3eo0000000/SIG-20250630_1246oe2m3.jpeg", "SIG-20250630_1246oe2m3.jpeg")</f>
        <v>SIG-20250630_1246oe2m3.jpeg</v>
      </c>
      <c r="AY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2" t="s">
        <v>47</v>
      </c>
      <c r="C1119" s="1" t="s">
        <v>5407</v>
      </c>
      <c r="D1119" s="1" t="s">
        <v>5407</v>
      </c>
      <c r="E1119" s="1" t="s">
        <v>5410</v>
      </c>
      <c r="F1119" s="1" t="s">
        <v>51</v>
      </c>
      <c r="G1119" s="1">
        <v>118.0</v>
      </c>
      <c r="H1119" s="1" t="s">
        <v>52</v>
      </c>
      <c r="I1119" s="1" t="s">
        <v>55</v>
      </c>
      <c r="J1119" s="1" t="s">
        <v>55</v>
      </c>
      <c r="K1119" s="1" t="s">
        <v>55</v>
      </c>
      <c r="L1119" s="1" t="s">
        <v>55</v>
      </c>
      <c r="M1119" s="1" t="s">
        <v>55</v>
      </c>
      <c r="N1119" s="1" t="s">
        <v>53</v>
      </c>
      <c r="O1119" s="1" t="s">
        <v>55</v>
      </c>
      <c r="P1119" s="1" t="s">
        <v>55</v>
      </c>
      <c r="Q1119" s="1" t="s">
        <v>55</v>
      </c>
      <c r="R1119" s="1" t="s">
        <v>55</v>
      </c>
      <c r="S1119" s="1" t="s">
        <v>55</v>
      </c>
      <c r="T1119" s="1" t="s">
        <v>54</v>
      </c>
      <c r="U1119" s="1" t="s">
        <v>55</v>
      </c>
      <c r="V1119" s="1" t="s">
        <v>55</v>
      </c>
      <c r="W1119" s="1" t="s">
        <v>55</v>
      </c>
      <c r="X1119" s="1" t="s">
        <v>55</v>
      </c>
      <c r="Y1119" s="1" t="s">
        <v>55</v>
      </c>
      <c r="Z1119" s="1" t="s">
        <v>56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57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f t="shared" si="1"/>
        <v>118</v>
      </c>
      <c r="AM1119" s="1">
        <v>118.0</v>
      </c>
      <c r="AN1119" s="1">
        <v>130.0</v>
      </c>
      <c r="AO1119" s="1">
        <v>118.0</v>
      </c>
      <c r="AP1119" s="2">
        <v>11.0</v>
      </c>
      <c r="AQ1119" s="1">
        <v>0.0</v>
      </c>
      <c r="AR1119" s="1">
        <v>0.0</v>
      </c>
      <c r="AS1119" s="1" t="s">
        <v>5411</v>
      </c>
      <c r="AT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U1119" s="1" t="s">
        <v>1588</v>
      </c>
      <c r="AV1119" s="3" t="str">
        <f>HYPERLINK("https://icf.clappia.com/app/GMB253374/submission/OVX58241833/ICF247370-GMB253374-joffh4g3l8he0000000/SIG-20250630_1238107240.jpeg", "SIG-20250630_1238107240.jpeg")</f>
        <v>SIG-20250630_1238107240.jpeg</v>
      </c>
      <c r="AW1119" s="1" t="s">
        <v>1583</v>
      </c>
      <c r="AX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Y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2" t="s">
        <v>47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250.0</v>
      </c>
      <c r="H1120" s="1" t="s">
        <v>52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53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54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56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57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f t="shared" si="1"/>
        <v>110</v>
      </c>
      <c r="AM1120" s="1">
        <v>250.0</v>
      </c>
      <c r="AN1120" s="1">
        <v>262.0</v>
      </c>
      <c r="AO1120" s="1">
        <v>100.0</v>
      </c>
      <c r="AP1120" s="2">
        <v>11.0</v>
      </c>
      <c r="AQ1120" s="1">
        <v>150.0</v>
      </c>
      <c r="AR1120" s="1">
        <v>150.0</v>
      </c>
      <c r="AS1120" s="1" t="s">
        <v>4490</v>
      </c>
      <c r="AT1120" s="3" t="str">
        <f>HYPERLINK("https://icf.clappia.com/app/GMB253374/submission/SSQ62048656/ICF247370-GMB253374-3iofi49m3f0c00000000/SIG-20250630_1223eokaf.jpeg", "SIG-20250630_1223eokaf.jpeg")</f>
        <v>SIG-20250630_1223eokaf.jpeg</v>
      </c>
      <c r="AU1120" s="1" t="s">
        <v>4491</v>
      </c>
      <c r="AV1120" s="3" t="str">
        <f>HYPERLINK("https://icf.clappia.com/app/GMB253374/submission/SSQ62048656/ICF247370-GMB253374-1f5e5mc577l680000000/SIG-20250630_12543ke1g.jpeg", "SIG-20250630_12543ke1g.jpeg")</f>
        <v>SIG-20250630_12543ke1g.jpeg</v>
      </c>
      <c r="AW1120" s="1" t="s">
        <v>4492</v>
      </c>
      <c r="AX1120" s="3" t="str">
        <f>HYPERLINK("https://icf.clappia.com/app/GMB253374/submission/SSQ62048656/ICF247370-GMB253374-5o5032d7beek00000000/SIG-20250630_123184f00.jpeg", "SIG-20250630_123184f00.jpeg")</f>
        <v>SIG-20250630_123184f00.jpeg</v>
      </c>
      <c r="AY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2" t="s">
        <v>47</v>
      </c>
      <c r="C1121" s="1" t="s">
        <v>5416</v>
      </c>
      <c r="D1121" s="1" t="s">
        <v>5416</v>
      </c>
      <c r="E1121" s="1" t="s">
        <v>5417</v>
      </c>
      <c r="F1121" s="1" t="s">
        <v>51</v>
      </c>
      <c r="G1121" s="1">
        <v>200.0</v>
      </c>
      <c r="H1121" s="1" t="s">
        <v>52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53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54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56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57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f t="shared" si="1"/>
        <v>236</v>
      </c>
      <c r="AM1121" s="1">
        <v>200.0</v>
      </c>
      <c r="AN1121" s="1">
        <v>212.0</v>
      </c>
      <c r="AO1121" s="1">
        <v>196.0</v>
      </c>
      <c r="AP1121" s="2">
        <v>11.0</v>
      </c>
      <c r="AQ1121" s="1">
        <v>4.0</v>
      </c>
      <c r="AR1121" s="1">
        <v>4.0</v>
      </c>
      <c r="AS1121" s="1" t="s">
        <v>5418</v>
      </c>
      <c r="AT1121" s="3" t="str">
        <f>HYPERLINK("https://icf.clappia.com/app/GMB253374/submission/UYN84044846/ICF247370-GMB253374-4oiiojlegn2m00000000/SIG-20250630_1252aiiid.jpeg", "SIG-20250630_1252aiiid.jpeg")</f>
        <v>SIG-20250630_1252aiiid.jpeg</v>
      </c>
      <c r="AU1121" s="1" t="s">
        <v>585</v>
      </c>
      <c r="AV1121" s="3" t="str">
        <f>HYPERLINK("https://icf.clappia.com/app/GMB253374/submission/UYN84044846/ICF247370-GMB253374-3k2hki216hn400000000/SIG-20250630_1253l70o.jpeg", "SIG-20250630_1253l70o.jpeg")</f>
        <v>SIG-20250630_1253l70o.jpeg</v>
      </c>
      <c r="AW1121" s="1" t="s">
        <v>5419</v>
      </c>
      <c r="AX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Y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2" t="s">
        <v>47</v>
      </c>
      <c r="C1122" s="1" t="s">
        <v>5421</v>
      </c>
      <c r="D1122" s="1" t="s">
        <v>5421</v>
      </c>
      <c r="E1122" s="1" t="s">
        <v>5422</v>
      </c>
      <c r="F1122" s="1" t="s">
        <v>51</v>
      </c>
      <c r="G1122" s="1">
        <v>300.0</v>
      </c>
      <c r="H1122" s="1" t="s">
        <v>52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53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54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56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57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f t="shared" si="1"/>
        <v>297</v>
      </c>
      <c r="AM1122" s="1">
        <v>300.0</v>
      </c>
      <c r="AN1122" s="1">
        <v>312.0</v>
      </c>
      <c r="AO1122" s="1">
        <v>297.0</v>
      </c>
      <c r="AP1122" s="2">
        <v>11.0</v>
      </c>
      <c r="AQ1122" s="1">
        <v>3.0</v>
      </c>
      <c r="AR1122" s="1">
        <v>3.0</v>
      </c>
      <c r="AS1122" s="1" t="s">
        <v>4717</v>
      </c>
      <c r="AT1122" s="3" t="str">
        <f>HYPERLINK("https://icf.clappia.com/app/GMB253374/submission/QXL23486274/ICF247370-GMB253374-23c18c601m1600000000/SIG-20250630_1247mag6l.jpeg", "SIG-20250630_1247mag6l.jpeg")</f>
        <v>SIG-20250630_1247mag6l.jpeg</v>
      </c>
      <c r="AU1122" s="1" t="s">
        <v>5423</v>
      </c>
      <c r="AV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W1122" s="1" t="s">
        <v>4719</v>
      </c>
      <c r="AX1122" s="3" t="str">
        <f>HYPERLINK("https://icf.clappia.com/app/GMB253374/submission/QXL23486274/ICF247370-GMB253374-30aih899c1g600000000/SIG-20250630_1251hd8op.jpeg", "SIG-20250630_1251hd8op.jpeg")</f>
        <v>SIG-20250630_1251hd8op.jpeg</v>
      </c>
      <c r="AY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2" t="s">
        <v>47</v>
      </c>
      <c r="C1123" s="1" t="s">
        <v>5421</v>
      </c>
      <c r="D1123" s="1" t="s">
        <v>5421</v>
      </c>
      <c r="E1123" s="1" t="s">
        <v>5425</v>
      </c>
      <c r="F1123" s="1" t="s">
        <v>51</v>
      </c>
      <c r="G1123" s="1">
        <v>316.0</v>
      </c>
      <c r="H1123" s="1" t="s">
        <v>52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53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54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56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57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f t="shared" si="1"/>
        <v>316</v>
      </c>
      <c r="AM1123" s="1">
        <v>316.0</v>
      </c>
      <c r="AN1123" s="1">
        <v>328.0</v>
      </c>
      <c r="AO1123" s="1">
        <v>316.0</v>
      </c>
      <c r="AP1123" s="2">
        <v>11.0</v>
      </c>
      <c r="AQ1123" s="1">
        <v>0.0</v>
      </c>
      <c r="AR1123" s="1">
        <v>0.0</v>
      </c>
      <c r="AS1123" s="1" t="s">
        <v>4608</v>
      </c>
      <c r="AT1123" s="3" t="str">
        <f>HYPERLINK("https://icf.clappia.com/app/GMB253374/submission/YZJ00603504/ICF247370-GMB253374-20i94n04ae4ic0000000/SIG-20250630_12495hde0.jpeg", "SIG-20250630_12495hde0.jpeg")</f>
        <v>SIG-20250630_12495hde0.jpeg</v>
      </c>
      <c r="AU1123" s="1" t="s">
        <v>4609</v>
      </c>
      <c r="AV1123" s="3" t="str">
        <f>HYPERLINK("https://icf.clappia.com/app/GMB253374/submission/YZJ00603504/ICF247370-GMB253374-49m6hoo7mb8m00000000/SIG-20250630_12502ai5l.jpeg", "SIG-20250630_12502ai5l.jpeg")</f>
        <v>SIG-20250630_12502ai5l.jpeg</v>
      </c>
      <c r="AW1123" s="1" t="s">
        <v>4610</v>
      </c>
      <c r="AX1123" s="3" t="str">
        <f>HYPERLINK("https://icf.clappia.com/app/GMB253374/submission/YZJ00603504/ICF247370-GMB253374-93l2opap8dhe0000000/SIG-20250630_1250a8729.jpeg", "SIG-20250630_1250a8729.jpeg")</f>
        <v>SIG-20250630_1250a8729.jpeg</v>
      </c>
      <c r="AY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2" t="s">
        <v>47</v>
      </c>
      <c r="C1124" s="1" t="s">
        <v>5421</v>
      </c>
      <c r="D1124" s="1" t="s">
        <v>5421</v>
      </c>
      <c r="E1124" s="1" t="s">
        <v>5427</v>
      </c>
      <c r="F1124" s="1" t="s">
        <v>51</v>
      </c>
      <c r="G1124" s="1">
        <v>150.0</v>
      </c>
      <c r="H1124" s="1" t="s">
        <v>52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53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54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56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57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f t="shared" si="1"/>
        <v>136</v>
      </c>
      <c r="AM1124" s="1">
        <v>150.0</v>
      </c>
      <c r="AN1124" s="1">
        <v>162.0</v>
      </c>
      <c r="AO1124" s="1">
        <v>136.0</v>
      </c>
      <c r="AP1124" s="2">
        <v>11.0</v>
      </c>
      <c r="AQ1124" s="1">
        <v>14.0</v>
      </c>
      <c r="AR1124" s="1">
        <v>14.0</v>
      </c>
      <c r="AS1124" s="1" t="s">
        <v>5428</v>
      </c>
      <c r="AT1124" s="3" t="str">
        <f>HYPERLINK("https://icf.clappia.com/app/GMB253374/submission/XWW71743808/ICF247370-GMB253374-c85m9b6c205e0000000/SIG-20250630_1224hep0p.jpeg", "SIG-20250630_1224hep0p.jpeg")</f>
        <v>SIG-20250630_1224hep0p.jpeg</v>
      </c>
      <c r="AU1124" s="1" t="s">
        <v>4338</v>
      </c>
      <c r="AV1124" s="3" t="str">
        <f>HYPERLINK("https://icf.clappia.com/app/GMB253374/submission/XWW71743808/ICF247370-GMB253374-ah9e3mo7m5f40000000/SIG-20250630_122568egl.jpeg", "SIG-20250630_122568egl.jpeg")</f>
        <v>SIG-20250630_122568egl.jpeg</v>
      </c>
      <c r="AW1124" s="1" t="s">
        <v>4337</v>
      </c>
      <c r="AX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Y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2" t="s">
        <v>47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250.0</v>
      </c>
      <c r="H1125" s="1" t="s">
        <v>52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53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54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56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57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f t="shared" si="1"/>
        <v>222</v>
      </c>
      <c r="AM1125" s="1">
        <v>250.0</v>
      </c>
      <c r="AN1125" s="1">
        <v>262.0</v>
      </c>
      <c r="AO1125" s="1">
        <v>209.0</v>
      </c>
      <c r="AP1125" s="2">
        <v>11.0</v>
      </c>
      <c r="AQ1125" s="1">
        <v>41.0</v>
      </c>
      <c r="AR1125" s="1">
        <v>41.0</v>
      </c>
      <c r="AS1125" s="1" t="s">
        <v>5432</v>
      </c>
      <c r="AT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U1125" s="1" t="s">
        <v>1857</v>
      </c>
      <c r="AV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W1125" s="1" t="s">
        <v>1211</v>
      </c>
      <c r="AX1125" s="3" t="str">
        <f>HYPERLINK("https://icf.clappia.com/app/GMB253374/submission/HFJ22794410/ICF247370-GMB253374-17diad2i3m1280000000/SIG-20250630_1249go9d2.jpeg", "SIG-20250630_1249go9d2.jpeg")</f>
        <v>SIG-20250630_1249go9d2.jpeg</v>
      </c>
      <c r="AY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2" t="s">
        <v>47</v>
      </c>
      <c r="C1126" s="1" t="s">
        <v>5434</v>
      </c>
      <c r="D1126" s="1" t="s">
        <v>5435</v>
      </c>
      <c r="E1126" s="1" t="s">
        <v>5436</v>
      </c>
      <c r="F1126" s="1" t="s">
        <v>51</v>
      </c>
      <c r="G1126" s="1">
        <v>157.0</v>
      </c>
      <c r="H1126" s="1" t="s">
        <v>52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53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54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56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57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f t="shared" si="1"/>
        <v>251</v>
      </c>
      <c r="AM1126" s="1">
        <v>157.0</v>
      </c>
      <c r="AN1126" s="1">
        <v>169.0</v>
      </c>
      <c r="AO1126" s="1">
        <v>157.0</v>
      </c>
      <c r="AP1126" s="2">
        <v>11.0</v>
      </c>
      <c r="AQ1126" s="1">
        <v>0.0</v>
      </c>
      <c r="AR1126" s="1">
        <v>0.0</v>
      </c>
      <c r="AS1126" s="1" t="s">
        <v>674</v>
      </c>
      <c r="AT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U1126" s="1" t="s">
        <v>5437</v>
      </c>
      <c r="AV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W1126" s="1" t="s">
        <v>675</v>
      </c>
      <c r="AX1126" s="3" t="str">
        <f>HYPERLINK("https://icf.clappia.com/app/GMB253374/submission/XEY73100732/ICF247370-GMB253374-1oad6i854deee0000000/SIG-20250630_1242mkdnd.jpeg", "SIG-20250630_1242mkdnd.jpeg")</f>
        <v>SIG-20250630_1242mkdnd.jpeg</v>
      </c>
      <c r="AY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2" t="s">
        <v>47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100.0</v>
      </c>
      <c r="H1127" s="1" t="s">
        <v>52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53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54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56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57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f t="shared" si="1"/>
        <v>69</v>
      </c>
      <c r="AM1127" s="1">
        <v>100.0</v>
      </c>
      <c r="AN1127" s="1">
        <v>112.0</v>
      </c>
      <c r="AO1127" s="1">
        <v>60.0</v>
      </c>
      <c r="AP1127" s="2">
        <v>11.0</v>
      </c>
      <c r="AQ1127" s="1">
        <v>40.0</v>
      </c>
      <c r="AR1127" s="1">
        <v>40.0</v>
      </c>
      <c r="AS1127" s="1" t="s">
        <v>822</v>
      </c>
      <c r="AT1127" s="3" t="str">
        <f>HYPERLINK("https://icf.clappia.com/app/GMB253374/submission/YRY11174129/ICF247370-GMB253374-6abe5fghf4e000000000/SIG-20250630_12465d5ap.jpeg", "SIG-20250630_12465d5ap.jpeg")</f>
        <v>SIG-20250630_12465d5ap.jpeg</v>
      </c>
      <c r="AU1127" s="1" t="s">
        <v>3482</v>
      </c>
      <c r="AV1127" s="3" t="str">
        <f>HYPERLINK("https://icf.clappia.com/app/GMB253374/submission/YRY11174129/ICF247370-GMB253374-19cofeng3d21m0000000/SIG-20250630_1247e78l6.jpeg", "SIG-20250630_1247e78l6.jpeg")</f>
        <v>SIG-20250630_1247e78l6.jpeg</v>
      </c>
      <c r="AW1127" s="1" t="s">
        <v>3483</v>
      </c>
      <c r="AX1127" s="3" t="str">
        <f>HYPERLINK("https://icf.clappia.com/app/GMB253374/submission/YRY11174129/ICF247370-GMB253374-1i4go88d5jf8c0000000/SIG-20250630_1247db7de.jpeg", "SIG-20250630_1247db7de.jpeg")</f>
        <v>SIG-20250630_1247db7de.jpeg</v>
      </c>
      <c r="AY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2" t="s">
        <v>47</v>
      </c>
      <c r="C1128" s="1" t="s">
        <v>5441</v>
      </c>
      <c r="D1128" s="1" t="s">
        <v>5441</v>
      </c>
      <c r="E1128" s="1" t="s">
        <v>5442</v>
      </c>
      <c r="F1128" s="1" t="s">
        <v>51</v>
      </c>
      <c r="G1128" s="1">
        <v>300.0</v>
      </c>
      <c r="H1128" s="1" t="s">
        <v>52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53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54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56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57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f t="shared" si="1"/>
        <v>284</v>
      </c>
      <c r="AM1128" s="1">
        <v>300.0</v>
      </c>
      <c r="AN1128" s="1">
        <v>312.0</v>
      </c>
      <c r="AO1128" s="1">
        <v>274.0</v>
      </c>
      <c r="AP1128" s="2">
        <v>11.0</v>
      </c>
      <c r="AQ1128" s="1">
        <v>26.0</v>
      </c>
      <c r="AR1128" s="1">
        <v>26.0</v>
      </c>
      <c r="AS1128" s="1" t="s">
        <v>5443</v>
      </c>
      <c r="AT1128" s="3" t="str">
        <f>HYPERLINK("https://icf.clappia.com/app/GMB253374/submission/XCN67989682/ICF247370-GMB253374-68bhj8gbbmn200000000/SIG-20250630_1243keia5.jpeg", "SIG-20250630_1243keia5.jpeg")</f>
        <v>SIG-20250630_1243keia5.jpeg</v>
      </c>
      <c r="AU1128" s="1" t="s">
        <v>5444</v>
      </c>
      <c r="AV1128" s="3" t="str">
        <f>HYPERLINK("https://icf.clappia.com/app/GMB253374/submission/XCN67989682/ICF247370-GMB253374-2054cndd5m8c80000000/SIG-20250630_1244mgc4k.jpeg", "SIG-20250630_1244mgc4k.jpeg")</f>
        <v>SIG-20250630_1244mgc4k.jpeg</v>
      </c>
      <c r="AW1128" s="1" t="s">
        <v>5445</v>
      </c>
      <c r="AX1128" s="3" t="str">
        <f>HYPERLINK("https://icf.clappia.com/app/GMB253374/submission/XCN67989682/ICF247370-GMB253374-34h43j9c3fk400000000/SIG-20250630_124426i8d.jpeg", "SIG-20250630_124426i8d.jpeg")</f>
        <v>SIG-20250630_124426i8d.jpeg</v>
      </c>
      <c r="AY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2" t="s">
        <v>47</v>
      </c>
      <c r="C1129" s="1" t="s">
        <v>5434</v>
      </c>
      <c r="D1129" s="1" t="s">
        <v>5434</v>
      </c>
      <c r="E1129" s="1" t="s">
        <v>5447</v>
      </c>
      <c r="F1129" s="1" t="s">
        <v>51</v>
      </c>
      <c r="G1129" s="1">
        <v>300.0</v>
      </c>
      <c r="H1129" s="1" t="s">
        <v>52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53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54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56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55</v>
      </c>
      <c r="AF1129" s="1" t="s">
        <v>57</v>
      </c>
      <c r="AG1129" s="1" t="s">
        <v>55</v>
      </c>
      <c r="AH1129" s="1" t="s">
        <v>55</v>
      </c>
      <c r="AI1129" s="1" t="s">
        <v>55</v>
      </c>
      <c r="AJ1129" s="1" t="s">
        <v>55</v>
      </c>
      <c r="AK1129" s="1" t="s">
        <v>55</v>
      </c>
      <c r="AL1129" s="1">
        <f t="shared" si="1"/>
        <v>310</v>
      </c>
      <c r="AM1129" s="1">
        <v>300.0</v>
      </c>
      <c r="AN1129" s="1">
        <v>312.0</v>
      </c>
      <c r="AO1129" s="1">
        <v>200.0</v>
      </c>
      <c r="AP1129" s="2">
        <v>11.0</v>
      </c>
      <c r="AQ1129" s="1">
        <v>100.0</v>
      </c>
      <c r="AR1129" s="1">
        <v>100.0</v>
      </c>
      <c r="AS1129" s="1" t="s">
        <v>1581</v>
      </c>
      <c r="AT1129" s="3" t="str">
        <f>HYPERLINK("https://icf.clappia.com/app/GMB253374/submission/ZOM52930135/ICF247370-GMB253374-4laimd2bifg600000000/SIG-20250630_1242ffng.jpeg", "SIG-20250630_1242ffng.jpeg")</f>
        <v>SIG-20250630_1242ffng.jpeg</v>
      </c>
      <c r="AU1129" s="1" t="s">
        <v>5448</v>
      </c>
      <c r="AV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W1129" s="1" t="s">
        <v>5449</v>
      </c>
      <c r="AX1129" s="3" t="str">
        <f>HYPERLINK("https://icf.clappia.com/app/GMB253374/submission/ZOM52930135/ICF247370-GMB253374-5bhlkkkkbg4000000000/SIG-20250630_1242ie0f7.jpeg", "SIG-20250630_1242ie0f7.jpeg")</f>
        <v>SIG-20250630_1242ie0f7.jpeg</v>
      </c>
      <c r="AY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2" t="s">
        <v>47</v>
      </c>
      <c r="C1130" s="1" t="s">
        <v>5451</v>
      </c>
      <c r="D1130" s="1" t="s">
        <v>5451</v>
      </c>
      <c r="E1130" s="1" t="s">
        <v>5452</v>
      </c>
      <c r="F1130" s="1" t="s">
        <v>51</v>
      </c>
      <c r="G1130" s="1">
        <v>150.0</v>
      </c>
      <c r="H1130" s="1" t="s">
        <v>52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53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54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56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57</v>
      </c>
      <c r="AG1130" s="1">
        <v>8.0</v>
      </c>
      <c r="AH1130" s="1" t="s">
        <v>55</v>
      </c>
      <c r="AI1130" s="1" t="s">
        <v>55</v>
      </c>
      <c r="AJ1130" s="1">
        <v>2.0</v>
      </c>
      <c r="AK1130" s="1">
        <v>2.0</v>
      </c>
      <c r="AL1130" s="1">
        <f t="shared" si="1"/>
        <v>47</v>
      </c>
      <c r="AM1130" s="1">
        <v>150.0</v>
      </c>
      <c r="AN1130" s="1">
        <v>162.0</v>
      </c>
      <c r="AO1130" s="1">
        <v>37.0</v>
      </c>
      <c r="AP1130" s="2">
        <v>11.0</v>
      </c>
      <c r="AQ1130" s="1">
        <v>113.0</v>
      </c>
      <c r="AR1130" s="1">
        <v>113.0</v>
      </c>
      <c r="AS1130" s="1" t="s">
        <v>3107</v>
      </c>
      <c r="AT1130" s="3" t="str">
        <f>HYPERLINK("https://icf.clappia.com/app/GMB253374/submission/TSG59452380/ICF247370-GMB253374-5n13mibbghmo00000000/SIG-20250630_1233h43le.jpeg", "SIG-20250630_1233h43le.jpeg")</f>
        <v>SIG-20250630_1233h43le.jpeg</v>
      </c>
      <c r="AU1130" s="1" t="s">
        <v>3106</v>
      </c>
      <c r="AV1130" s="3" t="str">
        <f>HYPERLINK("https://icf.clappia.com/app/GMB253374/submission/TSG59452380/ICF247370-GMB253374-25km4lekp47gk0000000/SIG-20250630_12348k427.jpeg", "SIG-20250630_12348k427.jpeg")</f>
        <v>SIG-20250630_12348k427.jpeg</v>
      </c>
      <c r="AW1130" s="1" t="s">
        <v>5453</v>
      </c>
      <c r="AX1130" s="3" t="str">
        <f>HYPERLINK("https://icf.clappia.com/app/GMB253374/submission/TSG59452380/ICF247370-GMB253374-9073pdafdl280000000/SIG-20250630_12362841n.jpeg", "SIG-20250630_12362841n.jpeg")</f>
        <v>SIG-20250630_12362841n.jpeg</v>
      </c>
      <c r="AY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2" t="s">
        <v>47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150.0</v>
      </c>
      <c r="H1131" s="1" t="s">
        <v>52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53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54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56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57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f t="shared" si="1"/>
        <v>93</v>
      </c>
      <c r="AM1131" s="1">
        <v>150.0</v>
      </c>
      <c r="AN1131" s="1">
        <v>162.0</v>
      </c>
      <c r="AO1131" s="1">
        <v>73.0</v>
      </c>
      <c r="AP1131" s="2">
        <v>11.0</v>
      </c>
      <c r="AQ1131" s="1">
        <v>77.0</v>
      </c>
      <c r="AR1131" s="1">
        <v>77.0</v>
      </c>
      <c r="AS1131" s="1" t="s">
        <v>2082</v>
      </c>
      <c r="AT1131" s="3" t="str">
        <f>HYPERLINK("https://icf.clappia.com/app/GMB253374/submission/XWH86274748/ICF247370-GMB253374-10ljep126bci40000000/SIG-20250630_12178c2ha.jpeg", "SIG-20250630_12178c2ha.jpeg")</f>
        <v>SIG-20250630_12178c2ha.jpeg</v>
      </c>
      <c r="AU1131" s="1" t="s">
        <v>5456</v>
      </c>
      <c r="AV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W1131" s="1" t="s">
        <v>2083</v>
      </c>
      <c r="AX1131" s="3" t="str">
        <f>HYPERLINK("https://icf.clappia.com/app/GMB253374/submission/XWH86274748/ICF247370-GMB253374-4o86a66an3ok0000000/SIG-20250630_123382gj0.jpeg", "SIG-20250630_123382gj0.jpeg")</f>
        <v>SIG-20250630_123382gj0.jpeg</v>
      </c>
      <c r="AY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2" t="s">
        <v>47</v>
      </c>
      <c r="C1132" s="1" t="s">
        <v>5458</v>
      </c>
      <c r="D1132" s="1" t="s">
        <v>5458</v>
      </c>
      <c r="E1132" s="1" t="s">
        <v>5459</v>
      </c>
      <c r="F1132" s="1" t="s">
        <v>51</v>
      </c>
      <c r="G1132" s="1">
        <v>400.0</v>
      </c>
      <c r="H1132" s="1" t="s">
        <v>52</v>
      </c>
      <c r="I1132" s="1">
        <v>126.0</v>
      </c>
      <c r="J1132" s="1" t="s">
        <v>55</v>
      </c>
      <c r="K1132" s="1" t="s">
        <v>55</v>
      </c>
      <c r="L1132" s="1">
        <v>126.0</v>
      </c>
      <c r="M1132" s="1">
        <v>71.0</v>
      </c>
      <c r="N1132" s="1" t="s">
        <v>53</v>
      </c>
      <c r="O1132" s="1">
        <v>91.0</v>
      </c>
      <c r="P1132" s="1" t="s">
        <v>55</v>
      </c>
      <c r="Q1132" s="1" t="s">
        <v>55</v>
      </c>
      <c r="R1132" s="1">
        <v>91.0</v>
      </c>
      <c r="S1132" s="1">
        <v>58.0</v>
      </c>
      <c r="T1132" s="1" t="s">
        <v>54</v>
      </c>
      <c r="U1132" s="1">
        <v>79.0</v>
      </c>
      <c r="V1132" s="1" t="s">
        <v>55</v>
      </c>
      <c r="W1132" s="1" t="s">
        <v>55</v>
      </c>
      <c r="X1132" s="1">
        <v>79.0</v>
      </c>
      <c r="Y1132" s="1">
        <v>71.0</v>
      </c>
      <c r="Z1132" s="1" t="s">
        <v>56</v>
      </c>
      <c r="AA1132" s="1">
        <v>103.0</v>
      </c>
      <c r="AB1132" s="1" t="s">
        <v>55</v>
      </c>
      <c r="AC1132" s="1" t="s">
        <v>55</v>
      </c>
      <c r="AD1132" s="1">
        <v>103.0</v>
      </c>
      <c r="AE1132" s="1">
        <v>90.0</v>
      </c>
      <c r="AF1132" s="1" t="s">
        <v>57</v>
      </c>
      <c r="AG1132" s="1">
        <v>84.0</v>
      </c>
      <c r="AH1132" s="1" t="s">
        <v>55</v>
      </c>
      <c r="AI1132" s="1" t="s">
        <v>55</v>
      </c>
      <c r="AJ1132" s="1">
        <v>84.0</v>
      </c>
      <c r="AK1132" s="1">
        <v>74.0</v>
      </c>
      <c r="AL1132" s="1">
        <f t="shared" si="1"/>
        <v>483</v>
      </c>
      <c r="AM1132" s="1">
        <v>400.0</v>
      </c>
      <c r="AN1132" s="1">
        <v>412.0</v>
      </c>
      <c r="AO1132" s="1">
        <v>364.0</v>
      </c>
      <c r="AP1132" s="2">
        <v>11.0</v>
      </c>
      <c r="AQ1132" s="1">
        <v>36.0</v>
      </c>
      <c r="AR1132" s="1">
        <v>36.0</v>
      </c>
      <c r="AS1132" s="1" t="s">
        <v>4660</v>
      </c>
      <c r="AT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U1132" s="1" t="s">
        <v>5460</v>
      </c>
      <c r="AV1132" s="3" t="str">
        <f>HYPERLINK("https://icf.clappia.com/app/GMB253374/submission/CCE58524124/ICF247370-GMB253374-40fga2dkf50c0000000/SIG-20250630_122416afj9.jpeg", "SIG-20250630_122416afj9.jpeg")</f>
        <v>SIG-20250630_122416afj9.jpeg</v>
      </c>
      <c r="AW1132" s="1" t="s">
        <v>5461</v>
      </c>
      <c r="AX1132" s="3" t="str">
        <f>HYPERLINK("https://icf.clappia.com/app/GMB253374/submission/CCE58524124/ICF247370-GMB253374-2kkpgn7gj48800000000/SIG-20250630_1229gh00p.jpeg", "SIG-20250630_1229gh00p.jpeg")</f>
        <v>SIG-20250630_1229gh00p.jpeg</v>
      </c>
      <c r="AY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2" t="s">
        <v>47</v>
      </c>
      <c r="C1133" s="1" t="s">
        <v>5463</v>
      </c>
      <c r="D1133" s="1" t="s">
        <v>5463</v>
      </c>
      <c r="E1133" s="1" t="s">
        <v>5464</v>
      </c>
      <c r="F1133" s="1" t="s">
        <v>51</v>
      </c>
      <c r="G1133" s="1">
        <v>169.0</v>
      </c>
      <c r="H1133" s="1" t="s">
        <v>52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53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54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56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57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f t="shared" si="1"/>
        <v>189</v>
      </c>
      <c r="AM1133" s="1">
        <v>169.0</v>
      </c>
      <c r="AN1133" s="1">
        <v>181.0</v>
      </c>
      <c r="AO1133" s="1">
        <v>169.0</v>
      </c>
      <c r="AP1133" s="2">
        <v>11.0</v>
      </c>
      <c r="AQ1133" s="1">
        <v>0.0</v>
      </c>
      <c r="AR1133" s="1">
        <v>0.0</v>
      </c>
      <c r="AS1133" s="1" t="s">
        <v>4393</v>
      </c>
      <c r="AT1133" s="3" t="str">
        <f>HYPERLINK("https://icf.clappia.com/app/GMB253374/submission/WDK81865760/ICF247370-GMB253374-n7gckgm0op280000000/SIG-20250630_122816mi6l.jpeg", "SIG-20250630_122816mi6l.jpeg")</f>
        <v>SIG-20250630_122816mi6l.jpeg</v>
      </c>
      <c r="AU1133" s="1" t="s">
        <v>4394</v>
      </c>
      <c r="AV1133" s="3" t="str">
        <f>HYPERLINK("https://icf.clappia.com/app/GMB253374/submission/WDK81865760/ICF247370-GMB253374-l0of98361d840000000/SIG-20250630_1228160cgm.jpeg", "SIG-20250630_1228160cgm.jpeg")</f>
        <v>SIG-20250630_1228160cgm.jpeg</v>
      </c>
      <c r="AW1133" s="1" t="s">
        <v>4395</v>
      </c>
      <c r="AX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Y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2" t="s">
        <v>47</v>
      </c>
      <c r="C1134" s="1" t="s">
        <v>5466</v>
      </c>
      <c r="D1134" s="1" t="s">
        <v>5466</v>
      </c>
      <c r="E1134" s="1" t="s">
        <v>5467</v>
      </c>
      <c r="F1134" s="1" t="s">
        <v>51</v>
      </c>
      <c r="G1134" s="1">
        <v>300.0</v>
      </c>
      <c r="H1134" s="1" t="s">
        <v>52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53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54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56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57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f t="shared" si="1"/>
        <v>270</v>
      </c>
      <c r="AM1134" s="1">
        <v>300.0</v>
      </c>
      <c r="AN1134" s="1">
        <v>312.0</v>
      </c>
      <c r="AO1134" s="1">
        <v>270.0</v>
      </c>
      <c r="AP1134" s="2">
        <v>11.0</v>
      </c>
      <c r="AQ1134" s="1">
        <v>30.0</v>
      </c>
      <c r="AR1134" s="1">
        <v>30.0</v>
      </c>
      <c r="AS1134" s="1" t="s">
        <v>5468</v>
      </c>
      <c r="AT1134" s="3" t="str">
        <f>HYPERLINK("https://icf.clappia.com/app/GMB253374/submission/HVD62101551/ICF247370-GMB253374-a9e9m99lopbm0000000/SIG-20250630_12237kn7a.jpeg", "SIG-20250630_12237kn7a.jpeg")</f>
        <v>SIG-20250630_12237kn7a.jpeg</v>
      </c>
      <c r="AU1134" s="1" t="s">
        <v>5469</v>
      </c>
      <c r="AV1134" s="3" t="str">
        <f>HYPERLINK("https://icf.clappia.com/app/GMB253374/submission/HVD62101551/ICF247370-GMB253374-4cj5j22ca81c00000000/SIG-20250630_1223npeep.jpeg", "SIG-20250630_1223npeep.jpeg")</f>
        <v>SIG-20250630_1223npeep.jpeg</v>
      </c>
      <c r="AW1134" s="1" t="s">
        <v>5470</v>
      </c>
      <c r="AX1134" s="3" t="str">
        <f>HYPERLINK("https://icf.clappia.com/app/GMB253374/submission/HVD62101551/ICF247370-GMB253374-k4djjn5f1hjm0000000/SIG-20250630_12285o5jh.jpeg", "SIG-20250630_12285o5jh.jpeg")</f>
        <v>SIG-20250630_12285o5jh.jpeg</v>
      </c>
      <c r="AY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2" t="s">
        <v>47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66.0</v>
      </c>
      <c r="H1135" s="1" t="s">
        <v>52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53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54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56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57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55</v>
      </c>
      <c r="AL1135" s="1">
        <f t="shared" si="1"/>
        <v>42</v>
      </c>
      <c r="AM1135" s="1">
        <v>66.0</v>
      </c>
      <c r="AN1135" s="1">
        <v>78.0</v>
      </c>
      <c r="AO1135" s="1">
        <v>24.0</v>
      </c>
      <c r="AP1135" s="2">
        <v>11.0</v>
      </c>
      <c r="AQ1135" s="1">
        <v>42.0</v>
      </c>
      <c r="AR1135" s="1">
        <v>42.0</v>
      </c>
      <c r="AS1135" s="1" t="s">
        <v>5474</v>
      </c>
      <c r="AT1135" s="3" t="str">
        <f>HYPERLINK("https://icf.clappia.com/app/GMB253374/submission/UAL61708653/ICF247370-GMB253374-1jdkne8e4jkn20000000/SIG-20250630_121310l4l.jpeg", "SIG-20250630_121310l4l.jpeg")</f>
        <v>SIG-20250630_121310l4l.jpeg</v>
      </c>
      <c r="AU1135" s="1" t="s">
        <v>1975</v>
      </c>
      <c r="AV1135" s="3" t="str">
        <f>HYPERLINK("https://icf.clappia.com/app/GMB253374/submission/UAL61708653/ICF247370-GMB253374-61cf5ee396km000000/SIG-20250630_121416b0fd.jpeg", "SIG-20250630_121416b0fd.jpeg")</f>
        <v>SIG-20250630_121416b0fd.jpeg</v>
      </c>
      <c r="AW1135" s="1" t="s">
        <v>4315</v>
      </c>
      <c r="AX1135" s="3" t="str">
        <f>HYPERLINK("https://icf.clappia.com/app/GMB253374/submission/UAL61708653/ICF247370-GMB253374-675bdd3l86n600000000/SIG-20250630_1218mmll9.jpeg", "SIG-20250630_1218mmll9.jpeg")</f>
        <v>SIG-20250630_1218mmll9.jpeg</v>
      </c>
      <c r="AY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2" t="s">
        <v>47</v>
      </c>
      <c r="C1136" s="1" t="s">
        <v>5476</v>
      </c>
      <c r="D1136" s="1" t="s">
        <v>5476</v>
      </c>
      <c r="E1136" s="1" t="s">
        <v>5477</v>
      </c>
      <c r="F1136" s="1" t="s">
        <v>51</v>
      </c>
      <c r="G1136" s="1">
        <v>150.0</v>
      </c>
      <c r="H1136" s="1" t="s">
        <v>52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53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54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56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57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f t="shared" si="1"/>
        <v>259</v>
      </c>
      <c r="AM1136" s="1">
        <v>150.0</v>
      </c>
      <c r="AN1136" s="1">
        <v>162.0</v>
      </c>
      <c r="AO1136" s="1">
        <v>150.0</v>
      </c>
      <c r="AP1136" s="2">
        <v>11.0</v>
      </c>
      <c r="AQ1136" s="1">
        <v>0.0</v>
      </c>
      <c r="AR1136" s="1">
        <v>0.0</v>
      </c>
      <c r="AS1136" s="1" t="s">
        <v>5478</v>
      </c>
      <c r="AT1136" s="3" t="str">
        <f>HYPERLINK("https://icf.clappia.com/app/GMB253374/submission/ZFJ65860817/ICF247370-GMB253374-24861f4ja20480000000/SIG-20250630_1213pke54.jpeg", "SIG-20250630_1213pke54.jpeg")</f>
        <v>SIG-20250630_1213pke54.jpeg</v>
      </c>
      <c r="AU1136" s="1" t="s">
        <v>5479</v>
      </c>
      <c r="AV1136" s="3" t="str">
        <f>HYPERLINK("https://icf.clappia.com/app/GMB253374/submission/ZFJ65860817/ICF247370-GMB253374-2m4b5opaaohi00000000/SIG-20250630_1214ge8ka.jpeg", "SIG-20250630_1214ge8ka.jpeg")</f>
        <v>SIG-20250630_1214ge8ka.jpeg</v>
      </c>
      <c r="AW1136" s="1" t="s">
        <v>5480</v>
      </c>
      <c r="AX1136" s="3" t="str">
        <f>HYPERLINK("https://icf.clappia.com/app/GMB253374/submission/ZFJ65860817/ICF247370-GMB253374-llchfk3c47520000000/SIG-20250630_121715fikh.jpeg", "SIG-20250630_121715fikh.jpeg")</f>
        <v>SIG-20250630_121715fikh.jpeg</v>
      </c>
      <c r="AY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2" t="s">
        <v>47</v>
      </c>
      <c r="C1137" s="1" t="s">
        <v>764</v>
      </c>
      <c r="D1137" s="1" t="s">
        <v>764</v>
      </c>
      <c r="E1137" s="2" t="s">
        <v>5482</v>
      </c>
      <c r="F1137" s="1" t="s">
        <v>72</v>
      </c>
      <c r="G1137" s="1">
        <v>150.0</v>
      </c>
      <c r="H1137" s="1" t="s">
        <v>52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53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54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56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57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f t="shared" si="1"/>
        <v>115</v>
      </c>
      <c r="AM1137" s="1">
        <v>150.0</v>
      </c>
      <c r="AN1137" s="1">
        <v>162.0</v>
      </c>
      <c r="AO1137" s="1">
        <v>105.0</v>
      </c>
      <c r="AP1137" s="2">
        <v>11.0</v>
      </c>
      <c r="AQ1137" s="1">
        <v>45.0</v>
      </c>
      <c r="AR1137" s="1">
        <v>45.0</v>
      </c>
      <c r="AS1137" s="1" t="s">
        <v>2402</v>
      </c>
      <c r="AT1137" s="3" t="str">
        <f>HYPERLINK("https://icf.clappia.com/app/GMB253374/submission/SSQ62369537/ICF247370-GMB253374-i4i8b5n5aohe0000000/SIG-20250630_1100dggje.jpeg", "SIG-20250630_1100dggje.jpeg")</f>
        <v>SIG-20250630_1100dggje.jpeg</v>
      </c>
      <c r="AU1137" s="1" t="s">
        <v>2403</v>
      </c>
      <c r="AV1137" s="3" t="str">
        <f>HYPERLINK("https://icf.clappia.com/app/GMB253374/submission/SSQ62369537/ICF247370-GMB253374-3ld3mi7jld1c00000000/SIG-20250630_11001n815.jpeg", "SIG-20250630_11001n815.jpeg")</f>
        <v>SIG-20250630_11001n815.jpeg</v>
      </c>
      <c r="AW1137" s="1" t="s">
        <v>5483</v>
      </c>
      <c r="AX1137" s="3" t="str">
        <f>HYPERLINK("https://icf.clappia.com/app/GMB253374/submission/SSQ62369537/ICF247370-GMB253374-4o2lapkae6oa00000000/SIG-20250630_1101e2ph8.jpeg", "SIG-20250630_1101e2ph8.jpeg")</f>
        <v>SIG-20250630_1101e2ph8.jpeg</v>
      </c>
      <c r="AY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2" t="s">
        <v>47</v>
      </c>
      <c r="C1138" s="1" t="s">
        <v>162</v>
      </c>
      <c r="D1138" s="1" t="s">
        <v>162</v>
      </c>
      <c r="E1138" s="1" t="s">
        <v>5485</v>
      </c>
      <c r="F1138" s="1" t="s">
        <v>51</v>
      </c>
      <c r="G1138" s="1">
        <v>76.0</v>
      </c>
      <c r="H1138" s="1" t="s">
        <v>52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53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54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56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57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f t="shared" si="1"/>
        <v>76</v>
      </c>
      <c r="AM1138" s="1">
        <v>76.0</v>
      </c>
      <c r="AN1138" s="1">
        <v>88.0</v>
      </c>
      <c r="AO1138" s="1">
        <v>76.0</v>
      </c>
      <c r="AP1138" s="2">
        <v>11.0</v>
      </c>
      <c r="AQ1138" s="1">
        <v>0.0</v>
      </c>
      <c r="AR1138" s="1">
        <v>0.0</v>
      </c>
      <c r="AS1138" s="1" t="s">
        <v>5486</v>
      </c>
      <c r="AT1138" s="3" t="str">
        <f>HYPERLINK("https://icf.clappia.com/app/GMB253374/submission/DEW52932994/ICF247370-GMB253374-2olb2684maic00000000/SIG-20250630_09517f36l.jpeg", "SIG-20250630_09517f36l.jpeg")</f>
        <v>SIG-20250630_09517f36l.jpeg</v>
      </c>
      <c r="AU1138" s="1" t="s">
        <v>5487</v>
      </c>
      <c r="AV1138" s="3" t="str">
        <f>HYPERLINK("https://icf.clappia.com/app/GMB253374/submission/DEW52932994/ICF247370-GMB253374-42jod7eipb7000000000/SIG-20250630_0952e4o0f.jpeg", "SIG-20250630_0952e4o0f.jpeg")</f>
        <v>SIG-20250630_0952e4o0f.jpeg</v>
      </c>
      <c r="AW1138" s="1" t="s">
        <v>5488</v>
      </c>
      <c r="AX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Y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2" t="s">
        <v>47</v>
      </c>
      <c r="C1139" s="1" t="s">
        <v>5490</v>
      </c>
      <c r="D1139" s="1" t="s">
        <v>5490</v>
      </c>
      <c r="E1139" s="1" t="s">
        <v>5491</v>
      </c>
      <c r="F1139" s="1" t="s">
        <v>51</v>
      </c>
      <c r="G1139" s="1">
        <v>165.0</v>
      </c>
      <c r="H1139" s="1" t="s">
        <v>52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53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54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56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57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f t="shared" si="1"/>
        <v>188</v>
      </c>
      <c r="AM1139" s="1">
        <v>165.0</v>
      </c>
      <c r="AN1139" s="1">
        <v>177.0</v>
      </c>
      <c r="AO1139" s="1">
        <v>149.0</v>
      </c>
      <c r="AP1139" s="2">
        <v>11.0</v>
      </c>
      <c r="AQ1139" s="1">
        <v>16.0</v>
      </c>
      <c r="AR1139" s="1">
        <v>16.0</v>
      </c>
      <c r="AS1139" s="1" t="s">
        <v>5492</v>
      </c>
      <c r="AT1139" s="3" t="str">
        <f>HYPERLINK("https://icf.clappia.com/app/GMB253374/submission/LVH98427672/ICF247370-GMB253374-5n7816hdmhg400000000/SIG-20250630_12018pnc6.jpeg", "SIG-20250630_12018pnc6.jpeg")</f>
        <v>SIG-20250630_12018pnc6.jpeg</v>
      </c>
      <c r="AU1139" s="1" t="s">
        <v>4422</v>
      </c>
      <c r="AV1139" s="3" t="str">
        <f>HYPERLINK("https://icf.clappia.com/app/GMB253374/submission/LVH98427672/ICF247370-GMB253374-3af9ppd4629600000000/SIG-20250630_1204jak1f.jpeg", "SIG-20250630_1204jak1f.jpeg")</f>
        <v>SIG-20250630_1204jak1f.jpeg</v>
      </c>
      <c r="AW1139" s="1" t="s">
        <v>5493</v>
      </c>
      <c r="AX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Y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2" t="s">
        <v>47</v>
      </c>
      <c r="C1140" s="1" t="s">
        <v>5490</v>
      </c>
      <c r="D1140" s="1" t="s">
        <v>5490</v>
      </c>
      <c r="E1140" s="1" t="s">
        <v>5495</v>
      </c>
      <c r="F1140" s="1" t="s">
        <v>51</v>
      </c>
      <c r="G1140" s="1">
        <v>200.0</v>
      </c>
      <c r="H1140" s="1" t="s">
        <v>52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53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54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56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57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f t="shared" si="1"/>
        <v>177</v>
      </c>
      <c r="AM1140" s="1">
        <v>200.0</v>
      </c>
      <c r="AN1140" s="1">
        <v>212.0</v>
      </c>
      <c r="AO1140" s="1">
        <v>90.0</v>
      </c>
      <c r="AP1140" s="2">
        <v>11.0</v>
      </c>
      <c r="AQ1140" s="1">
        <v>110.0</v>
      </c>
      <c r="AR1140" s="1">
        <v>110.0</v>
      </c>
      <c r="AS1140" s="1" t="s">
        <v>4587</v>
      </c>
      <c r="AT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U1140" s="1" t="s">
        <v>5496</v>
      </c>
      <c r="AV1140" s="3" t="str">
        <f>HYPERLINK("https://icf.clappia.com/app/GMB253374/submission/UOJ36407166/ICF247370-GMB253374-52j8lpkaejk000000000/SIG-20250630_1159c86na.jpeg", "SIG-20250630_1159c86na.jpeg")</f>
        <v>SIG-20250630_1159c86na.jpeg</v>
      </c>
      <c r="AW1140" s="1" t="s">
        <v>4589</v>
      </c>
      <c r="AX1140" s="3" t="str">
        <f>HYPERLINK("https://icf.clappia.com/app/GMB253374/submission/UOJ36407166/ICF247370-GMB253374-672j4daf89k800000000/SIG-20250630_12069841l.jpeg", "SIG-20250630_12069841l.jpeg")</f>
        <v>SIG-20250630_12069841l.jpeg</v>
      </c>
      <c r="AY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2" t="s">
        <v>47</v>
      </c>
      <c r="C1141" s="1" t="s">
        <v>5498</v>
      </c>
      <c r="D1141" s="1" t="s">
        <v>5498</v>
      </c>
      <c r="E1141" s="1" t="s">
        <v>5499</v>
      </c>
      <c r="F1141" s="1" t="s">
        <v>51</v>
      </c>
      <c r="G1141" s="1">
        <v>154.0</v>
      </c>
      <c r="H1141" s="1" t="s">
        <v>52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53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54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56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57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f t="shared" si="1"/>
        <v>154</v>
      </c>
      <c r="AM1141" s="1">
        <v>154.0</v>
      </c>
      <c r="AN1141" s="1">
        <v>166.0</v>
      </c>
      <c r="AO1141" s="1">
        <v>154.0</v>
      </c>
      <c r="AP1141" s="2">
        <v>11.0</v>
      </c>
      <c r="AQ1141" s="1">
        <v>0.0</v>
      </c>
      <c r="AR1141" s="1">
        <v>0.0</v>
      </c>
      <c r="AS1141" s="1" t="s">
        <v>321</v>
      </c>
      <c r="AT1141" s="3" t="str">
        <f>HYPERLINK("https://icf.clappia.com/app/GMB253374/submission/IAB95995918/ICF247370-GMB253374-3fj48po403b400000000/SIG-20250630_1039aaoii.jpeg", "SIG-20250630_1039aaoii.jpeg")</f>
        <v>SIG-20250630_1039aaoii.jpeg</v>
      </c>
      <c r="AU1141" s="1" t="s">
        <v>5500</v>
      </c>
      <c r="AV1141" s="3" t="str">
        <f>HYPERLINK("https://icf.clappia.com/app/GMB253374/submission/IAB95995918/ICF247370-GMB253374-hkla5cg5p81e0000000/SIG-20250630_1039dfh8g.jpeg", "SIG-20250630_1039dfh8g.jpeg")</f>
        <v>SIG-20250630_1039dfh8g.jpeg</v>
      </c>
      <c r="AW1141" s="1" t="s">
        <v>327</v>
      </c>
      <c r="AX1141" s="3" t="str">
        <f>HYPERLINK("https://icf.clappia.com/app/GMB253374/submission/IAB95995918/ICF247370-GMB253374-26l4p83c7p43a0000000/SIG-20250630_1042akkeb.jpeg", "SIG-20250630_1042akkeb.jpeg")</f>
        <v>SIG-20250630_1042akkeb.jpeg</v>
      </c>
      <c r="AY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2" t="s">
        <v>47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140.0</v>
      </c>
      <c r="H1142" s="1" t="s">
        <v>52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53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54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56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57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f t="shared" si="1"/>
        <v>140</v>
      </c>
      <c r="AM1142" s="1">
        <v>140.0</v>
      </c>
      <c r="AN1142" s="1">
        <v>152.0</v>
      </c>
      <c r="AO1142" s="1">
        <v>140.0</v>
      </c>
      <c r="AP1142" s="2">
        <v>11.0</v>
      </c>
      <c r="AQ1142" s="1">
        <v>0.0</v>
      </c>
      <c r="AR1142" s="1">
        <v>0.0</v>
      </c>
      <c r="AS1142" s="1" t="s">
        <v>5504</v>
      </c>
      <c r="AT1142" s="3" t="str">
        <f>HYPERLINK("https://icf.clappia.com/app/GMB253374/submission/TAR58962652/ICF247370-GMB253374-1lggc8mcai4pg0000000/SIG-20250630_10413g23f.jpeg", "SIG-20250630_10413g23f.jpeg")</f>
        <v>SIG-20250630_10413g23f.jpeg</v>
      </c>
      <c r="AU1142" s="1" t="s">
        <v>5505</v>
      </c>
      <c r="AV1142" s="3" t="str">
        <f>HYPERLINK("https://icf.clappia.com/app/GMB253374/submission/TAR58962652/ICF247370-GMB253374-i8io46fhom0o0000000/SIG-20250630_1041jh982.jpeg", "SIG-20250630_1041jh982.jpeg")</f>
        <v>SIG-20250630_1041jh982.jpeg</v>
      </c>
      <c r="AW1142" s="1" t="s">
        <v>5506</v>
      </c>
      <c r="AX1142" s="3" t="str">
        <f>HYPERLINK("https://icf.clappia.com/app/GMB253374/submission/TAR58962652/ICF247370-GMB253374-60i8omd7nde000000000/SIG-20250630_1049gapi4.jpeg", "SIG-20250630_1049gapi4.jpeg")</f>
        <v>SIG-20250630_1049gapi4.jpeg</v>
      </c>
      <c r="AY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2" t="s">
        <v>47</v>
      </c>
      <c r="C1143" s="1" t="s">
        <v>5502</v>
      </c>
      <c r="D1143" s="1" t="s">
        <v>5502</v>
      </c>
      <c r="E1143" s="1" t="s">
        <v>5508</v>
      </c>
      <c r="F1143" s="1" t="s">
        <v>51</v>
      </c>
      <c r="G1143" s="1">
        <v>260.0</v>
      </c>
      <c r="H1143" s="1" t="s">
        <v>52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53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54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56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57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f t="shared" si="1"/>
        <v>245</v>
      </c>
      <c r="AM1143" s="1">
        <v>260.0</v>
      </c>
      <c r="AN1143" s="1">
        <v>272.0</v>
      </c>
      <c r="AO1143" s="1">
        <v>210.0</v>
      </c>
      <c r="AP1143" s="2">
        <v>11.0</v>
      </c>
      <c r="AQ1143" s="1">
        <v>50.0</v>
      </c>
      <c r="AR1143" s="1">
        <v>50.0</v>
      </c>
      <c r="AS1143" s="1" t="s">
        <v>2016</v>
      </c>
      <c r="AT1143" s="3" t="str">
        <f>HYPERLINK("https://icf.clappia.com/app/GMB253374/submission/BXE49992194/ICF247370-GMB253374-plidmbg0k4bo0000000/SIG-20250630_1157enlld.jpeg", "SIG-20250630_1157enlld.jpeg")</f>
        <v>SIG-20250630_1157enlld.jpeg</v>
      </c>
      <c r="AU1143" s="1" t="s">
        <v>2017</v>
      </c>
      <c r="AV1143" s="3" t="str">
        <f>HYPERLINK("https://icf.clappia.com/app/GMB253374/submission/BXE49992194/ICF247370-GMB253374-cf2hc92595200000000/SIG-20250630_1159bgb32.jpeg", "SIG-20250630_1159bgb32.jpeg")</f>
        <v>SIG-20250630_1159bgb32.jpeg</v>
      </c>
      <c r="AW1143" s="1" t="s">
        <v>4638</v>
      </c>
      <c r="AX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Y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2" t="s">
        <v>47</v>
      </c>
      <c r="C1144" s="1" t="s">
        <v>5502</v>
      </c>
      <c r="D1144" s="1" t="s">
        <v>5502</v>
      </c>
      <c r="E1144" s="1" t="s">
        <v>5510</v>
      </c>
      <c r="F1144" s="1" t="s">
        <v>51</v>
      </c>
      <c r="G1144" s="1">
        <v>150.0</v>
      </c>
      <c r="H1144" s="1" t="s">
        <v>52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53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54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56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57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f t="shared" si="1"/>
        <v>253</v>
      </c>
      <c r="AM1144" s="1">
        <v>150.0</v>
      </c>
      <c r="AN1144" s="1">
        <v>162.0</v>
      </c>
      <c r="AO1144" s="1">
        <v>150.0</v>
      </c>
      <c r="AP1144" s="2">
        <v>11.0</v>
      </c>
      <c r="AQ1144" s="1">
        <v>0.0</v>
      </c>
      <c r="AR1144" s="1">
        <v>0.0</v>
      </c>
      <c r="AS1144" s="1" t="s">
        <v>4147</v>
      </c>
      <c r="AT1144" s="3" t="str">
        <f>HYPERLINK("https://icf.clappia.com/app/GMB253374/submission/MTO06577109/ICF247370-GMB253374-3f50f3g3hdj200000000/SIG-20250630_1149pi68a.jpeg", "SIG-20250630_1149pi68a.jpeg")</f>
        <v>SIG-20250630_1149pi68a.jpeg</v>
      </c>
      <c r="AU1144" s="1" t="s">
        <v>4148</v>
      </c>
      <c r="AV1144" s="3" t="str">
        <f>HYPERLINK("https://icf.clappia.com/app/GMB253374/submission/MTO06577109/ICF247370-GMB253374-2ki8eanf4j9i00000000/SIG-20250630_1149378f5.jpeg", "SIG-20250630_1149378f5.jpeg")</f>
        <v>SIG-20250630_1149378f5.jpeg</v>
      </c>
      <c r="AW1144" s="1" t="s">
        <v>5511</v>
      </c>
      <c r="AX1144" s="3" t="str">
        <f>HYPERLINK("https://icf.clappia.com/app/GMB253374/submission/MTO06577109/ICF247370-GMB253374-1ncfl02hn6iak0000000/SIG-20250630_115649ohi.jpeg", "SIG-20250630_115649ohi.jpeg")</f>
        <v>SIG-20250630_115649ohi.jpeg</v>
      </c>
      <c r="AY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2" t="s">
        <v>47</v>
      </c>
      <c r="C1145" s="1" t="s">
        <v>5513</v>
      </c>
      <c r="D1145" s="1" t="s">
        <v>5513</v>
      </c>
      <c r="E1145" s="1" t="s">
        <v>5514</v>
      </c>
      <c r="F1145" s="1" t="s">
        <v>51</v>
      </c>
      <c r="G1145" s="1">
        <v>168.0</v>
      </c>
      <c r="H1145" s="1" t="s">
        <v>52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53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54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56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57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f t="shared" si="1"/>
        <v>120</v>
      </c>
      <c r="AM1145" s="1">
        <v>168.0</v>
      </c>
      <c r="AN1145" s="1">
        <v>180.0</v>
      </c>
      <c r="AO1145" s="1">
        <v>120.0</v>
      </c>
      <c r="AP1145" s="2">
        <v>11.0</v>
      </c>
      <c r="AQ1145" s="1">
        <v>48.0</v>
      </c>
      <c r="AR1145" s="1">
        <v>48.0</v>
      </c>
      <c r="AS1145" s="1" t="s">
        <v>5515</v>
      </c>
      <c r="AT1145" s="3" t="str">
        <f>HYPERLINK("https://icf.clappia.com/app/GMB253374/submission/DGJ92740467/ICF247370-GMB253374-1b98454of51360000000/SIG-20250630_11521glop.jpeg", "SIG-20250630_11521glop.jpeg")</f>
        <v>SIG-20250630_11521glop.jpeg</v>
      </c>
      <c r="AU1145" s="1" t="s">
        <v>5516</v>
      </c>
      <c r="AV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W1145" s="1" t="s">
        <v>5517</v>
      </c>
      <c r="AX1145" s="3" t="str">
        <f>HYPERLINK("https://icf.clappia.com/app/GMB253374/submission/DGJ92740467/ICF247370-GMB253374-1104ofcibjiog0000000/SIG-20250630_115496i2o.jpeg", "SIG-20250630_115496i2o.jpeg")</f>
        <v>SIG-20250630_115496i2o.jpeg</v>
      </c>
      <c r="AY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2" t="s">
        <v>47</v>
      </c>
      <c r="C1146" s="1" t="s">
        <v>5513</v>
      </c>
      <c r="D1146" s="1" t="s">
        <v>5513</v>
      </c>
      <c r="E1146" s="1" t="s">
        <v>5519</v>
      </c>
      <c r="F1146" s="1" t="s">
        <v>51</v>
      </c>
      <c r="G1146" s="1">
        <v>87.0</v>
      </c>
      <c r="H1146" s="1" t="s">
        <v>52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53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54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56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57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f t="shared" si="1"/>
        <v>81</v>
      </c>
      <c r="AM1146" s="1">
        <v>87.0</v>
      </c>
      <c r="AN1146" s="1">
        <v>99.0</v>
      </c>
      <c r="AO1146" s="1">
        <v>81.0</v>
      </c>
      <c r="AP1146" s="2">
        <v>11.0</v>
      </c>
      <c r="AQ1146" s="1">
        <v>6.0</v>
      </c>
      <c r="AR1146" s="1">
        <v>6.0</v>
      </c>
      <c r="AS1146" s="1" t="s">
        <v>5520</v>
      </c>
      <c r="AT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U1146" s="1" t="s">
        <v>5521</v>
      </c>
      <c r="AV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W1146" s="1" t="s">
        <v>5522</v>
      </c>
      <c r="AX1146" s="3" t="str">
        <f>HYPERLINK("https://icf.clappia.com/app/GMB253374/submission/XPO38892450/ICF247370-GMB253374-420pe1d9g1f200000000/SIG-20250630_1155n31k.jpeg", "SIG-20250630_1155n31k.jpeg")</f>
        <v>SIG-20250630_1155n31k.jpeg</v>
      </c>
      <c r="AY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2" t="s">
        <v>47</v>
      </c>
      <c r="C1147" s="1" t="s">
        <v>5524</v>
      </c>
      <c r="D1147" s="1" t="s">
        <v>5524</v>
      </c>
      <c r="E1147" s="1" t="s">
        <v>5525</v>
      </c>
      <c r="F1147" s="1" t="s">
        <v>51</v>
      </c>
      <c r="G1147" s="1">
        <v>42.0</v>
      </c>
      <c r="H1147" s="1" t="s">
        <v>52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53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54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56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57</v>
      </c>
      <c r="AG1147" s="1">
        <v>9.0</v>
      </c>
      <c r="AH1147" s="1">
        <v>2.0</v>
      </c>
      <c r="AI1147" s="1" t="s">
        <v>55</v>
      </c>
      <c r="AJ1147" s="1">
        <v>7.0</v>
      </c>
      <c r="AK1147" s="1">
        <v>2.0</v>
      </c>
      <c r="AL1147" s="1">
        <f t="shared" si="1"/>
        <v>42</v>
      </c>
      <c r="AM1147" s="1">
        <v>42.0</v>
      </c>
      <c r="AN1147" s="1">
        <v>54.0</v>
      </c>
      <c r="AO1147" s="1">
        <v>27.0</v>
      </c>
      <c r="AP1147" s="2">
        <v>11.0</v>
      </c>
      <c r="AQ1147" s="1">
        <v>15.0</v>
      </c>
      <c r="AR1147" s="1">
        <v>15.0</v>
      </c>
      <c r="AS1147" s="1" t="s">
        <v>5526</v>
      </c>
      <c r="AT1147" s="3" t="str">
        <f>HYPERLINK("https://icf.clappia.com/app/GMB253374/submission/OII57933828/ICF247370-GMB253374-4l3ibflni5lc00000000/SIG-20250630_1152akae9.jpeg", "SIG-20250630_1152akae9.jpeg")</f>
        <v>SIG-20250630_1152akae9.jpeg</v>
      </c>
      <c r="AU1147" s="1" t="s">
        <v>5527</v>
      </c>
      <c r="AV1147" s="3" t="str">
        <f>HYPERLINK("https://icf.clappia.com/app/GMB253374/submission/OII57933828/ICF247370-GMB253374-5f0n060hgaco00000000/SIG-20250630_115331ho5.jpeg", "SIG-20250630_115331ho5.jpeg")</f>
        <v>SIG-20250630_115331ho5.jpeg</v>
      </c>
      <c r="AW1147" s="1" t="s">
        <v>5528</v>
      </c>
      <c r="AX1147" s="3" t="str">
        <f>HYPERLINK("https://icf.clappia.com/app/GMB253374/submission/OII57933828/ICF247370-GMB253374-6a626n8354mg00000000/SIG-20250630_1153jlp1c.jpeg", "SIG-20250630_1153jlp1c.jpeg")</f>
        <v>SIG-20250630_1153jlp1c.jpeg</v>
      </c>
      <c r="AY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2" t="s">
        <v>47</v>
      </c>
      <c r="C1148" s="1" t="s">
        <v>5530</v>
      </c>
      <c r="D1148" s="1" t="s">
        <v>5530</v>
      </c>
      <c r="E1148" s="1" t="s">
        <v>5531</v>
      </c>
      <c r="F1148" s="1" t="s">
        <v>51</v>
      </c>
      <c r="G1148" s="1">
        <v>98.0</v>
      </c>
      <c r="H1148" s="1" t="s">
        <v>52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53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54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56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57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f t="shared" si="1"/>
        <v>93</v>
      </c>
      <c r="AM1148" s="1">
        <v>98.0</v>
      </c>
      <c r="AN1148" s="1">
        <v>110.0</v>
      </c>
      <c r="AO1148" s="1">
        <v>40.0</v>
      </c>
      <c r="AP1148" s="2">
        <v>11.0</v>
      </c>
      <c r="AQ1148" s="1">
        <v>58.0</v>
      </c>
      <c r="AR1148" s="1">
        <v>58.0</v>
      </c>
      <c r="AS1148" s="1" t="s">
        <v>5532</v>
      </c>
      <c r="AT1148" s="3" t="str">
        <f>HYPERLINK("https://icf.clappia.com/app/GMB253374/submission/FOF95163005/ICF247370-GMB253374-5e661fo9fl6600000000/SIG-20250630_1148j7nce.jpeg", "SIG-20250630_1148j7nce.jpeg")</f>
        <v>SIG-20250630_1148j7nce.jpeg</v>
      </c>
      <c r="AU1148" s="1" t="s">
        <v>3087</v>
      </c>
      <c r="AV1148" s="3" t="str">
        <f>HYPERLINK("https://icf.clappia.com/app/GMB253374/submission/FOF95163005/ICF247370-GMB253374-d700e46ej77c0000000/SIG-20250630_11481311ad.jpeg", "SIG-20250630_11481311ad.jpeg")</f>
        <v>SIG-20250630_11481311ad.jpeg</v>
      </c>
      <c r="AW1148" s="1" t="s">
        <v>5533</v>
      </c>
      <c r="AX1148" s="3" t="str">
        <f>HYPERLINK("https://icf.clappia.com/app/GMB253374/submission/FOF95163005/ICF247370-GMB253374-i4936cf8hmco0000000/SIG-20250630_1149nn42n.jpeg", "SIG-20250630_1149nn42n.jpeg")</f>
        <v>SIG-20250630_1149nn42n.jpeg</v>
      </c>
      <c r="AY1148" s="3" t="str">
        <f t="shared" ref="AY1148:AY1149" si="10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2" t="s">
        <v>47</v>
      </c>
      <c r="C1149" s="1" t="s">
        <v>5530</v>
      </c>
      <c r="D1149" s="1" t="s">
        <v>5530</v>
      </c>
      <c r="E1149" s="2" t="s">
        <v>5535</v>
      </c>
      <c r="F1149" s="1" t="s">
        <v>51</v>
      </c>
      <c r="G1149" s="1">
        <v>100.0</v>
      </c>
      <c r="H1149" s="1" t="s">
        <v>52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53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54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56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57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f t="shared" si="1"/>
        <v>100</v>
      </c>
      <c r="AM1149" s="1">
        <v>100.0</v>
      </c>
      <c r="AN1149" s="1">
        <v>112.0</v>
      </c>
      <c r="AO1149" s="1">
        <v>100.0</v>
      </c>
      <c r="AP1149" s="2">
        <v>11.0</v>
      </c>
      <c r="AQ1149" s="1">
        <v>0.0</v>
      </c>
      <c r="AR1149" s="1">
        <v>0.0</v>
      </c>
      <c r="AS1149" s="1" t="s">
        <v>5536</v>
      </c>
      <c r="AT1149" s="3" t="str">
        <f>HYPERLINK("https://icf.clappia.com/app/GMB253374/submission/PWC02903528/ICF247370-GMB253374-3o0bph3mll7e00000000/SIG-20250630_1144eo63l.jpeg", "SIG-20250630_1144eo63l.jpeg")</f>
        <v>SIG-20250630_1144eo63l.jpeg</v>
      </c>
      <c r="AU1149" s="1" t="s">
        <v>5537</v>
      </c>
      <c r="AV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W1149" s="1" t="s">
        <v>5538</v>
      </c>
      <c r="AX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Y1149" s="3" t="str">
        <f t="shared" si="10"/>
        <v>8.8042684,-12.2832285</v>
      </c>
    </row>
    <row r="1150" ht="15.75" customHeight="1">
      <c r="A1150" s="1" t="s">
        <v>5539</v>
      </c>
      <c r="B1150" s="2" t="s">
        <v>47</v>
      </c>
      <c r="C1150" s="1" t="s">
        <v>5540</v>
      </c>
      <c r="D1150" s="1" t="s">
        <v>5540</v>
      </c>
      <c r="E1150" s="1" t="s">
        <v>5541</v>
      </c>
      <c r="F1150" s="1" t="s">
        <v>51</v>
      </c>
      <c r="G1150" s="1">
        <v>273.0</v>
      </c>
      <c r="H1150" s="1" t="s">
        <v>52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53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54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56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57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f t="shared" si="1"/>
        <v>273</v>
      </c>
      <c r="AM1150" s="1">
        <v>273.0</v>
      </c>
      <c r="AN1150" s="1">
        <v>285.0</v>
      </c>
      <c r="AO1150" s="1">
        <v>273.0</v>
      </c>
      <c r="AP1150" s="2">
        <v>11.0</v>
      </c>
      <c r="AQ1150" s="1">
        <v>0.0</v>
      </c>
      <c r="AR1150" s="1">
        <v>0.0</v>
      </c>
      <c r="AS1150" s="1" t="s">
        <v>5542</v>
      </c>
      <c r="AT1150" s="3" t="str">
        <f>HYPERLINK("https://icf.clappia.com/app/GMB253374/submission/KSK14026686/ICF247370-GMB253374-15m52lcaja4le000000/SIG-20250630_114513nj07.jpeg", "SIG-20250630_114513nj07.jpeg")</f>
        <v>SIG-20250630_114513nj07.jpeg</v>
      </c>
      <c r="AU1150" s="1" t="s">
        <v>5543</v>
      </c>
      <c r="AV1150" s="3" t="str">
        <f>HYPERLINK("https://icf.clappia.com/app/GMB253374/submission/KSK14026686/ICF247370-GMB253374-3mi8deffb4eo00000000/SIG-20250630_1146bel67.jpeg", "SIG-20250630_1146bel67.jpeg")</f>
        <v>SIG-20250630_1146bel67.jpeg</v>
      </c>
      <c r="AW1150" s="1" t="s">
        <v>55</v>
      </c>
      <c r="AX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Y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2" t="s">
        <v>47</v>
      </c>
      <c r="C1151" s="1" t="s">
        <v>5545</v>
      </c>
      <c r="D1151" s="1" t="s">
        <v>5545</v>
      </c>
      <c r="E1151" s="1" t="s">
        <v>5546</v>
      </c>
      <c r="F1151" s="1" t="s">
        <v>51</v>
      </c>
      <c r="G1151" s="1">
        <v>100.0</v>
      </c>
      <c r="H1151" s="1" t="s">
        <v>52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53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54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56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57</v>
      </c>
      <c r="AG1151" s="1">
        <v>37.0</v>
      </c>
      <c r="AH1151" s="1">
        <v>21.0</v>
      </c>
      <c r="AI1151" s="1" t="s">
        <v>55</v>
      </c>
      <c r="AJ1151" s="1">
        <v>16.0</v>
      </c>
      <c r="AK1151" s="1" t="s">
        <v>55</v>
      </c>
      <c r="AL1151" s="1">
        <f t="shared" si="1"/>
        <v>227</v>
      </c>
      <c r="AM1151" s="1">
        <v>100.0</v>
      </c>
      <c r="AN1151" s="1">
        <v>112.0</v>
      </c>
      <c r="AO1151" s="1">
        <v>100.0</v>
      </c>
      <c r="AP1151" s="2">
        <v>11.0</v>
      </c>
      <c r="AQ1151" s="1">
        <v>0.0</v>
      </c>
      <c r="AR1151" s="1">
        <v>0.0</v>
      </c>
      <c r="AS1151" s="1" t="s">
        <v>5547</v>
      </c>
      <c r="AT1151" s="3" t="str">
        <f>HYPERLINK("https://icf.clappia.com/app/GMB253374/submission/NCI73589757/ICF247370-GMB253374-157iendeb538c0000000/SIG-20250630_114257bj7.jpeg", "SIG-20250630_114257bj7.jpeg")</f>
        <v>SIG-20250630_114257bj7.jpeg</v>
      </c>
      <c r="AU1151" s="1" t="s">
        <v>1427</v>
      </c>
      <c r="AV1151" s="3" t="str">
        <f>HYPERLINK("https://icf.clappia.com/app/GMB253374/submission/NCI73589757/ICF247370-GMB253374-582j2hf5ipeg0000000/SIG-20250630_11437pje4.jpeg", "SIG-20250630_11437pje4.jpeg")</f>
        <v>SIG-20250630_11437pje4.jpeg</v>
      </c>
      <c r="AW1151" s="1" t="s">
        <v>5548</v>
      </c>
      <c r="AX1151" s="3" t="str">
        <f>HYPERLINK("https://icf.clappia.com/app/GMB253374/submission/NCI73589757/ICF247370-GMB253374-inp989mdkpp20000000/SIG-20250630_114411ie2.jpeg", "SIG-20250630_114411ie2.jpeg")</f>
        <v>SIG-20250630_114411ie2.jpeg</v>
      </c>
      <c r="AY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2" t="s">
        <v>47</v>
      </c>
      <c r="C1152" s="1" t="s">
        <v>5550</v>
      </c>
      <c r="D1152" s="1" t="s">
        <v>5550</v>
      </c>
      <c r="E1152" s="1" t="s">
        <v>5551</v>
      </c>
      <c r="F1152" s="1" t="s">
        <v>51</v>
      </c>
      <c r="G1152" s="1">
        <v>105.0</v>
      </c>
      <c r="H1152" s="1" t="s">
        <v>52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53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54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56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57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f t="shared" si="1"/>
        <v>105</v>
      </c>
      <c r="AM1152" s="1">
        <v>105.0</v>
      </c>
      <c r="AN1152" s="1">
        <v>117.0</v>
      </c>
      <c r="AO1152" s="1">
        <v>105.0</v>
      </c>
      <c r="AP1152" s="2">
        <v>11.0</v>
      </c>
      <c r="AQ1152" s="1">
        <v>0.0</v>
      </c>
      <c r="AR1152" s="1">
        <v>0.0</v>
      </c>
      <c r="AS1152" s="1" t="s">
        <v>3297</v>
      </c>
      <c r="AT1152" s="3" t="str">
        <f>HYPERLINK("https://icf.clappia.com/app/GMB253374/submission/EXH27204622/ICF247370-GMB253374-51nm9a43dj5m00000000/SIG-20250630_0933oaekn.jpeg", "SIG-20250630_0933oaekn.jpeg")</f>
        <v>SIG-20250630_0933oaekn.jpeg</v>
      </c>
      <c r="AU1152" s="1" t="s">
        <v>3298</v>
      </c>
      <c r="AV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W1152" s="1" t="s">
        <v>4216</v>
      </c>
      <c r="AX1152" s="3" t="str">
        <f>HYPERLINK("https://icf.clappia.com/app/GMB253374/submission/EXH27204622/ICF247370-GMB253374-59j46pm4ak6k00000000/SIG-20250630_0934h844e.jpeg", "SIG-20250630_0934h844e.jpeg")</f>
        <v>SIG-20250630_0934h844e.jpeg</v>
      </c>
      <c r="AY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2" t="s">
        <v>47</v>
      </c>
      <c r="C1153" s="1" t="s">
        <v>5553</v>
      </c>
      <c r="D1153" s="1" t="s">
        <v>5553</v>
      </c>
      <c r="E1153" s="1" t="s">
        <v>5554</v>
      </c>
      <c r="F1153" s="1" t="s">
        <v>51</v>
      </c>
      <c r="G1153" s="1">
        <v>200.0</v>
      </c>
      <c r="H1153" s="1" t="s">
        <v>52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53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54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56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57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f t="shared" si="1"/>
        <v>178</v>
      </c>
      <c r="AM1153" s="1">
        <v>200.0</v>
      </c>
      <c r="AN1153" s="1">
        <v>212.0</v>
      </c>
      <c r="AO1153" s="1">
        <v>128.0</v>
      </c>
      <c r="AP1153" s="2">
        <v>11.0</v>
      </c>
      <c r="AQ1153" s="1">
        <v>72.0</v>
      </c>
      <c r="AR1153" s="1">
        <v>72.0</v>
      </c>
      <c r="AS1153" s="1" t="s">
        <v>5555</v>
      </c>
      <c r="AT1153" s="3" t="str">
        <f>HYPERLINK("https://icf.clappia.com/app/GMB253374/submission/APR80629155/ICF247370-GMB253374-6bm74bo5fm0a00000000/SIG-20250630_1141nf7el.jpeg", "SIG-20250630_1141nf7el.jpeg")</f>
        <v>SIG-20250630_1141nf7el.jpeg</v>
      </c>
      <c r="AU1153" s="1" t="s">
        <v>5556</v>
      </c>
      <c r="AV1153" s="3" t="str">
        <f>HYPERLINK("https://icf.clappia.com/app/GMB253374/submission/APR80629155/ICF247370-GMB253374-oacop83ij6640000000/SIG-20250630_1141c8k4n.jpeg", "SIG-20250630_1141c8k4n.jpeg")</f>
        <v>SIG-20250630_1141c8k4n.jpeg</v>
      </c>
      <c r="AW1153" s="1" t="s">
        <v>3371</v>
      </c>
      <c r="AX1153" s="3" t="str">
        <f>HYPERLINK("https://icf.clappia.com/app/GMB253374/submission/APR80629155/ICF247370-GMB253374-fj2ahmo9ikfi0000000/SIG-20250630_1141mlaoa.jpeg", "SIG-20250630_1141mlaoa.jpeg")</f>
        <v>SIG-20250630_1141mlaoa.jpeg</v>
      </c>
      <c r="AY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2" t="s">
        <v>47</v>
      </c>
      <c r="C1154" s="1" t="s">
        <v>5558</v>
      </c>
      <c r="D1154" s="1" t="s">
        <v>5558</v>
      </c>
      <c r="E1154" s="1" t="s">
        <v>5559</v>
      </c>
      <c r="F1154" s="1" t="s">
        <v>51</v>
      </c>
      <c r="G1154" s="1">
        <v>178.0</v>
      </c>
      <c r="H1154" s="1" t="s">
        <v>52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53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54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56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57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f t="shared" si="1"/>
        <v>213</v>
      </c>
      <c r="AM1154" s="1">
        <v>178.0</v>
      </c>
      <c r="AN1154" s="1">
        <v>190.0</v>
      </c>
      <c r="AO1154" s="1">
        <v>158.0</v>
      </c>
      <c r="AP1154" s="2">
        <v>11.0</v>
      </c>
      <c r="AQ1154" s="1">
        <v>20.0</v>
      </c>
      <c r="AR1154" s="1">
        <v>20.0</v>
      </c>
      <c r="AS1154" s="1" t="s">
        <v>2276</v>
      </c>
      <c r="AT1154" s="3" t="str">
        <f>HYPERLINK("https://icf.clappia.com/app/GMB253374/submission/LMG35734104/ICF247370-GMB253374-4jc1c8850d3000000000/SIG-20250630_1137dcei8.jpeg", "SIG-20250630_1137dcei8.jpeg")</f>
        <v>SIG-20250630_1137dcei8.jpeg</v>
      </c>
      <c r="AU1154" s="1" t="s">
        <v>2278</v>
      </c>
      <c r="AV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W1154" s="1" t="s">
        <v>2277</v>
      </c>
      <c r="AX1154" s="3" t="str">
        <f>HYPERLINK("https://icf.clappia.com/app/GMB253374/submission/LMG35734104/ICF247370-GMB253374-53k3174bo1hm00000000/SIG-20250630_113868dij.jpeg", "SIG-20250630_113868dij.jpeg")</f>
        <v>SIG-20250630_113868dij.jpeg</v>
      </c>
      <c r="AY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2" t="s">
        <v>47</v>
      </c>
      <c r="C1155" s="1" t="s">
        <v>5561</v>
      </c>
      <c r="D1155" s="1" t="s">
        <v>5561</v>
      </c>
      <c r="E1155" s="1" t="s">
        <v>5562</v>
      </c>
      <c r="F1155" s="1" t="s">
        <v>51</v>
      </c>
      <c r="G1155" s="1">
        <v>247.0</v>
      </c>
      <c r="H1155" s="1" t="s">
        <v>52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53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54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56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57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f t="shared" si="1"/>
        <v>247</v>
      </c>
      <c r="AM1155" s="1">
        <v>247.0</v>
      </c>
      <c r="AN1155" s="1">
        <v>259.0</v>
      </c>
      <c r="AO1155" s="1">
        <v>242.0</v>
      </c>
      <c r="AP1155" s="2">
        <v>11.0</v>
      </c>
      <c r="AQ1155" s="1">
        <v>5.0</v>
      </c>
      <c r="AR1155" s="1">
        <v>5.0</v>
      </c>
      <c r="AS1155" s="1" t="s">
        <v>5563</v>
      </c>
      <c r="AT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U1155" s="1" t="s">
        <v>4450</v>
      </c>
      <c r="AV1155" s="3" t="str">
        <f>HYPERLINK("https://icf.clappia.com/app/GMB253374/submission/BXU62986863/ICF247370-GMB253374-43cfd5dno4kg00000000/SIG-20250630_1140en8e5.jpeg", "SIG-20250630_1140en8e5.jpeg")</f>
        <v>SIG-20250630_1140en8e5.jpeg</v>
      </c>
      <c r="AW1155" s="1" t="s">
        <v>3310</v>
      </c>
      <c r="AX1155" s="3" t="str">
        <f>HYPERLINK("https://icf.clappia.com/app/GMB253374/submission/BXU62986863/ICF247370-GMB253374-3pm81jgnkao400000000/SIG-20250630_11363dkdl.jpeg", "SIG-20250630_11363dkdl.jpeg")</f>
        <v>SIG-20250630_11363dkdl.jpeg</v>
      </c>
      <c r="AY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2" t="s">
        <v>47</v>
      </c>
      <c r="C1156" s="1" t="s">
        <v>5565</v>
      </c>
      <c r="D1156" s="1" t="s">
        <v>5565</v>
      </c>
      <c r="E1156" s="1" t="s">
        <v>5566</v>
      </c>
      <c r="F1156" s="1" t="s">
        <v>51</v>
      </c>
      <c r="G1156" s="1">
        <v>100.0</v>
      </c>
      <c r="H1156" s="1" t="s">
        <v>52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53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54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56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57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f t="shared" si="1"/>
        <v>95</v>
      </c>
      <c r="AM1156" s="1">
        <v>100.0</v>
      </c>
      <c r="AN1156" s="1">
        <v>112.0</v>
      </c>
      <c r="AO1156" s="1">
        <v>95.0</v>
      </c>
      <c r="AP1156" s="2">
        <v>11.0</v>
      </c>
      <c r="AQ1156" s="1">
        <v>5.0</v>
      </c>
      <c r="AR1156" s="1">
        <v>5.0</v>
      </c>
      <c r="AS1156" s="1" t="s">
        <v>840</v>
      </c>
      <c r="AT1156" s="3" t="str">
        <f>HYPERLINK("https://icf.clappia.com/app/GMB253374/submission/ZVE26292877/ICF247370-GMB253374-32222dnbige000000000/SIG-20250630_11345jbfm.jpeg", "SIG-20250630_11345jbfm.jpeg")</f>
        <v>SIG-20250630_11345jbfm.jpeg</v>
      </c>
      <c r="AU1156" s="1" t="s">
        <v>5567</v>
      </c>
      <c r="AV1156" s="3" t="str">
        <f>HYPERLINK("https://icf.clappia.com/app/GMB253374/submission/ZVE26292877/ICF247370-GMB253374-khfnhlh21fje0000000/SIG-20250630_1139am6e2.jpeg", "SIG-20250630_1139am6e2.jpeg")</f>
        <v>SIG-20250630_1139am6e2.jpeg</v>
      </c>
      <c r="AW1156" s="1" t="s">
        <v>5568</v>
      </c>
      <c r="AX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Y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2" t="s">
        <v>47</v>
      </c>
      <c r="C1157" s="1" t="s">
        <v>5570</v>
      </c>
      <c r="D1157" s="1" t="s">
        <v>5570</v>
      </c>
      <c r="E1157" s="1" t="s">
        <v>5571</v>
      </c>
      <c r="F1157" s="1" t="s">
        <v>51</v>
      </c>
      <c r="G1157" s="1">
        <v>124.0</v>
      </c>
      <c r="H1157" s="1" t="s">
        <v>52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53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54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56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57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f t="shared" si="1"/>
        <v>124</v>
      </c>
      <c r="AM1157" s="1">
        <v>124.0</v>
      </c>
      <c r="AN1157" s="1">
        <v>136.0</v>
      </c>
      <c r="AO1157" s="1">
        <v>102.0</v>
      </c>
      <c r="AP1157" s="2">
        <v>11.0</v>
      </c>
      <c r="AQ1157" s="1">
        <v>22.0</v>
      </c>
      <c r="AR1157" s="1">
        <v>22.0</v>
      </c>
      <c r="AS1157" s="1" t="s">
        <v>1810</v>
      </c>
      <c r="AT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U1157" s="1" t="s">
        <v>5572</v>
      </c>
      <c r="AV1157" s="3" t="str">
        <f>HYPERLINK("https://icf.clappia.com/app/GMB253374/submission/MPD68460165/ICF247370-GMB253374-5p8ci164d8a400000000/SIG-20250630_11352k5fn.jpeg", "SIG-20250630_11352k5fn.jpeg")</f>
        <v>SIG-20250630_11352k5fn.jpeg</v>
      </c>
      <c r="AW1157" s="1" t="s">
        <v>1812</v>
      </c>
      <c r="AX1157" s="3" t="str">
        <f>HYPERLINK("https://icf.clappia.com/app/GMB253374/submission/MPD68460165/ICF247370-GMB253374-21iea85ccf1hg0000000/SIG-20250630_1134l0ke1.jpeg", "SIG-20250630_1134l0ke1.jpeg")</f>
        <v>SIG-20250630_1134l0ke1.jpeg</v>
      </c>
      <c r="AY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2" t="s">
        <v>47</v>
      </c>
      <c r="C1158" s="1" t="s">
        <v>5574</v>
      </c>
      <c r="D1158" s="1" t="s">
        <v>5574</v>
      </c>
      <c r="E1158" s="1" t="s">
        <v>5575</v>
      </c>
      <c r="F1158" s="1" t="s">
        <v>51</v>
      </c>
      <c r="G1158" s="1">
        <v>250.0</v>
      </c>
      <c r="H1158" s="1" t="s">
        <v>52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53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54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56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57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f t="shared" si="1"/>
        <v>247</v>
      </c>
      <c r="AM1158" s="1">
        <v>250.0</v>
      </c>
      <c r="AN1158" s="1">
        <v>262.0</v>
      </c>
      <c r="AO1158" s="1">
        <v>247.0</v>
      </c>
      <c r="AP1158" s="2">
        <v>11.0</v>
      </c>
      <c r="AQ1158" s="1">
        <v>3.0</v>
      </c>
      <c r="AR1158" s="1">
        <v>3.0</v>
      </c>
      <c r="AS1158" s="1" t="s">
        <v>5576</v>
      </c>
      <c r="AT1158" s="3" t="str">
        <f>HYPERLINK("https://icf.clappia.com/app/GMB253374/submission/REC58566440/ICF247370-GMB253374-cje73k96h97m0000000/SIG-20250630_11239n6h8.jpeg", "SIG-20250630_11239n6h8.jpeg")</f>
        <v>SIG-20250630_11239n6h8.jpeg</v>
      </c>
      <c r="AU1158" s="1" t="s">
        <v>803</v>
      </c>
      <c r="AV1158" s="3" t="str">
        <f>HYPERLINK("https://icf.clappia.com/app/GMB253374/submission/REC58566440/ICF247370-GMB253374-1f2oo7fjeih5a0000000/SIG-20250630_11241icbe.jpeg", "SIG-20250630_11241icbe.jpeg")</f>
        <v>SIG-20250630_11241icbe.jpeg</v>
      </c>
      <c r="AW1158" s="1" t="s">
        <v>5577</v>
      </c>
      <c r="AX1158" s="3" t="str">
        <f>HYPERLINK("https://icf.clappia.com/app/GMB253374/submission/REC58566440/ICF247370-GMB253374-1d0bk34p71od60000000/SIG-20250630_1124pgpjl.jpeg", "SIG-20250630_1124pgpjl.jpeg")</f>
        <v>SIG-20250630_1124pgpjl.jpeg</v>
      </c>
      <c r="AY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2" t="s">
        <v>47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50.0</v>
      </c>
      <c r="H1159" s="1" t="s">
        <v>52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53</v>
      </c>
      <c r="O1159" s="1">
        <v>2.0</v>
      </c>
      <c r="P1159" s="1">
        <v>2.0</v>
      </c>
      <c r="Q1159" s="1">
        <v>2.0</v>
      </c>
      <c r="R1159" s="1" t="s">
        <v>55</v>
      </c>
      <c r="S1159" s="1" t="s">
        <v>55</v>
      </c>
      <c r="T1159" s="1" t="s">
        <v>54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56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57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f t="shared" si="1"/>
        <v>39</v>
      </c>
      <c r="AM1159" s="1">
        <v>50.0</v>
      </c>
      <c r="AN1159" s="1">
        <v>62.0</v>
      </c>
      <c r="AO1159" s="1">
        <v>39.0</v>
      </c>
      <c r="AP1159" s="2">
        <v>11.0</v>
      </c>
      <c r="AQ1159" s="1">
        <v>11.0</v>
      </c>
      <c r="AR1159" s="1">
        <v>11.0</v>
      </c>
      <c r="AS1159" s="1" t="s">
        <v>5580</v>
      </c>
      <c r="AT1159" s="3" t="str">
        <f>HYPERLINK("https://icf.clappia.com/app/GMB253374/submission/TOE84451698/ICF247370-GMB253374-5mm567k2d4fa00000000/SIG-20250630_11247fb36.jpeg", "SIG-20250630_11247fb36.jpeg")</f>
        <v>SIG-20250630_11247fb36.jpeg</v>
      </c>
      <c r="AU1159" s="1" t="s">
        <v>1720</v>
      </c>
      <c r="AV1159" s="3" t="str">
        <f>HYPERLINK("https://icf.clappia.com/app/GMB253374/submission/TOE84451698/ICF247370-GMB253374-149nlkn91cpm00000000/SIG-20250630_11252pa9k.jpeg", "SIG-20250630_11252pa9k.jpeg")</f>
        <v>SIG-20250630_11252pa9k.jpeg</v>
      </c>
      <c r="AW1159" s="1" t="s">
        <v>5581</v>
      </c>
      <c r="AX1159" s="3" t="str">
        <f>HYPERLINK("https://icf.clappia.com/app/GMB253374/submission/TOE84451698/ICF247370-GMB253374-2i0p72mokoo400000000/SIG-20250630_1126o10o.jpeg", "SIG-20250630_1126o10o.jpeg")</f>
        <v>SIG-20250630_1126o10o.jpeg</v>
      </c>
      <c r="AY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2" t="s">
        <v>47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192.0</v>
      </c>
      <c r="H1160" s="1" t="s">
        <v>52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53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54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56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57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f t="shared" si="1"/>
        <v>149</v>
      </c>
      <c r="AM1160" s="1">
        <v>192.0</v>
      </c>
      <c r="AN1160" s="1">
        <v>204.0</v>
      </c>
      <c r="AO1160" s="1">
        <v>149.0</v>
      </c>
      <c r="AP1160" s="2">
        <v>11.0</v>
      </c>
      <c r="AQ1160" s="1">
        <v>43.0</v>
      </c>
      <c r="AR1160" s="1">
        <v>43.0</v>
      </c>
      <c r="AS1160" s="1" t="s">
        <v>5585</v>
      </c>
      <c r="AT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U1160" s="1" t="s">
        <v>5586</v>
      </c>
      <c r="AV1160" s="3" t="str">
        <f>HYPERLINK("https://icf.clappia.com/app/GMB253374/submission/SBM01803467/ICF247370-GMB253374-3m5bnk9jp6lo00000000/SIG-20250630_11238cj8k.jpeg", "SIG-20250630_11238cj8k.jpeg")</f>
        <v>SIG-20250630_11238cj8k.jpeg</v>
      </c>
      <c r="AW1160" s="1" t="s">
        <v>3377</v>
      </c>
      <c r="AX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Y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2" t="s">
        <v>47</v>
      </c>
      <c r="C1161" s="1" t="s">
        <v>5588</v>
      </c>
      <c r="D1161" s="1" t="s">
        <v>5588</v>
      </c>
      <c r="E1161" s="1" t="s">
        <v>5589</v>
      </c>
      <c r="F1161" s="1" t="s">
        <v>51</v>
      </c>
      <c r="G1161" s="1">
        <v>100.0</v>
      </c>
      <c r="H1161" s="1" t="s">
        <v>52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53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54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56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57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f t="shared" si="1"/>
        <v>96</v>
      </c>
      <c r="AM1161" s="1">
        <v>100.0</v>
      </c>
      <c r="AN1161" s="1">
        <v>112.0</v>
      </c>
      <c r="AO1161" s="1">
        <v>87.0</v>
      </c>
      <c r="AP1161" s="2">
        <v>11.0</v>
      </c>
      <c r="AQ1161" s="1">
        <v>13.0</v>
      </c>
      <c r="AR1161" s="1">
        <v>13.0</v>
      </c>
      <c r="AS1161" s="1" t="s">
        <v>1992</v>
      </c>
      <c r="AT1161" s="3" t="str">
        <f>HYPERLINK("https://icf.clappia.com/app/GMB253374/submission/OAH65104744/ICF247370-GMB253374-35338m4i68ia0000000/SIG-20250630_1119180n2f.jpeg", "SIG-20250630_1119180n2f.jpeg")</f>
        <v>SIG-20250630_1119180n2f.jpeg</v>
      </c>
      <c r="AU1161" s="1" t="s">
        <v>1993</v>
      </c>
      <c r="AV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W1161" s="1" t="s">
        <v>5590</v>
      </c>
      <c r="AX1161" s="3" t="str">
        <f>HYPERLINK("https://icf.clappia.com/app/GMB253374/submission/OAH65104744/ICF247370-GMB253374-2hlnbg2pk4ho0000000/SIG-20250630_11211a2khm.jpeg", "SIG-20250630_11211a2khm.jpeg")</f>
        <v>SIG-20250630_11211a2khm.jpeg</v>
      </c>
      <c r="AY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2" t="s">
        <v>47</v>
      </c>
      <c r="C1162" s="1" t="s">
        <v>5592</v>
      </c>
      <c r="D1162" s="1" t="s">
        <v>5592</v>
      </c>
      <c r="E1162" s="1" t="s">
        <v>5593</v>
      </c>
      <c r="F1162" s="1" t="s">
        <v>51</v>
      </c>
      <c r="G1162" s="1">
        <v>200.0</v>
      </c>
      <c r="H1162" s="1" t="s">
        <v>52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53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54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56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57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f t="shared" si="1"/>
        <v>165</v>
      </c>
      <c r="AM1162" s="1">
        <v>200.0</v>
      </c>
      <c r="AN1162" s="1">
        <v>212.0</v>
      </c>
      <c r="AO1162" s="1">
        <v>161.0</v>
      </c>
      <c r="AP1162" s="2">
        <v>11.0</v>
      </c>
      <c r="AQ1162" s="1">
        <v>39.0</v>
      </c>
      <c r="AR1162" s="1">
        <v>39.0</v>
      </c>
      <c r="AS1162" s="1" t="s">
        <v>5594</v>
      </c>
      <c r="AT1162" s="3" t="str">
        <f>HYPERLINK("https://icf.clappia.com/app/GMB253374/submission/WGB43512096/ICF247370-GMB253374-100b5fhp1m8jo0000000/SIG-20250630_111466nfc.jpeg", "SIG-20250630_111466nfc.jpeg")</f>
        <v>SIG-20250630_111466nfc.jpeg</v>
      </c>
      <c r="AU1162" s="1" t="s">
        <v>1241</v>
      </c>
      <c r="AV1162" s="3" t="str">
        <f>HYPERLINK("https://icf.clappia.com/app/GMB253374/submission/WGB43512096/ICF247370-GMB253374-1g0d4mdkajaee0000000/SIG-20250630_1115497e6.jpeg", "SIG-20250630_1115497e6.jpeg")</f>
        <v>SIG-20250630_1115497e6.jpeg</v>
      </c>
      <c r="AW1162" s="1" t="s">
        <v>1242</v>
      </c>
      <c r="AX1162" s="3" t="str">
        <f>HYPERLINK("https://icf.clappia.com/app/GMB253374/submission/WGB43512096/ICF247370-GMB253374-145bhmjob8ikg0000000/SIG-20250630_1116l7m4h.jpeg", "SIG-20250630_1116l7m4h.jpeg")</f>
        <v>SIG-20250630_1116l7m4h.jpeg</v>
      </c>
      <c r="AY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2" t="s">
        <v>47</v>
      </c>
      <c r="C1163" s="1" t="s">
        <v>5596</v>
      </c>
      <c r="D1163" s="1" t="s">
        <v>5596</v>
      </c>
      <c r="E1163" s="1" t="s">
        <v>5597</v>
      </c>
      <c r="F1163" s="1" t="s">
        <v>51</v>
      </c>
      <c r="G1163" s="1">
        <v>243.0</v>
      </c>
      <c r="H1163" s="1" t="s">
        <v>52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53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54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56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55</v>
      </c>
      <c r="AF1163" s="1" t="s">
        <v>57</v>
      </c>
      <c r="AG1163" s="1">
        <v>32.0</v>
      </c>
      <c r="AH1163" s="1">
        <v>16.0</v>
      </c>
      <c r="AI1163" s="1" t="s">
        <v>55</v>
      </c>
      <c r="AJ1163" s="1">
        <v>16.0</v>
      </c>
      <c r="AK1163" s="1" t="s">
        <v>55</v>
      </c>
      <c r="AL1163" s="1">
        <f t="shared" si="1"/>
        <v>261</v>
      </c>
      <c r="AM1163" s="1">
        <v>243.0</v>
      </c>
      <c r="AN1163" s="1">
        <v>255.0</v>
      </c>
      <c r="AO1163" s="1">
        <v>191.0</v>
      </c>
      <c r="AP1163" s="2">
        <v>11.0</v>
      </c>
      <c r="AQ1163" s="1">
        <v>52.0</v>
      </c>
      <c r="AR1163" s="1">
        <v>52.0</v>
      </c>
      <c r="AS1163" s="1" t="s">
        <v>661</v>
      </c>
      <c r="AT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U1163" s="1" t="s">
        <v>5598</v>
      </c>
      <c r="AV1163" s="3" t="str">
        <f>HYPERLINK("https://icf.clappia.com/app/GMB253374/submission/BVJ42363308/ICF247370-GMB253374-303711a1p58000000000/SIG-20250630_1116fob5d.jpeg", "SIG-20250630_1116fob5d.jpeg")</f>
        <v>SIG-20250630_1116fob5d.jpeg</v>
      </c>
      <c r="AW1163" s="1" t="s">
        <v>5599</v>
      </c>
      <c r="AX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Y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2" t="s">
        <v>47</v>
      </c>
      <c r="C1164" s="1" t="s">
        <v>5601</v>
      </c>
      <c r="D1164" s="1" t="s">
        <v>5601</v>
      </c>
      <c r="E1164" s="1" t="s">
        <v>5602</v>
      </c>
      <c r="F1164" s="1" t="s">
        <v>51</v>
      </c>
      <c r="G1164" s="1">
        <v>172.0</v>
      </c>
      <c r="H1164" s="1" t="s">
        <v>52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53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54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56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57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f t="shared" si="1"/>
        <v>186</v>
      </c>
      <c r="AM1164" s="1">
        <v>172.0</v>
      </c>
      <c r="AN1164" s="1">
        <v>184.0</v>
      </c>
      <c r="AO1164" s="1">
        <v>160.0</v>
      </c>
      <c r="AP1164" s="2">
        <v>11.0</v>
      </c>
      <c r="AQ1164" s="1">
        <v>12.0</v>
      </c>
      <c r="AR1164" s="1">
        <v>12.0</v>
      </c>
      <c r="AS1164" s="1" t="s">
        <v>5603</v>
      </c>
      <c r="AT1164" s="3" t="str">
        <f>HYPERLINK("https://icf.clappia.com/app/GMB253374/submission/FHW52808642/ICF247370-GMB253374-3p455apf9hcm00000000/SIG-20250630_111297735.jpeg", "SIG-20250630_111297735.jpeg")</f>
        <v>SIG-20250630_111297735.jpeg</v>
      </c>
      <c r="AU1164" s="1" t="s">
        <v>2077</v>
      </c>
      <c r="AV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W1164" s="1" t="s">
        <v>5604</v>
      </c>
      <c r="AX1164" s="3" t="str">
        <f>HYPERLINK("https://icf.clappia.com/app/GMB253374/submission/FHW52808642/ICF247370-GMB253374-210c5ndlcdod60000000/SIG-20250630_111351pf6.jpeg", "SIG-20250630_111351pf6.jpeg")</f>
        <v>SIG-20250630_111351pf6.jpeg</v>
      </c>
      <c r="AY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2" t="s">
        <v>47</v>
      </c>
      <c r="C1165" s="1" t="s">
        <v>5606</v>
      </c>
      <c r="D1165" s="1" t="s">
        <v>5606</v>
      </c>
      <c r="E1165" s="1" t="s">
        <v>5607</v>
      </c>
      <c r="F1165" s="1" t="s">
        <v>51</v>
      </c>
      <c r="G1165" s="1">
        <v>133.0</v>
      </c>
      <c r="H1165" s="1" t="s">
        <v>52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53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54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56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57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f t="shared" si="1"/>
        <v>123</v>
      </c>
      <c r="AM1165" s="1">
        <v>133.0</v>
      </c>
      <c r="AN1165" s="1">
        <v>145.0</v>
      </c>
      <c r="AO1165" s="1">
        <v>123.0</v>
      </c>
      <c r="AP1165" s="2">
        <v>11.0</v>
      </c>
      <c r="AQ1165" s="1">
        <v>10.0</v>
      </c>
      <c r="AR1165" s="1">
        <v>10.0</v>
      </c>
      <c r="AS1165" s="1" t="s">
        <v>3286</v>
      </c>
      <c r="AT1165" s="3" t="str">
        <f>HYPERLINK("https://icf.clappia.com/app/GMB253374/submission/ZSM06245428/ICF247370-GMB253374-bc0e1nn95b520000000/SIG-20250630_1052162nj2.jpeg", "SIG-20250630_1052162nj2.jpeg")</f>
        <v>SIG-20250630_1052162nj2.jpeg</v>
      </c>
      <c r="AU1165" s="1" t="s">
        <v>5608</v>
      </c>
      <c r="AV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W1165" s="1" t="s">
        <v>5609</v>
      </c>
      <c r="AX1165" s="3" t="str">
        <f>HYPERLINK("https://icf.clappia.com/app/GMB253374/submission/ZSM06245428/ICF247370-GMB253374-219pmdnn7fja80000000/SIG-20250630_10534ddna.jpeg", "SIG-20250630_10534ddna.jpeg")</f>
        <v>SIG-20250630_10534ddna.jpeg</v>
      </c>
      <c r="AY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2" t="s">
        <v>47</v>
      </c>
      <c r="C1166" s="1" t="s">
        <v>5611</v>
      </c>
      <c r="D1166" s="1" t="s">
        <v>5611</v>
      </c>
      <c r="E1166" s="1" t="s">
        <v>5612</v>
      </c>
      <c r="F1166" s="1" t="s">
        <v>51</v>
      </c>
      <c r="G1166" s="1">
        <v>77.0</v>
      </c>
      <c r="H1166" s="1" t="s">
        <v>52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53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54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56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57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f t="shared" si="1"/>
        <v>77</v>
      </c>
      <c r="AM1166" s="1">
        <v>77.0</v>
      </c>
      <c r="AN1166" s="1">
        <v>89.0</v>
      </c>
      <c r="AO1166" s="1">
        <v>77.0</v>
      </c>
      <c r="AP1166" s="2">
        <v>11.0</v>
      </c>
      <c r="AQ1166" s="1">
        <v>0.0</v>
      </c>
      <c r="AR1166" s="1">
        <v>0.0</v>
      </c>
      <c r="AS1166" s="1" t="s">
        <v>5613</v>
      </c>
      <c r="AT1166" s="3" t="str">
        <f>HYPERLINK("https://icf.clappia.com/app/GMB253374/submission/YZO70208952/ICF247370-GMB253374-71no0eh05kkm0000000/SIG-20250630_1031144cg3.jpeg", "SIG-20250630_1031144cg3.jpeg")</f>
        <v>SIG-20250630_1031144cg3.jpeg</v>
      </c>
      <c r="AU1166" s="1" t="s">
        <v>5614</v>
      </c>
      <c r="AV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W1166" s="1" t="s">
        <v>5615</v>
      </c>
      <c r="AX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Y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2" t="s">
        <v>47</v>
      </c>
      <c r="C1167" s="1" t="s">
        <v>5617</v>
      </c>
      <c r="D1167" s="1" t="s">
        <v>5618</v>
      </c>
      <c r="E1167" s="1" t="s">
        <v>5619</v>
      </c>
      <c r="F1167" s="1" t="s">
        <v>51</v>
      </c>
      <c r="G1167" s="1">
        <v>50.0</v>
      </c>
      <c r="H1167" s="1" t="s">
        <v>52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53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54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56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57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f t="shared" si="1"/>
        <v>286</v>
      </c>
      <c r="AM1167" s="1">
        <v>50.0</v>
      </c>
      <c r="AN1167" s="1">
        <v>62.0</v>
      </c>
      <c r="AO1167" s="1">
        <v>23.0</v>
      </c>
      <c r="AP1167" s="2">
        <v>11.0</v>
      </c>
      <c r="AQ1167" s="1">
        <v>27.0</v>
      </c>
      <c r="AR1167" s="1">
        <v>27.0</v>
      </c>
      <c r="AS1167" s="1" t="s">
        <v>2029</v>
      </c>
      <c r="AT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U1167" s="1" t="s">
        <v>5620</v>
      </c>
      <c r="AV1167" s="3" t="str">
        <f>HYPERLINK("https://icf.clappia.com/app/GMB253374/submission/QMK55470160/ICF247370-GMB253374-1ba3k6h0glomc0000000/SIG-20250630_100181i42.jpeg", "SIG-20250630_100181i42.jpeg")</f>
        <v>SIG-20250630_100181i42.jpeg</v>
      </c>
      <c r="AW1167" s="1" t="s">
        <v>4670</v>
      </c>
      <c r="AX1167" s="3" t="str">
        <f>HYPERLINK("https://icf.clappia.com/app/GMB253374/submission/QMK55470160/ICF247370-GMB253374-4mknhdp0ff9200000000/SIG-20250630_1003b6756.jpeg", "SIG-20250630_1003b6756.jpeg")</f>
        <v>SIG-20250630_1003b6756.jpeg</v>
      </c>
      <c r="AY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2" t="s">
        <v>47</v>
      </c>
      <c r="C1168" s="1" t="s">
        <v>5622</v>
      </c>
      <c r="D1168" s="1" t="s">
        <v>5623</v>
      </c>
      <c r="E1168" s="1" t="s">
        <v>5624</v>
      </c>
      <c r="F1168" s="1" t="s">
        <v>51</v>
      </c>
      <c r="G1168" s="1">
        <v>223.0</v>
      </c>
      <c r="H1168" s="1" t="s">
        <v>52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53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54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56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57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f t="shared" si="1"/>
        <v>223</v>
      </c>
      <c r="AM1168" s="1">
        <v>223.0</v>
      </c>
      <c r="AN1168" s="1">
        <v>235.0</v>
      </c>
      <c r="AO1168" s="1">
        <v>217.0</v>
      </c>
      <c r="AP1168" s="2">
        <v>11.0</v>
      </c>
      <c r="AQ1168" s="1">
        <v>6.0</v>
      </c>
      <c r="AR1168" s="1">
        <v>6.0</v>
      </c>
      <c r="AS1168" s="1" t="s">
        <v>5625</v>
      </c>
      <c r="AT1168" s="3" t="str">
        <f>HYPERLINK("https://icf.clappia.com/app/GMB253374/submission/BVK64399603/ICF247370-GMB253374-m3i8cehodbpi0000000/SIG-20250630_10214fe7j.jpeg", "SIG-20250630_10214fe7j.jpeg")</f>
        <v>SIG-20250630_10214fe7j.jpeg</v>
      </c>
      <c r="AU1168" s="1" t="s">
        <v>5626</v>
      </c>
      <c r="AV1168" s="3" t="str">
        <f>HYPERLINK("https://icf.clappia.com/app/GMB253374/submission/BVK64399603/ICF247370-GMB253374-54ohg9i8dmm000000000/SIG-20250630_1023n6ncj.jpeg", "SIG-20250630_1023n6ncj.jpeg")</f>
        <v>SIG-20250630_1023n6ncj.jpeg</v>
      </c>
      <c r="AW1168" s="1" t="s">
        <v>5627</v>
      </c>
      <c r="AX1168" s="3" t="str">
        <f>HYPERLINK("https://icf.clappia.com/app/GMB253374/submission/BVK64399603/ICF247370-GMB253374-5abm1ffjk8ce00000000/SIG-20250630_1024p4dkm.jpeg", "SIG-20250630_1024p4dkm.jpeg")</f>
        <v>SIG-20250630_1024p4dkm.jpeg</v>
      </c>
      <c r="AY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2" t="s">
        <v>47</v>
      </c>
      <c r="C1169" s="1" t="s">
        <v>5629</v>
      </c>
      <c r="D1169" s="1" t="s">
        <v>5629</v>
      </c>
      <c r="E1169" s="1" t="s">
        <v>5630</v>
      </c>
      <c r="F1169" s="1" t="s">
        <v>51</v>
      </c>
      <c r="G1169" s="1">
        <v>300.0</v>
      </c>
      <c r="H1169" s="1" t="s">
        <v>52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53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54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56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57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f t="shared" si="1"/>
        <v>254</v>
      </c>
      <c r="AM1169" s="1">
        <v>300.0</v>
      </c>
      <c r="AN1169" s="1">
        <v>312.0</v>
      </c>
      <c r="AO1169" s="1">
        <v>251.0</v>
      </c>
      <c r="AP1169" s="2">
        <v>11.0</v>
      </c>
      <c r="AQ1169" s="1">
        <v>49.0</v>
      </c>
      <c r="AR1169" s="1">
        <v>49.0</v>
      </c>
      <c r="AS1169" s="1" t="s">
        <v>5631</v>
      </c>
      <c r="AT1169" s="3" t="str">
        <f>HYPERLINK("https://icf.clappia.com/app/GMB253374/submission/BWF12528097/ICF247370-GMB253374-118jggholce1e0000000/SIG-20250630_1013i0l99.jpeg", "SIG-20250630_1013i0l99.jpeg")</f>
        <v>SIG-20250630_1013i0l99.jpeg</v>
      </c>
      <c r="AU1169" s="1" t="s">
        <v>5632</v>
      </c>
      <c r="AV1169" s="3" t="str">
        <f>HYPERLINK("https://icf.clappia.com/app/GMB253374/submission/BWF12528097/ICF247370-GMB253374-2288ko6an8ln60000000/SIG-20250630_10149b0ge.jpeg", "SIG-20250630_10149b0ge.jpeg")</f>
        <v>SIG-20250630_10149b0ge.jpeg</v>
      </c>
      <c r="AW1169" s="1" t="s">
        <v>5633</v>
      </c>
      <c r="AX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Y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2" t="s">
        <v>47</v>
      </c>
      <c r="C1170" s="1" t="s">
        <v>5635</v>
      </c>
      <c r="D1170" s="1" t="s">
        <v>5635</v>
      </c>
      <c r="E1170" s="1" t="s">
        <v>5636</v>
      </c>
      <c r="F1170" s="1" t="s">
        <v>51</v>
      </c>
      <c r="G1170" s="1">
        <v>500.0</v>
      </c>
      <c r="H1170" s="1" t="s">
        <v>52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53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54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56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57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f t="shared" si="1"/>
        <v>350</v>
      </c>
      <c r="AM1170" s="1">
        <v>500.0</v>
      </c>
      <c r="AN1170" s="1">
        <v>512.0</v>
      </c>
      <c r="AO1170" s="1">
        <v>350.0</v>
      </c>
      <c r="AP1170" s="2">
        <v>11.0</v>
      </c>
      <c r="AQ1170" s="1">
        <v>150.0</v>
      </c>
      <c r="AR1170" s="1">
        <v>150.0</v>
      </c>
      <c r="AS1170" s="1" t="s">
        <v>5637</v>
      </c>
      <c r="AT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U1170" s="1" t="s">
        <v>5638</v>
      </c>
      <c r="AV1170" s="3" t="str">
        <f>HYPERLINK("https://icf.clappia.com/app/GMB253374/submission/OAJ85397146/ICF247370-GMB253374-ognl3c93ni7a0000000/SIG-20250630_090437d7a.jpeg", "SIG-20250630_090437d7a.jpeg")</f>
        <v>SIG-20250630_090437d7a.jpeg</v>
      </c>
      <c r="AW1170" s="1" t="s">
        <v>674</v>
      </c>
      <c r="AX1170" s="3" t="str">
        <f>HYPERLINK("https://icf.clappia.com/app/GMB253374/submission/OAJ85397146/ICF247370-GMB253374-50bb9blpkn2600000000/SIG-20250630_090629an5.jpeg", "SIG-20250630_090629an5.jpeg")</f>
        <v>SIG-20250630_090629an5.jpeg</v>
      </c>
      <c r="AY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5639</v>
      </c>
      <c r="B1171" s="2" t="s">
        <v>47</v>
      </c>
      <c r="C1171" s="7">
        <v>45841.28472222222</v>
      </c>
      <c r="D1171" s="7">
        <v>45841.28472222222</v>
      </c>
      <c r="E1171" s="4" t="s">
        <v>1970</v>
      </c>
      <c r="F1171" s="6" t="s">
        <v>51</v>
      </c>
      <c r="G1171" s="8">
        <v>115.0</v>
      </c>
      <c r="H1171" s="6" t="s">
        <v>52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6" t="s">
        <v>53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6" t="s">
        <v>54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6" t="s">
        <v>56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6" t="s">
        <v>57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1">
        <f t="shared" si="1"/>
        <v>105</v>
      </c>
      <c r="AM1171" s="8">
        <v>115.0</v>
      </c>
      <c r="AN1171" s="9">
        <v>127.0</v>
      </c>
      <c r="AO1171" s="8">
        <v>105.0</v>
      </c>
      <c r="AP1171" s="2">
        <v>11.0</v>
      </c>
      <c r="AQ1171" s="1">
        <v>10.0</v>
      </c>
      <c r="AR1171" s="10">
        <v>10.0</v>
      </c>
      <c r="AS1171" s="6" t="s">
        <v>4652</v>
      </c>
      <c r="AT1171" s="6" t="s">
        <v>5640</v>
      </c>
      <c r="AU1171" s="6" t="s">
        <v>5101</v>
      </c>
      <c r="AV1171" s="6" t="s">
        <v>5641</v>
      </c>
      <c r="AW1171" s="6" t="s">
        <v>5102</v>
      </c>
      <c r="AX1171" s="6" t="s">
        <v>5642</v>
      </c>
      <c r="AY1171" s="6" t="s">
        <v>5643</v>
      </c>
    </row>
    <row r="1172" ht="15.75" customHeight="1">
      <c r="A1172" s="6" t="s">
        <v>5644</v>
      </c>
      <c r="B1172" s="2" t="s">
        <v>47</v>
      </c>
      <c r="C1172" s="7">
        <v>45841.25277777778</v>
      </c>
      <c r="D1172" s="7">
        <v>45841.25277777778</v>
      </c>
      <c r="E1172" s="4" t="s">
        <v>2343</v>
      </c>
      <c r="F1172" s="6" t="s">
        <v>72</v>
      </c>
      <c r="G1172" s="8">
        <v>120.0</v>
      </c>
      <c r="H1172" s="6" t="s">
        <v>52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6" t="s">
        <v>53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6" t="s">
        <v>54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6" t="s">
        <v>56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6" t="s">
        <v>57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1">
        <f t="shared" si="1"/>
        <v>120</v>
      </c>
      <c r="AM1172" s="8">
        <v>120.0</v>
      </c>
      <c r="AN1172" s="9">
        <v>132.0</v>
      </c>
      <c r="AO1172" s="8">
        <v>119.0</v>
      </c>
      <c r="AP1172" s="2">
        <v>11.0</v>
      </c>
      <c r="AQ1172" s="1">
        <v>1.0</v>
      </c>
      <c r="AR1172" s="10">
        <v>1.0</v>
      </c>
      <c r="AS1172" s="6" t="s">
        <v>5506</v>
      </c>
      <c r="AT1172" s="6" t="s">
        <v>5645</v>
      </c>
      <c r="AU1172" s="6" t="s">
        <v>5504</v>
      </c>
      <c r="AV1172" s="6" t="s">
        <v>5646</v>
      </c>
      <c r="AW1172" s="6" t="s">
        <v>5647</v>
      </c>
      <c r="AX1172" s="6" t="s">
        <v>5648</v>
      </c>
      <c r="AY1172" s="6" t="s">
        <v>5649</v>
      </c>
    </row>
    <row r="1173" ht="15.75" customHeight="1">
      <c r="A1173" s="6" t="s">
        <v>5650</v>
      </c>
      <c r="B1173" s="2" t="s">
        <v>47</v>
      </c>
      <c r="C1173" s="7">
        <v>45841.22777777778</v>
      </c>
      <c r="D1173" s="7">
        <v>45841.22777777778</v>
      </c>
      <c r="E1173" s="4" t="s">
        <v>2230</v>
      </c>
      <c r="F1173" s="6" t="s">
        <v>51</v>
      </c>
      <c r="G1173" s="8">
        <v>280.0</v>
      </c>
      <c r="H1173" s="6" t="s">
        <v>52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6" t="s">
        <v>53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6" t="s">
        <v>54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6" t="s">
        <v>56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6" t="s">
        <v>57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1">
        <f t="shared" si="1"/>
        <v>270</v>
      </c>
      <c r="AM1173" s="8">
        <v>280.0</v>
      </c>
      <c r="AN1173" s="9">
        <v>292.0</v>
      </c>
      <c r="AO1173" s="8">
        <v>270.0</v>
      </c>
      <c r="AP1173" s="2">
        <v>11.0</v>
      </c>
      <c r="AQ1173" s="1">
        <v>10.0</v>
      </c>
      <c r="AR1173" s="10">
        <v>10.0</v>
      </c>
      <c r="AS1173" s="6" t="s">
        <v>4652</v>
      </c>
      <c r="AT1173" s="6" t="s">
        <v>5651</v>
      </c>
      <c r="AU1173" s="6" t="s">
        <v>5101</v>
      </c>
      <c r="AV1173" s="6" t="s">
        <v>5652</v>
      </c>
      <c r="AW1173" s="6" t="s">
        <v>5102</v>
      </c>
      <c r="AX1173" s="6" t="s">
        <v>5653</v>
      </c>
      <c r="AY1173" s="6" t="s">
        <v>5654</v>
      </c>
    </row>
    <row r="1174" ht="15.75" customHeight="1">
      <c r="A1174" s="6" t="s">
        <v>5655</v>
      </c>
      <c r="B1174" s="2" t="s">
        <v>47</v>
      </c>
      <c r="C1174" s="7">
        <v>45840.32777777778</v>
      </c>
      <c r="D1174" s="7">
        <v>45840.32777777778</v>
      </c>
      <c r="E1174" s="4" t="s">
        <v>3492</v>
      </c>
      <c r="F1174" s="6" t="s">
        <v>72</v>
      </c>
      <c r="G1174" s="8">
        <v>156.0</v>
      </c>
      <c r="H1174" s="6" t="s">
        <v>52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6" t="s">
        <v>53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6" t="s">
        <v>54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6" t="s">
        <v>56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6" t="s">
        <v>57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1">
        <f t="shared" si="1"/>
        <v>156</v>
      </c>
      <c r="AM1174" s="8">
        <v>156.0</v>
      </c>
      <c r="AN1174" s="9">
        <v>168.0</v>
      </c>
      <c r="AO1174" s="8">
        <v>156.0</v>
      </c>
      <c r="AP1174" s="2">
        <v>11.0</v>
      </c>
      <c r="AQ1174" s="1">
        <v>0.0</v>
      </c>
      <c r="AR1174" s="10">
        <v>0.0</v>
      </c>
      <c r="AS1174" s="6" t="s">
        <v>5506</v>
      </c>
      <c r="AT1174" s="6" t="s">
        <v>5656</v>
      </c>
      <c r="AU1174" s="6" t="s">
        <v>5504</v>
      </c>
      <c r="AV1174" s="6" t="s">
        <v>5657</v>
      </c>
      <c r="AW1174" s="6" t="s">
        <v>5647</v>
      </c>
      <c r="AX1174" s="6" t="s">
        <v>5658</v>
      </c>
      <c r="AY1174" s="6" t="s">
        <v>5659</v>
      </c>
    </row>
    <row r="1175" ht="15.75" customHeight="1">
      <c r="I1175" s="1"/>
      <c r="K1175" s="1"/>
      <c r="M1175" s="1"/>
      <c r="Q1175" s="1"/>
      <c r="S1175" s="1"/>
    </row>
    <row r="1176" ht="15.75" customHeight="1">
      <c r="I1176" s="1"/>
      <c r="K1176" s="1"/>
      <c r="M1176" s="1"/>
      <c r="Q1176" s="1"/>
      <c r="S1176" s="1"/>
    </row>
    <row r="1177" ht="15.75" customHeight="1">
      <c r="I1177" s="1"/>
      <c r="K1177" s="1"/>
      <c r="M1177" s="1"/>
      <c r="Q1177" s="1"/>
      <c r="S1177" s="1"/>
    </row>
    <row r="1178" ht="15.75" customHeight="1">
      <c r="I1178" s="1"/>
      <c r="K1178" s="1"/>
      <c r="M1178" s="1"/>
      <c r="Q1178" s="1"/>
      <c r="S1178" s="1"/>
    </row>
    <row r="1179" ht="15.75" customHeight="1">
      <c r="I1179" s="1"/>
      <c r="K1179" s="1"/>
      <c r="M1179" s="1"/>
      <c r="Q1179" s="1"/>
      <c r="S1179" s="1"/>
    </row>
    <row r="1180" ht="15.75" customHeight="1">
      <c r="I1180" s="1"/>
      <c r="K1180" s="1"/>
      <c r="M1180" s="1"/>
      <c r="Q1180" s="1"/>
      <c r="S1180" s="1"/>
    </row>
    <row r="1181" ht="15.75" customHeight="1">
      <c r="I1181" s="1"/>
      <c r="K1181" s="1"/>
      <c r="M1181" s="1"/>
      <c r="Q1181" s="1"/>
      <c r="S1181" s="1"/>
    </row>
    <row r="1182" ht="15.75" customHeight="1">
      <c r="I1182" s="1"/>
      <c r="K1182" s="1"/>
      <c r="M1182" s="1"/>
      <c r="Q1182" s="1"/>
      <c r="S1182" s="1"/>
    </row>
    <row r="1183" ht="15.75" customHeight="1">
      <c r="I1183" s="1"/>
      <c r="K1183" s="1"/>
      <c r="M1183" s="1"/>
      <c r="Q1183" s="1"/>
      <c r="S1183" s="1"/>
    </row>
    <row r="1184" ht="15.75" customHeight="1">
      <c r="I1184" s="1"/>
      <c r="K1184" s="1"/>
      <c r="M1184" s="1"/>
      <c r="Q1184" s="1"/>
      <c r="S1184" s="1"/>
    </row>
    <row r="1185" ht="15.75" customHeight="1">
      <c r="I1185" s="1"/>
      <c r="K1185" s="1"/>
      <c r="M1185" s="1"/>
      <c r="Q1185" s="1"/>
      <c r="S1185" s="1"/>
    </row>
    <row r="1186" ht="15.75" customHeight="1">
      <c r="I1186" s="1"/>
      <c r="K1186" s="1"/>
      <c r="M1186" s="1"/>
      <c r="Q1186" s="1"/>
      <c r="S1186" s="1"/>
    </row>
    <row r="1187" ht="15.75" customHeight="1">
      <c r="I1187" s="1"/>
      <c r="K1187" s="1"/>
      <c r="M1187" s="1"/>
      <c r="Q1187" s="1"/>
      <c r="S1187" s="1"/>
    </row>
    <row r="1188" ht="15.75" customHeight="1">
      <c r="I1188" s="1"/>
      <c r="K1188" s="1"/>
      <c r="M1188" s="1"/>
      <c r="Q1188" s="1"/>
      <c r="S1188" s="1"/>
    </row>
    <row r="1189" ht="15.75" customHeight="1">
      <c r="I1189" s="1"/>
      <c r="K1189" s="1"/>
      <c r="M1189" s="1"/>
      <c r="Q1189" s="1"/>
      <c r="S1189" s="1"/>
    </row>
    <row r="1190" ht="15.75" customHeight="1">
      <c r="I1190" s="1"/>
      <c r="K1190" s="1"/>
      <c r="M1190" s="1"/>
      <c r="Q1190" s="1"/>
      <c r="S1190" s="1"/>
    </row>
    <row r="1191" ht="15.75" customHeight="1">
      <c r="I1191" s="1"/>
      <c r="K1191" s="1"/>
      <c r="M1191" s="1"/>
      <c r="Q1191" s="1"/>
      <c r="S1191" s="1"/>
    </row>
    <row r="1192" ht="15.75" customHeight="1">
      <c r="I1192" s="1"/>
      <c r="K1192" s="1"/>
      <c r="M1192" s="1"/>
      <c r="Q1192" s="1"/>
      <c r="S1192" s="1"/>
    </row>
    <row r="1193" ht="15.75" customHeight="1">
      <c r="I1193" s="1"/>
      <c r="K1193" s="1"/>
      <c r="M1193" s="1"/>
      <c r="Q1193" s="1"/>
      <c r="S1193" s="1"/>
    </row>
    <row r="1194" ht="15.75" customHeight="1">
      <c r="I1194" s="1"/>
      <c r="K1194" s="1"/>
      <c r="M1194" s="1"/>
      <c r="Q1194" s="1"/>
      <c r="S1194" s="1"/>
    </row>
    <row r="1195" ht="15.75" customHeight="1">
      <c r="I1195" s="1"/>
      <c r="K1195" s="1"/>
      <c r="M1195" s="1"/>
      <c r="Q1195" s="1"/>
      <c r="S1195" s="1"/>
    </row>
    <row r="1196" ht="15.75" customHeight="1">
      <c r="I1196" s="1"/>
      <c r="K1196" s="1"/>
      <c r="M1196" s="1"/>
      <c r="Q1196" s="1"/>
      <c r="S1196" s="1"/>
    </row>
    <row r="1197" ht="15.75" customHeight="1">
      <c r="I1197" s="1"/>
      <c r="K1197" s="1"/>
      <c r="M1197" s="1"/>
      <c r="Q1197" s="1"/>
      <c r="S1197" s="1"/>
    </row>
    <row r="1198" ht="15.75" customHeight="1">
      <c r="I1198" s="1"/>
      <c r="K1198" s="1"/>
      <c r="M1198" s="1"/>
      <c r="Q1198" s="1"/>
      <c r="S1198" s="1"/>
    </row>
    <row r="1199" ht="15.75" customHeight="1">
      <c r="I1199" s="1"/>
      <c r="K1199" s="1"/>
      <c r="M1199" s="1"/>
      <c r="Q1199" s="1"/>
      <c r="S1199" s="1"/>
    </row>
    <row r="1200" ht="15.75" customHeight="1">
      <c r="I1200" s="1"/>
      <c r="K1200" s="1"/>
      <c r="M1200" s="1"/>
      <c r="Q1200" s="1"/>
      <c r="S1200" s="1"/>
    </row>
    <row r="1201" ht="15.75" customHeight="1">
      <c r="I1201" s="1"/>
      <c r="K1201" s="1"/>
      <c r="M1201" s="1"/>
      <c r="Q1201" s="1"/>
      <c r="S1201" s="1"/>
    </row>
    <row r="1202" ht="15.75" customHeight="1">
      <c r="I1202" s="1"/>
      <c r="K1202" s="1"/>
      <c r="M1202" s="1"/>
      <c r="Q1202" s="1"/>
      <c r="S1202" s="1"/>
    </row>
    <row r="1203" ht="15.75" customHeight="1">
      <c r="I1203" s="1"/>
      <c r="K1203" s="1"/>
      <c r="M1203" s="1"/>
      <c r="Q1203" s="1"/>
      <c r="S1203" s="1"/>
    </row>
    <row r="1204" ht="15.75" customHeight="1">
      <c r="I1204" s="1"/>
      <c r="K1204" s="1"/>
      <c r="M1204" s="1"/>
      <c r="Q1204" s="1"/>
      <c r="S1204" s="1"/>
    </row>
    <row r="1205" ht="15.75" customHeight="1">
      <c r="I1205" s="1"/>
      <c r="K1205" s="1"/>
      <c r="M1205" s="1"/>
      <c r="Q1205" s="1"/>
      <c r="S1205" s="1"/>
    </row>
    <row r="1206" ht="15.75" customHeight="1">
      <c r="I1206" s="1"/>
      <c r="K1206" s="1"/>
      <c r="M1206" s="1"/>
      <c r="Q1206" s="1"/>
      <c r="S1206" s="1"/>
    </row>
    <row r="1207" ht="15.75" customHeight="1">
      <c r="I1207" s="1"/>
      <c r="K1207" s="1"/>
      <c r="M1207" s="1"/>
      <c r="Q1207" s="1"/>
      <c r="S1207" s="1"/>
    </row>
    <row r="1208" ht="15.75" customHeight="1">
      <c r="I1208" s="1"/>
      <c r="K1208" s="1"/>
      <c r="M1208" s="1"/>
      <c r="Q1208" s="1"/>
      <c r="S1208" s="1"/>
    </row>
    <row r="1209" ht="15.75" customHeight="1">
      <c r="I1209" s="1"/>
      <c r="K1209" s="1"/>
      <c r="M1209" s="1"/>
      <c r="Q1209" s="1"/>
      <c r="S1209" s="1"/>
    </row>
    <row r="1210" ht="15.75" customHeight="1">
      <c r="I1210" s="1"/>
      <c r="K1210" s="1"/>
      <c r="M1210" s="1"/>
      <c r="Q1210" s="1"/>
      <c r="S1210" s="1"/>
    </row>
    <row r="1211" ht="15.75" customHeight="1">
      <c r="I1211" s="1"/>
      <c r="K1211" s="1"/>
      <c r="M1211" s="1"/>
      <c r="Q1211" s="1"/>
      <c r="S1211" s="1"/>
    </row>
    <row r="1212" ht="15.75" customHeight="1">
      <c r="I1212" s="1"/>
      <c r="K1212" s="1"/>
      <c r="M1212" s="1"/>
      <c r="Q1212" s="1"/>
      <c r="S1212" s="1"/>
    </row>
    <row r="1213" ht="15.75" customHeight="1">
      <c r="I1213" s="1"/>
      <c r="K1213" s="1"/>
      <c r="M1213" s="1"/>
      <c r="Q1213" s="1"/>
      <c r="S1213" s="1"/>
    </row>
    <row r="1214" ht="15.75" customHeight="1">
      <c r="I1214" s="1"/>
      <c r="K1214" s="1"/>
      <c r="M1214" s="1"/>
      <c r="Q1214" s="1"/>
      <c r="S1214" s="1"/>
    </row>
    <row r="1215" ht="15.75" customHeight="1">
      <c r="I1215" s="1"/>
      <c r="K1215" s="1"/>
      <c r="M1215" s="1"/>
      <c r="Q1215" s="1"/>
      <c r="S1215" s="1"/>
    </row>
    <row r="1216" ht="15.75" customHeight="1">
      <c r="I1216" s="1"/>
      <c r="K1216" s="1"/>
      <c r="M1216" s="1"/>
      <c r="Q1216" s="1"/>
      <c r="S1216" s="1"/>
    </row>
    <row r="1217" ht="15.75" customHeight="1">
      <c r="I1217" s="1"/>
      <c r="K1217" s="1"/>
      <c r="M1217" s="1"/>
      <c r="Q1217" s="1"/>
      <c r="S1217" s="1"/>
    </row>
    <row r="1218" ht="15.75" customHeight="1">
      <c r="I1218" s="1"/>
      <c r="K1218" s="1"/>
      <c r="M1218" s="1"/>
      <c r="Q1218" s="1"/>
      <c r="S1218" s="1"/>
    </row>
    <row r="1219" ht="15.75" customHeight="1">
      <c r="I1219" s="1"/>
      <c r="K1219" s="1"/>
      <c r="M1219" s="1"/>
      <c r="Q1219" s="1"/>
      <c r="S1219" s="1"/>
    </row>
    <row r="1220" ht="15.75" customHeight="1">
      <c r="I1220" s="1"/>
      <c r="K1220" s="1"/>
      <c r="M1220" s="1"/>
      <c r="Q1220" s="1"/>
      <c r="S1220" s="1"/>
    </row>
    <row r="1221" ht="15.75" customHeight="1">
      <c r="I1221" s="1"/>
      <c r="K1221" s="1"/>
      <c r="M1221" s="1"/>
      <c r="Q1221" s="1"/>
      <c r="S1221" s="1"/>
    </row>
    <row r="1222" ht="15.75" customHeight="1">
      <c r="I1222" s="1"/>
      <c r="K1222" s="1"/>
      <c r="M1222" s="1"/>
      <c r="Q1222" s="1"/>
      <c r="S1222" s="1"/>
    </row>
    <row r="1223" ht="15.75" customHeight="1">
      <c r="I1223" s="1"/>
      <c r="K1223" s="1"/>
      <c r="M1223" s="1"/>
      <c r="Q1223" s="1"/>
      <c r="S1223" s="1"/>
    </row>
    <row r="1224" ht="15.75" customHeight="1">
      <c r="I1224" s="1"/>
      <c r="K1224" s="1"/>
      <c r="M1224" s="1"/>
      <c r="Q1224" s="1"/>
      <c r="S1224" s="1"/>
    </row>
    <row r="1225" ht="15.75" customHeight="1">
      <c r="I1225" s="1"/>
      <c r="K1225" s="1"/>
      <c r="M1225" s="1"/>
      <c r="Q1225" s="1"/>
      <c r="S1225" s="1"/>
    </row>
    <row r="1226" ht="15.75" customHeight="1">
      <c r="I1226" s="1"/>
      <c r="K1226" s="1"/>
      <c r="M1226" s="1"/>
      <c r="Q1226" s="1"/>
      <c r="S1226" s="1"/>
    </row>
    <row r="1227" ht="15.75" customHeight="1">
      <c r="I1227" s="1"/>
      <c r="K1227" s="1"/>
      <c r="M1227" s="1"/>
      <c r="Q1227" s="1"/>
      <c r="S1227" s="1"/>
    </row>
    <row r="1228" ht="15.75" customHeight="1">
      <c r="I1228" s="1"/>
      <c r="K1228" s="1"/>
      <c r="M1228" s="1"/>
      <c r="Q1228" s="1"/>
      <c r="S1228" s="1"/>
    </row>
    <row r="1229" ht="15.75" customHeight="1">
      <c r="I1229" s="1"/>
      <c r="K1229" s="1"/>
      <c r="M1229" s="1"/>
      <c r="Q1229" s="1"/>
      <c r="S1229" s="1"/>
    </row>
    <row r="1230" ht="15.75" customHeight="1">
      <c r="I1230" s="1"/>
      <c r="K1230" s="1"/>
      <c r="M1230" s="1"/>
      <c r="Q1230" s="1"/>
      <c r="S1230" s="1"/>
    </row>
    <row r="1231" ht="15.75" customHeight="1">
      <c r="I1231" s="1"/>
      <c r="K1231" s="1"/>
      <c r="M1231" s="1"/>
      <c r="Q1231" s="1"/>
      <c r="S1231" s="1"/>
    </row>
    <row r="1232" ht="15.75" customHeight="1">
      <c r="I1232" s="1"/>
      <c r="K1232" s="1"/>
      <c r="M1232" s="1"/>
      <c r="Q1232" s="1"/>
      <c r="S1232" s="1"/>
    </row>
    <row r="1233" ht="15.75" customHeight="1">
      <c r="I1233" s="1"/>
      <c r="K1233" s="1"/>
      <c r="M1233" s="1"/>
      <c r="Q1233" s="1"/>
      <c r="S1233" s="1"/>
    </row>
    <row r="1234" ht="15.75" customHeight="1">
      <c r="I1234" s="1"/>
      <c r="K1234" s="1"/>
      <c r="M1234" s="1"/>
      <c r="Q1234" s="1"/>
      <c r="S1234" s="1"/>
    </row>
    <row r="1235" ht="15.75" customHeight="1">
      <c r="I1235" s="1"/>
      <c r="K1235" s="1"/>
      <c r="M1235" s="1"/>
      <c r="Q1235" s="1"/>
      <c r="S1235" s="1"/>
    </row>
    <row r="1236" ht="15.75" customHeight="1">
      <c r="I1236" s="1"/>
      <c r="K1236" s="1"/>
      <c r="M1236" s="1"/>
      <c r="Q1236" s="1"/>
      <c r="S1236" s="1"/>
    </row>
    <row r="1237" ht="15.75" customHeight="1">
      <c r="I1237" s="1"/>
      <c r="K1237" s="1"/>
      <c r="M1237" s="1"/>
      <c r="Q1237" s="1"/>
      <c r="S1237" s="1"/>
    </row>
    <row r="1238" ht="15.75" customHeight="1">
      <c r="I1238" s="1"/>
      <c r="K1238" s="1"/>
      <c r="M1238" s="1"/>
      <c r="Q1238" s="1"/>
      <c r="S1238" s="1"/>
    </row>
    <row r="1239" ht="15.75" customHeight="1">
      <c r="I1239" s="1"/>
      <c r="K1239" s="1"/>
      <c r="M1239" s="1"/>
      <c r="Q1239" s="1"/>
      <c r="S1239" s="1"/>
    </row>
    <row r="1240" ht="15.75" customHeight="1">
      <c r="I1240" s="1"/>
      <c r="K1240" s="1"/>
      <c r="M1240" s="1"/>
      <c r="Q1240" s="1"/>
      <c r="S1240" s="1"/>
    </row>
    <row r="1241" ht="15.75" customHeight="1">
      <c r="I1241" s="1"/>
      <c r="K1241" s="1"/>
      <c r="M1241" s="1"/>
      <c r="Q1241" s="1"/>
      <c r="S1241" s="1"/>
    </row>
    <row r="1242" ht="15.75" customHeight="1">
      <c r="I1242" s="1"/>
      <c r="K1242" s="1"/>
      <c r="M1242" s="1"/>
      <c r="Q1242" s="1"/>
      <c r="S1242" s="1"/>
    </row>
    <row r="1243" ht="15.75" customHeight="1">
      <c r="I1243" s="1"/>
      <c r="K1243" s="1"/>
      <c r="M1243" s="1"/>
      <c r="Q1243" s="1"/>
      <c r="S1243" s="1"/>
    </row>
    <row r="1244" ht="15.75" customHeight="1">
      <c r="I1244" s="1"/>
      <c r="K1244" s="1"/>
      <c r="M1244" s="1"/>
      <c r="Q1244" s="1"/>
      <c r="S1244" s="1"/>
    </row>
    <row r="1245" ht="15.75" customHeight="1">
      <c r="I1245" s="1"/>
      <c r="K1245" s="1"/>
      <c r="M1245" s="1"/>
      <c r="Q1245" s="1"/>
      <c r="S1245" s="1"/>
    </row>
    <row r="1246" ht="15.75" customHeight="1">
      <c r="I1246" s="1"/>
      <c r="K1246" s="1"/>
      <c r="M1246" s="1"/>
      <c r="Q1246" s="1"/>
      <c r="S1246" s="1"/>
    </row>
    <row r="1247" ht="15.75" customHeight="1">
      <c r="I1247" s="1"/>
      <c r="K1247" s="1"/>
      <c r="M1247" s="1"/>
      <c r="Q1247" s="1"/>
      <c r="S1247" s="1"/>
    </row>
    <row r="1248" ht="15.75" customHeight="1">
      <c r="I1248" s="1"/>
      <c r="K1248" s="1"/>
      <c r="M1248" s="1"/>
      <c r="Q1248" s="1"/>
      <c r="S1248" s="1"/>
    </row>
    <row r="1249" ht="15.75" customHeight="1">
      <c r="I1249" s="1"/>
      <c r="K1249" s="1"/>
      <c r="M1249" s="1"/>
      <c r="Q1249" s="1"/>
      <c r="S1249" s="1"/>
    </row>
    <row r="1250" ht="15.75" customHeight="1">
      <c r="I1250" s="1"/>
      <c r="K1250" s="1"/>
      <c r="M1250" s="1"/>
      <c r="Q1250" s="1"/>
      <c r="S1250" s="1"/>
    </row>
    <row r="1251" ht="15.75" customHeight="1">
      <c r="I1251" s="1"/>
      <c r="K1251" s="1"/>
      <c r="M1251" s="1"/>
      <c r="Q1251" s="1"/>
      <c r="S1251" s="1"/>
    </row>
    <row r="1252" ht="15.75" customHeight="1">
      <c r="I1252" s="1"/>
      <c r="K1252" s="1"/>
      <c r="M1252" s="1"/>
      <c r="Q1252" s="1"/>
      <c r="S1252" s="1"/>
    </row>
    <row r="1253" ht="15.75" customHeight="1">
      <c r="I1253" s="1"/>
      <c r="K1253" s="1"/>
      <c r="M1253" s="1"/>
      <c r="Q1253" s="1"/>
      <c r="S1253" s="1"/>
    </row>
    <row r="1254" ht="15.75" customHeight="1">
      <c r="I1254" s="1"/>
      <c r="K1254" s="1"/>
      <c r="M1254" s="1"/>
      <c r="Q1254" s="1"/>
      <c r="S1254" s="1"/>
    </row>
    <row r="1255" ht="15.75" customHeight="1">
      <c r="I1255" s="1"/>
      <c r="K1255" s="1"/>
      <c r="M1255" s="1"/>
      <c r="Q1255" s="1"/>
      <c r="S1255" s="1"/>
    </row>
    <row r="1256" ht="15.75" customHeight="1">
      <c r="I1256" s="1"/>
      <c r="K1256" s="1"/>
      <c r="M1256" s="1"/>
      <c r="Q1256" s="1"/>
      <c r="S1256" s="1"/>
    </row>
    <row r="1257" ht="15.75" customHeight="1">
      <c r="I1257" s="1"/>
      <c r="K1257" s="1"/>
      <c r="M1257" s="1"/>
      <c r="Q1257" s="1"/>
      <c r="S1257" s="1"/>
    </row>
    <row r="1258" ht="15.75" customHeight="1">
      <c r="I1258" s="1"/>
      <c r="K1258" s="1"/>
      <c r="M1258" s="1"/>
      <c r="Q1258" s="1"/>
      <c r="S1258" s="1"/>
    </row>
    <row r="1259" ht="15.75" customHeight="1">
      <c r="I1259" s="1"/>
      <c r="K1259" s="1"/>
      <c r="M1259" s="1"/>
      <c r="Q1259" s="1"/>
      <c r="S1259" s="1"/>
    </row>
    <row r="1260" ht="15.75" customHeight="1">
      <c r="I1260" s="1"/>
      <c r="K1260" s="1"/>
      <c r="M1260" s="1"/>
      <c r="Q1260" s="1"/>
      <c r="S1260" s="1"/>
    </row>
    <row r="1261" ht="15.75" customHeight="1">
      <c r="I1261" s="1"/>
      <c r="K1261" s="1"/>
      <c r="M1261" s="1"/>
      <c r="Q1261" s="1"/>
      <c r="S1261" s="1"/>
    </row>
    <row r="1262" ht="15.75" customHeight="1">
      <c r="I1262" s="1"/>
      <c r="K1262" s="1"/>
      <c r="M1262" s="1"/>
      <c r="Q1262" s="1"/>
      <c r="S1262" s="1"/>
    </row>
    <row r="1263" ht="15.75" customHeight="1">
      <c r="I1263" s="1"/>
      <c r="K1263" s="1"/>
      <c r="M1263" s="1"/>
      <c r="Q1263" s="1"/>
      <c r="S1263" s="1"/>
    </row>
    <row r="1264" ht="15.75" customHeight="1">
      <c r="I1264" s="1"/>
      <c r="K1264" s="1"/>
      <c r="M1264" s="1"/>
      <c r="Q1264" s="1"/>
      <c r="S1264" s="1"/>
    </row>
    <row r="1265" ht="15.75" customHeight="1">
      <c r="I1265" s="1"/>
      <c r="K1265" s="1"/>
      <c r="M1265" s="1"/>
      <c r="Q1265" s="1"/>
      <c r="S1265" s="1"/>
    </row>
    <row r="1266" ht="15.75" customHeight="1">
      <c r="I1266" s="1"/>
      <c r="K1266" s="1"/>
      <c r="M1266" s="1"/>
      <c r="Q1266" s="1"/>
      <c r="S1266" s="1"/>
    </row>
    <row r="1267" ht="15.75" customHeight="1">
      <c r="I1267" s="1"/>
      <c r="K1267" s="1"/>
      <c r="M1267" s="1"/>
      <c r="Q1267" s="1"/>
      <c r="S1267" s="1"/>
    </row>
    <row r="1268" ht="15.75" customHeight="1">
      <c r="I1268" s="1"/>
      <c r="K1268" s="1"/>
      <c r="M1268" s="1"/>
      <c r="Q1268" s="1"/>
      <c r="S1268" s="1"/>
    </row>
    <row r="1269" ht="15.75" customHeight="1">
      <c r="I1269" s="1"/>
      <c r="K1269" s="1"/>
      <c r="M1269" s="1"/>
      <c r="Q1269" s="1"/>
      <c r="S1269" s="1"/>
    </row>
    <row r="1270" ht="15.75" customHeight="1">
      <c r="I1270" s="1"/>
      <c r="K1270" s="1"/>
      <c r="M1270" s="1"/>
      <c r="Q1270" s="1"/>
      <c r="S1270" s="1"/>
    </row>
    <row r="1271" ht="15.75" customHeight="1">
      <c r="I1271" s="1"/>
      <c r="K1271" s="1"/>
      <c r="M1271" s="1"/>
      <c r="Q1271" s="1"/>
      <c r="S1271" s="1"/>
    </row>
    <row r="1272" ht="15.75" customHeight="1">
      <c r="I1272" s="1"/>
      <c r="K1272" s="1"/>
      <c r="M1272" s="1"/>
      <c r="Q1272" s="1"/>
      <c r="S1272" s="1"/>
    </row>
    <row r="1273" ht="15.75" customHeight="1">
      <c r="I1273" s="1"/>
      <c r="K1273" s="1"/>
      <c r="M1273" s="1"/>
      <c r="Q1273" s="1"/>
      <c r="S1273" s="1"/>
    </row>
    <row r="1274" ht="15.75" customHeight="1">
      <c r="I1274" s="1"/>
      <c r="K1274" s="1"/>
      <c r="M1274" s="1"/>
      <c r="Q1274" s="1"/>
      <c r="S1274" s="1"/>
    </row>
    <row r="1275" ht="15.75" customHeight="1">
      <c r="I1275" s="1"/>
      <c r="K1275" s="1"/>
      <c r="M1275" s="1"/>
      <c r="Q1275" s="1"/>
      <c r="S1275" s="1"/>
    </row>
    <row r="1276" ht="15.75" customHeight="1">
      <c r="I1276" s="1"/>
      <c r="K1276" s="1"/>
      <c r="M1276" s="1"/>
      <c r="Q1276" s="1"/>
      <c r="S1276" s="1"/>
    </row>
    <row r="1277" ht="15.75" customHeight="1">
      <c r="I1277" s="1"/>
      <c r="K1277" s="1"/>
      <c r="M1277" s="1"/>
      <c r="Q1277" s="1"/>
      <c r="S1277" s="1"/>
    </row>
    <row r="1278" ht="15.75" customHeight="1">
      <c r="I1278" s="1"/>
      <c r="K1278" s="1"/>
      <c r="M1278" s="1"/>
      <c r="Q1278" s="1"/>
      <c r="S1278" s="1"/>
    </row>
    <row r="1279" ht="15.75" customHeight="1">
      <c r="I1279" s="1"/>
      <c r="K1279" s="1"/>
      <c r="M1279" s="1"/>
      <c r="Q1279" s="1"/>
      <c r="S1279" s="1"/>
    </row>
    <row r="1280" ht="15.75" customHeight="1">
      <c r="I1280" s="1"/>
      <c r="K1280" s="1"/>
      <c r="M1280" s="1"/>
      <c r="Q1280" s="1"/>
      <c r="S1280" s="1"/>
    </row>
    <row r="1281" ht="15.75" customHeight="1">
      <c r="I1281" s="1"/>
      <c r="K1281" s="1"/>
      <c r="M1281" s="1"/>
      <c r="Q1281" s="1"/>
      <c r="S1281" s="1"/>
    </row>
    <row r="1282" ht="15.75" customHeight="1">
      <c r="I1282" s="1"/>
      <c r="K1282" s="1"/>
      <c r="M1282" s="1"/>
      <c r="Q1282" s="1"/>
      <c r="S1282" s="1"/>
    </row>
    <row r="1283" ht="15.75" customHeight="1">
      <c r="I1283" s="1"/>
      <c r="K1283" s="1"/>
      <c r="M1283" s="1"/>
      <c r="Q1283" s="1"/>
      <c r="S1283" s="1"/>
    </row>
    <row r="1284" ht="15.75" customHeight="1">
      <c r="I1284" s="1"/>
      <c r="K1284" s="1"/>
      <c r="M1284" s="1"/>
      <c r="Q1284" s="1"/>
      <c r="S1284" s="1"/>
    </row>
    <row r="1285" ht="15.75" customHeight="1">
      <c r="I1285" s="1"/>
      <c r="K1285" s="1"/>
      <c r="M1285" s="1"/>
      <c r="Q1285" s="1"/>
      <c r="S1285" s="1"/>
    </row>
    <row r="1286" ht="15.75" customHeight="1">
      <c r="I1286" s="1"/>
      <c r="K1286" s="1"/>
      <c r="M1286" s="1"/>
      <c r="Q1286" s="1"/>
      <c r="S1286" s="1"/>
    </row>
    <row r="1287" ht="15.75" customHeight="1">
      <c r="I1287" s="1"/>
      <c r="K1287" s="1"/>
      <c r="M1287" s="1"/>
      <c r="Q1287" s="1"/>
      <c r="S1287" s="1"/>
    </row>
    <row r="1288" ht="15.75" customHeight="1">
      <c r="I1288" s="1"/>
      <c r="K1288" s="1"/>
      <c r="M1288" s="1"/>
      <c r="Q1288" s="1"/>
      <c r="S1288" s="1"/>
    </row>
    <row r="1289" ht="15.75" customHeight="1">
      <c r="I1289" s="1"/>
      <c r="K1289" s="1"/>
      <c r="M1289" s="1"/>
      <c r="Q1289" s="1"/>
      <c r="S1289" s="1"/>
    </row>
    <row r="1290" ht="15.75" customHeight="1">
      <c r="I1290" s="1"/>
      <c r="K1290" s="1"/>
      <c r="M1290" s="1"/>
      <c r="Q1290" s="1"/>
      <c r="S1290" s="1"/>
    </row>
    <row r="1291" ht="15.75" customHeight="1">
      <c r="I1291" s="1"/>
      <c r="K1291" s="1"/>
      <c r="M1291" s="1"/>
      <c r="Q1291" s="1"/>
      <c r="S1291" s="1"/>
    </row>
    <row r="1292" ht="15.75" customHeight="1">
      <c r="I1292" s="1"/>
      <c r="K1292" s="1"/>
      <c r="M1292" s="1"/>
      <c r="Q1292" s="1"/>
      <c r="S1292" s="1"/>
    </row>
    <row r="1293" ht="15.75" customHeight="1">
      <c r="I1293" s="1"/>
      <c r="K1293" s="1"/>
      <c r="M1293" s="1"/>
      <c r="Q1293" s="1"/>
      <c r="S1293" s="1"/>
    </row>
    <row r="1294" ht="15.75" customHeight="1">
      <c r="I1294" s="1"/>
      <c r="K1294" s="1"/>
      <c r="M1294" s="1"/>
      <c r="Q1294" s="1"/>
      <c r="S1294" s="1"/>
    </row>
    <row r="1295" ht="15.75" customHeight="1">
      <c r="I1295" s="1"/>
      <c r="K1295" s="1"/>
      <c r="M1295" s="1"/>
      <c r="Q1295" s="1"/>
      <c r="S1295" s="1"/>
    </row>
    <row r="1296" ht="15.75" customHeight="1">
      <c r="I1296" s="1"/>
      <c r="K1296" s="1"/>
      <c r="M1296" s="1"/>
      <c r="Q1296" s="1"/>
      <c r="S1296" s="1"/>
    </row>
    <row r="1297" ht="15.75" customHeight="1">
      <c r="I1297" s="1"/>
      <c r="K1297" s="1"/>
      <c r="M1297" s="1"/>
      <c r="Q1297" s="1"/>
      <c r="S1297" s="1"/>
    </row>
    <row r="1298" ht="15.75" customHeight="1">
      <c r="I1298" s="1"/>
      <c r="K1298" s="1"/>
      <c r="M1298" s="1"/>
      <c r="Q1298" s="1"/>
      <c r="S1298" s="1"/>
    </row>
    <row r="1299" ht="15.75" customHeight="1">
      <c r="I1299" s="1"/>
      <c r="K1299" s="1"/>
      <c r="M1299" s="1"/>
      <c r="Q1299" s="1"/>
      <c r="S1299" s="1"/>
    </row>
    <row r="1300" ht="15.75" customHeight="1">
      <c r="I1300" s="1"/>
      <c r="K1300" s="1"/>
      <c r="M1300" s="1"/>
      <c r="Q1300" s="1"/>
      <c r="S1300" s="1"/>
    </row>
    <row r="1301" ht="15.75" customHeight="1">
      <c r="I1301" s="1"/>
      <c r="K1301" s="1"/>
      <c r="M1301" s="1"/>
      <c r="Q1301" s="1"/>
      <c r="S1301" s="1"/>
    </row>
    <row r="1302" ht="15.75" customHeight="1">
      <c r="I1302" s="1"/>
      <c r="K1302" s="1"/>
      <c r="M1302" s="1"/>
      <c r="Q1302" s="1"/>
      <c r="S1302" s="1"/>
    </row>
    <row r="1303" ht="15.75" customHeight="1">
      <c r="I1303" s="1"/>
      <c r="K1303" s="1"/>
      <c r="M1303" s="1"/>
      <c r="Q1303" s="1"/>
      <c r="S1303" s="1"/>
    </row>
    <row r="1304" ht="15.75" customHeight="1">
      <c r="I1304" s="1"/>
      <c r="K1304" s="1"/>
      <c r="M1304" s="1"/>
      <c r="Q1304" s="1"/>
      <c r="S1304" s="1"/>
    </row>
    <row r="1305" ht="15.75" customHeight="1">
      <c r="I1305" s="1"/>
      <c r="K1305" s="1"/>
      <c r="M1305" s="1"/>
      <c r="Q1305" s="1"/>
      <c r="S1305" s="1"/>
    </row>
    <row r="1306" ht="15.75" customHeight="1">
      <c r="I1306" s="1"/>
      <c r="K1306" s="1"/>
      <c r="M1306" s="1"/>
      <c r="Q1306" s="1"/>
      <c r="S1306" s="1"/>
    </row>
    <row r="1307" ht="15.75" customHeight="1">
      <c r="I1307" s="1"/>
      <c r="K1307" s="1"/>
      <c r="M1307" s="1"/>
      <c r="Q1307" s="1"/>
      <c r="S1307" s="1"/>
    </row>
    <row r="1308" ht="15.75" customHeight="1">
      <c r="I1308" s="1"/>
      <c r="K1308" s="1"/>
      <c r="M1308" s="1"/>
      <c r="Q1308" s="1"/>
      <c r="S1308" s="1"/>
    </row>
    <row r="1309" ht="15.75" customHeight="1">
      <c r="I1309" s="1"/>
      <c r="K1309" s="1"/>
      <c r="M1309" s="1"/>
      <c r="Q1309" s="1"/>
      <c r="S1309" s="1"/>
    </row>
    <row r="1310" ht="15.75" customHeight="1">
      <c r="I1310" s="1"/>
      <c r="K1310" s="1"/>
      <c r="M1310" s="1"/>
      <c r="Q1310" s="1"/>
      <c r="S1310" s="1"/>
    </row>
    <row r="1311" ht="15.75" customHeight="1">
      <c r="I1311" s="1"/>
      <c r="K1311" s="1"/>
      <c r="M1311" s="1"/>
      <c r="Q1311" s="1"/>
      <c r="S1311" s="1"/>
    </row>
    <row r="1312" ht="15.75" customHeight="1">
      <c r="I1312" s="1"/>
      <c r="K1312" s="1"/>
      <c r="M1312" s="1"/>
      <c r="Q1312" s="1"/>
      <c r="S1312" s="1"/>
    </row>
    <row r="1313" ht="15.75" customHeight="1">
      <c r="I1313" s="1"/>
      <c r="K1313" s="1"/>
      <c r="M1313" s="1"/>
      <c r="Q1313" s="1"/>
      <c r="S1313" s="1"/>
    </row>
    <row r="1314" ht="15.75" customHeight="1">
      <c r="I1314" s="1"/>
      <c r="K1314" s="1"/>
      <c r="M1314" s="1"/>
      <c r="Q1314" s="1"/>
      <c r="S1314" s="1"/>
    </row>
    <row r="1315" ht="15.75" customHeight="1">
      <c r="I1315" s="1"/>
      <c r="K1315" s="1"/>
      <c r="M1315" s="1"/>
      <c r="Q1315" s="1"/>
      <c r="S1315" s="1"/>
    </row>
    <row r="1316" ht="15.75" customHeight="1">
      <c r="I1316" s="1"/>
      <c r="K1316" s="1"/>
      <c r="M1316" s="1"/>
      <c r="Q1316" s="1"/>
      <c r="S1316" s="1"/>
    </row>
    <row r="1317" ht="15.75" customHeight="1">
      <c r="I1317" s="1"/>
      <c r="K1317" s="1"/>
      <c r="M1317" s="1"/>
      <c r="Q1317" s="1"/>
      <c r="S1317" s="1"/>
    </row>
    <row r="1318" ht="15.75" customHeight="1">
      <c r="I1318" s="1"/>
      <c r="K1318" s="1"/>
      <c r="M1318" s="1"/>
      <c r="Q1318" s="1"/>
      <c r="S1318" s="1"/>
    </row>
    <row r="1319" ht="15.75" customHeight="1">
      <c r="I1319" s="1"/>
      <c r="K1319" s="1"/>
      <c r="M1319" s="1"/>
      <c r="Q1319" s="1"/>
      <c r="S1319" s="1"/>
    </row>
    <row r="1320" ht="15.75" customHeight="1">
      <c r="I1320" s="1"/>
      <c r="K1320" s="1"/>
      <c r="M1320" s="1"/>
      <c r="Q1320" s="1"/>
      <c r="S1320" s="1"/>
    </row>
    <row r="1321" ht="15.75" customHeight="1">
      <c r="I1321" s="1"/>
      <c r="K1321" s="1"/>
      <c r="M1321" s="1"/>
      <c r="Q1321" s="1"/>
      <c r="S1321" s="1"/>
    </row>
    <row r="1322" ht="15.75" customHeight="1">
      <c r="I1322" s="1"/>
      <c r="K1322" s="1"/>
      <c r="M1322" s="1"/>
      <c r="Q1322" s="1"/>
      <c r="S1322" s="1"/>
    </row>
    <row r="1323" ht="15.75" customHeight="1">
      <c r="I1323" s="1"/>
      <c r="K1323" s="1"/>
      <c r="M1323" s="1"/>
      <c r="Q1323" s="1"/>
      <c r="S1323" s="1"/>
    </row>
    <row r="1324" ht="15.75" customHeight="1">
      <c r="I1324" s="1"/>
      <c r="K1324" s="1"/>
      <c r="M1324" s="1"/>
      <c r="Q1324" s="1"/>
      <c r="S1324" s="1"/>
    </row>
    <row r="1325" ht="15.75" customHeight="1">
      <c r="I1325" s="1"/>
      <c r="K1325" s="1"/>
      <c r="M1325" s="1"/>
      <c r="Q1325" s="1"/>
      <c r="S1325" s="1"/>
    </row>
    <row r="1326" ht="15.75" customHeight="1">
      <c r="I1326" s="1"/>
      <c r="K1326" s="1"/>
      <c r="M1326" s="1"/>
      <c r="Q1326" s="1"/>
      <c r="S1326" s="1"/>
    </row>
    <row r="1327" ht="15.75" customHeight="1">
      <c r="I1327" s="1"/>
      <c r="K1327" s="1"/>
      <c r="M1327" s="1"/>
      <c r="Q1327" s="1"/>
      <c r="S1327" s="1"/>
    </row>
    <row r="1328" ht="15.75" customHeight="1">
      <c r="I1328" s="1"/>
      <c r="K1328" s="1"/>
      <c r="M1328" s="1"/>
      <c r="Q1328" s="1"/>
      <c r="S1328" s="1"/>
    </row>
    <row r="1329" ht="15.75" customHeight="1">
      <c r="I1329" s="1"/>
      <c r="K1329" s="1"/>
      <c r="M1329" s="1"/>
      <c r="Q1329" s="1"/>
      <c r="S1329" s="1"/>
    </row>
    <row r="1330" ht="15.75" customHeight="1">
      <c r="I1330" s="1"/>
      <c r="K1330" s="1"/>
      <c r="M1330" s="1"/>
      <c r="Q1330" s="1"/>
      <c r="S1330" s="1"/>
    </row>
    <row r="1331" ht="15.75" customHeight="1">
      <c r="I1331" s="1"/>
      <c r="K1331" s="1"/>
      <c r="M1331" s="1"/>
      <c r="Q1331" s="1"/>
      <c r="S1331" s="1"/>
    </row>
    <row r="1332" ht="15.75" customHeight="1">
      <c r="I1332" s="1"/>
      <c r="K1332" s="1"/>
      <c r="M1332" s="1"/>
      <c r="Q1332" s="1"/>
      <c r="S1332" s="1"/>
    </row>
    <row r="1333" ht="15.75" customHeight="1">
      <c r="I1333" s="1"/>
      <c r="K1333" s="1"/>
      <c r="M1333" s="1"/>
      <c r="Q1333" s="1"/>
      <c r="S1333" s="1"/>
    </row>
    <row r="1334" ht="15.75" customHeight="1">
      <c r="I1334" s="1"/>
      <c r="K1334" s="1"/>
      <c r="M1334" s="1"/>
      <c r="Q1334" s="1"/>
      <c r="S1334" s="1"/>
    </row>
    <row r="1335" ht="15.75" customHeight="1">
      <c r="I1335" s="1"/>
      <c r="K1335" s="1"/>
      <c r="M1335" s="1"/>
      <c r="Q1335" s="1"/>
      <c r="S1335" s="1"/>
    </row>
    <row r="1336" ht="15.75" customHeight="1">
      <c r="I1336" s="1"/>
      <c r="K1336" s="1"/>
      <c r="M1336" s="1"/>
      <c r="Q1336" s="1"/>
      <c r="S1336" s="1"/>
    </row>
    <row r="1337" ht="15.75" customHeight="1">
      <c r="I1337" s="1"/>
      <c r="K1337" s="1"/>
      <c r="M1337" s="1"/>
      <c r="Q1337" s="1"/>
      <c r="S1337" s="1"/>
    </row>
    <row r="1338" ht="15.75" customHeight="1">
      <c r="I1338" s="1"/>
      <c r="K1338" s="1"/>
      <c r="M1338" s="1"/>
      <c r="Q1338" s="1"/>
      <c r="S1338" s="1"/>
    </row>
    <row r="1339" ht="15.75" customHeight="1">
      <c r="I1339" s="1"/>
      <c r="K1339" s="1"/>
      <c r="M1339" s="1"/>
      <c r="Q1339" s="1"/>
      <c r="S1339" s="1"/>
    </row>
    <row r="1340" ht="15.75" customHeight="1">
      <c r="I1340" s="1"/>
      <c r="K1340" s="1"/>
      <c r="M1340" s="1"/>
      <c r="Q1340" s="1"/>
      <c r="S1340" s="1"/>
    </row>
    <row r="1341" ht="15.75" customHeight="1">
      <c r="I1341" s="1"/>
      <c r="K1341" s="1"/>
      <c r="M1341" s="1"/>
      <c r="Q1341" s="1"/>
      <c r="S1341" s="1"/>
    </row>
    <row r="1342" ht="15.75" customHeight="1">
      <c r="I1342" s="1"/>
      <c r="K1342" s="1"/>
      <c r="M1342" s="1"/>
      <c r="Q1342" s="1"/>
      <c r="S1342" s="1"/>
    </row>
    <row r="1343" ht="15.75" customHeight="1">
      <c r="I1343" s="1"/>
      <c r="K1343" s="1"/>
      <c r="M1343" s="1"/>
      <c r="Q1343" s="1"/>
      <c r="S1343" s="1"/>
    </row>
    <row r="1344" ht="15.75" customHeight="1">
      <c r="I1344" s="1"/>
      <c r="K1344" s="1"/>
      <c r="M1344" s="1"/>
      <c r="Q1344" s="1"/>
      <c r="S1344" s="1"/>
    </row>
    <row r="1345" ht="15.75" customHeight="1">
      <c r="I1345" s="1"/>
      <c r="K1345" s="1"/>
      <c r="M1345" s="1"/>
      <c r="Q1345" s="1"/>
      <c r="S1345" s="1"/>
    </row>
    <row r="1346" ht="15.75" customHeight="1">
      <c r="I1346" s="1"/>
      <c r="K1346" s="1"/>
      <c r="M1346" s="1"/>
      <c r="Q1346" s="1"/>
      <c r="S1346" s="1"/>
    </row>
    <row r="1347" ht="15.75" customHeight="1">
      <c r="I1347" s="1"/>
      <c r="K1347" s="1"/>
      <c r="M1347" s="1"/>
      <c r="Q1347" s="1"/>
      <c r="S1347" s="1"/>
    </row>
    <row r="1348" ht="15.75" customHeight="1">
      <c r="I1348" s="1"/>
      <c r="K1348" s="1"/>
      <c r="M1348" s="1"/>
      <c r="Q1348" s="1"/>
      <c r="S1348" s="1"/>
    </row>
    <row r="1349" ht="15.75" customHeight="1">
      <c r="I1349" s="1"/>
      <c r="K1349" s="1"/>
      <c r="M1349" s="1"/>
      <c r="Q1349" s="1"/>
      <c r="S1349" s="1"/>
    </row>
    <row r="1350" ht="15.75" customHeight="1">
      <c r="I1350" s="1"/>
      <c r="K1350" s="1"/>
      <c r="M1350" s="1"/>
      <c r="Q1350" s="1"/>
      <c r="S1350" s="1"/>
    </row>
    <row r="1351" ht="15.75" customHeight="1">
      <c r="I1351" s="1"/>
      <c r="K1351" s="1"/>
      <c r="M1351" s="1"/>
      <c r="Q1351" s="1"/>
      <c r="S1351" s="1"/>
    </row>
    <row r="1352" ht="15.75" customHeight="1">
      <c r="I1352" s="1"/>
      <c r="K1352" s="1"/>
      <c r="M1352" s="1"/>
      <c r="Q1352" s="1"/>
      <c r="S1352" s="1"/>
    </row>
    <row r="1353" ht="15.75" customHeight="1">
      <c r="I1353" s="1"/>
      <c r="K1353" s="1"/>
      <c r="M1353" s="1"/>
      <c r="Q1353" s="1"/>
      <c r="S1353" s="1"/>
    </row>
    <row r="1354" ht="15.75" customHeight="1">
      <c r="I1354" s="1"/>
      <c r="K1354" s="1"/>
      <c r="M1354" s="1"/>
      <c r="Q1354" s="1"/>
      <c r="S1354" s="1"/>
    </row>
    <row r="1355" ht="15.75" customHeight="1">
      <c r="I1355" s="1"/>
      <c r="K1355" s="1"/>
      <c r="M1355" s="1"/>
      <c r="Q1355" s="1"/>
      <c r="S1355" s="1"/>
    </row>
    <row r="1356" ht="15.75" customHeight="1">
      <c r="I1356" s="1"/>
      <c r="K1356" s="1"/>
      <c r="M1356" s="1"/>
      <c r="Q1356" s="1"/>
      <c r="S1356" s="1"/>
    </row>
    <row r="1357" ht="15.75" customHeight="1">
      <c r="I1357" s="1"/>
      <c r="K1357" s="1"/>
      <c r="M1357" s="1"/>
      <c r="Q1357" s="1"/>
      <c r="S1357" s="1"/>
    </row>
    <row r="1358" ht="15.75" customHeight="1">
      <c r="I1358" s="1"/>
      <c r="K1358" s="1"/>
      <c r="M1358" s="1"/>
      <c r="Q1358" s="1"/>
      <c r="S1358" s="1"/>
    </row>
    <row r="1359" ht="15.75" customHeight="1">
      <c r="I1359" s="1"/>
      <c r="K1359" s="1"/>
      <c r="M1359" s="1"/>
      <c r="Q1359" s="1"/>
      <c r="S1359" s="1"/>
    </row>
    <row r="1360" ht="15.75" customHeight="1">
      <c r="I1360" s="1"/>
      <c r="K1360" s="1"/>
      <c r="M1360" s="1"/>
      <c r="Q1360" s="1"/>
      <c r="S1360" s="1"/>
    </row>
    <row r="1361" ht="15.75" customHeight="1">
      <c r="I1361" s="1"/>
      <c r="K1361" s="1"/>
      <c r="M1361" s="1"/>
      <c r="Q1361" s="1"/>
      <c r="S1361" s="1"/>
    </row>
    <row r="1362" ht="15.75" customHeight="1">
      <c r="I1362" s="1"/>
      <c r="K1362" s="1"/>
      <c r="M1362" s="1"/>
      <c r="Q1362" s="1"/>
      <c r="S1362" s="1"/>
    </row>
    <row r="1363" ht="15.75" customHeight="1">
      <c r="I1363" s="1"/>
      <c r="K1363" s="1"/>
      <c r="M1363" s="1"/>
      <c r="Q1363" s="1"/>
      <c r="S1363" s="1"/>
    </row>
    <row r="1364" ht="15.75" customHeight="1">
      <c r="I1364" s="1"/>
      <c r="K1364" s="1"/>
      <c r="M1364" s="1"/>
      <c r="Q1364" s="1"/>
      <c r="S1364" s="1"/>
    </row>
    <row r="1365" ht="15.75" customHeight="1">
      <c r="I1365" s="1"/>
      <c r="K1365" s="1"/>
      <c r="M1365" s="1"/>
      <c r="Q1365" s="1"/>
      <c r="S1365" s="1"/>
    </row>
    <row r="1366" ht="15.75" customHeight="1">
      <c r="I1366" s="1"/>
      <c r="K1366" s="1"/>
      <c r="M1366" s="1"/>
      <c r="Q1366" s="1"/>
      <c r="S1366" s="1"/>
    </row>
    <row r="1367" ht="15.75" customHeight="1">
      <c r="I1367" s="1"/>
      <c r="K1367" s="1"/>
      <c r="M1367" s="1"/>
      <c r="Q1367" s="1"/>
      <c r="S1367" s="1"/>
    </row>
    <row r="1368" ht="15.75" customHeight="1">
      <c r="I1368" s="1"/>
      <c r="K1368" s="1"/>
      <c r="M1368" s="1"/>
      <c r="Q1368" s="1"/>
      <c r="S1368" s="1"/>
    </row>
    <row r="1369" ht="15.75" customHeight="1">
      <c r="I1369" s="1"/>
      <c r="K1369" s="1"/>
      <c r="M1369" s="1"/>
      <c r="Q1369" s="1"/>
      <c r="S1369" s="1"/>
    </row>
    <row r="1370" ht="15.75" customHeight="1">
      <c r="I1370" s="1"/>
      <c r="K1370" s="1"/>
      <c r="M1370" s="1"/>
      <c r="Q1370" s="1"/>
      <c r="S1370" s="1"/>
    </row>
    <row r="1371" ht="15.75" customHeight="1">
      <c r="I1371" s="1"/>
      <c r="K1371" s="1"/>
      <c r="M1371" s="1"/>
      <c r="Q1371" s="1"/>
      <c r="S1371" s="1"/>
    </row>
    <row r="1372" ht="15.75" customHeight="1">
      <c r="I1372" s="1"/>
      <c r="K1372" s="1"/>
      <c r="M1372" s="1"/>
      <c r="Q1372" s="1"/>
      <c r="S1372" s="1"/>
    </row>
    <row r="1373" ht="15.75" customHeight="1">
      <c r="I1373" s="1"/>
      <c r="K1373" s="1"/>
      <c r="M1373" s="1"/>
      <c r="Q1373" s="1"/>
      <c r="S1373" s="1"/>
    </row>
    <row r="1374" ht="15.75" customHeight="1">
      <c r="I1374" s="1"/>
      <c r="K1374" s="1"/>
      <c r="M1374" s="1"/>
      <c r="Q1374" s="1"/>
      <c r="S1374" s="1"/>
    </row>
    <row r="1375" ht="15.75" customHeight="1">
      <c r="I1375" s="1"/>
      <c r="K1375" s="1"/>
      <c r="M1375" s="1"/>
      <c r="Q1375" s="1"/>
      <c r="S1375" s="1"/>
    </row>
    <row r="1376" ht="15.75" customHeight="1">
      <c r="I1376" s="1"/>
      <c r="K1376" s="1"/>
      <c r="M1376" s="1"/>
      <c r="Q1376" s="1"/>
      <c r="S1376" s="1"/>
    </row>
    <row r="1377" ht="15.75" customHeight="1">
      <c r="I1377" s="1"/>
      <c r="K1377" s="1"/>
      <c r="M1377" s="1"/>
      <c r="Q1377" s="1"/>
      <c r="S1377" s="1"/>
    </row>
    <row r="1378" ht="15.75" customHeight="1">
      <c r="I1378" s="1"/>
      <c r="K1378" s="1"/>
      <c r="M1378" s="1"/>
      <c r="Q1378" s="1"/>
      <c r="S1378" s="1"/>
    </row>
    <row r="1379" ht="15.75" customHeight="1">
      <c r="I1379" s="1"/>
      <c r="K1379" s="1"/>
      <c r="M1379" s="1"/>
      <c r="Q1379" s="1"/>
      <c r="S1379" s="1"/>
    </row>
    <row r="1380" ht="15.75" customHeight="1">
      <c r="I1380" s="1"/>
      <c r="K1380" s="1"/>
      <c r="M1380" s="1"/>
      <c r="Q1380" s="1"/>
      <c r="S1380" s="1"/>
    </row>
    <row r="1381" ht="15.75" customHeight="1">
      <c r="I1381" s="1"/>
      <c r="K1381" s="1"/>
      <c r="M1381" s="1"/>
      <c r="Q1381" s="1"/>
      <c r="S1381" s="1"/>
    </row>
    <row r="1382" ht="15.75" customHeight="1">
      <c r="I1382" s="1"/>
      <c r="K1382" s="1"/>
      <c r="M1382" s="1"/>
      <c r="Q1382" s="1"/>
      <c r="S1382" s="1"/>
    </row>
    <row r="1383" ht="15.75" customHeight="1">
      <c r="I1383" s="1"/>
      <c r="K1383" s="1"/>
      <c r="M1383" s="1"/>
      <c r="Q1383" s="1"/>
      <c r="S1383" s="1"/>
    </row>
    <row r="1384" ht="15.75" customHeight="1">
      <c r="I1384" s="1"/>
      <c r="K1384" s="1"/>
      <c r="M1384" s="1"/>
      <c r="Q1384" s="1"/>
      <c r="S1384" s="1"/>
    </row>
    <row r="1385" ht="15.75" customHeight="1">
      <c r="I1385" s="1"/>
      <c r="K1385" s="1"/>
      <c r="M1385" s="1"/>
      <c r="Q1385" s="1"/>
      <c r="S1385" s="1"/>
    </row>
    <row r="1386" ht="15.75" customHeight="1">
      <c r="I1386" s="1"/>
      <c r="K1386" s="1"/>
      <c r="M1386" s="1"/>
      <c r="Q1386" s="1"/>
      <c r="S1386" s="1"/>
    </row>
    <row r="1387" ht="15.75" customHeight="1">
      <c r="I1387" s="1"/>
      <c r="K1387" s="1"/>
      <c r="M1387" s="1"/>
      <c r="Q1387" s="1"/>
      <c r="S1387" s="1"/>
    </row>
    <row r="1388" ht="15.75" customHeight="1">
      <c r="I1388" s="1"/>
      <c r="K1388" s="1"/>
      <c r="M1388" s="1"/>
      <c r="Q1388" s="1"/>
      <c r="S1388" s="1"/>
    </row>
    <row r="1389" ht="15.75" customHeight="1">
      <c r="I1389" s="1"/>
      <c r="K1389" s="1"/>
      <c r="M1389" s="1"/>
      <c r="Q1389" s="1"/>
      <c r="S1389" s="1"/>
    </row>
    <row r="1390" ht="15.75" customHeight="1">
      <c r="I1390" s="1"/>
      <c r="K1390" s="1"/>
      <c r="M1390" s="1"/>
      <c r="Q1390" s="1"/>
      <c r="S1390" s="1"/>
    </row>
    <row r="1391" ht="15.75" customHeight="1">
      <c r="I1391" s="1"/>
      <c r="K1391" s="1"/>
      <c r="M1391" s="1"/>
      <c r="Q1391" s="1"/>
      <c r="S1391" s="1"/>
    </row>
    <row r="1392" ht="15.75" customHeight="1">
      <c r="I1392" s="1"/>
      <c r="K1392" s="1"/>
      <c r="M1392" s="1"/>
      <c r="Q1392" s="1"/>
      <c r="S1392" s="1"/>
    </row>
    <row r="1393" ht="15.75" customHeight="1">
      <c r="I1393" s="1"/>
      <c r="K1393" s="1"/>
      <c r="M1393" s="1"/>
      <c r="Q1393" s="1"/>
      <c r="S1393" s="1"/>
    </row>
    <row r="1394" ht="15.75" customHeight="1">
      <c r="I1394" s="1"/>
      <c r="K1394" s="1"/>
      <c r="M1394" s="1"/>
      <c r="Q1394" s="1"/>
      <c r="S1394" s="1"/>
    </row>
    <row r="1395" ht="15.75" customHeight="1">
      <c r="I1395" s="1"/>
      <c r="K1395" s="1"/>
      <c r="M1395" s="1"/>
      <c r="Q1395" s="1"/>
      <c r="S1395" s="1"/>
    </row>
    <row r="1396" ht="15.75" customHeight="1">
      <c r="I1396" s="1"/>
      <c r="K1396" s="1"/>
      <c r="M1396" s="1"/>
      <c r="Q1396" s="1"/>
      <c r="S1396" s="1"/>
    </row>
    <row r="1397" ht="15.75" customHeight="1">
      <c r="I1397" s="1"/>
      <c r="K1397" s="1"/>
      <c r="M1397" s="1"/>
      <c r="Q1397" s="1"/>
      <c r="S1397" s="1"/>
    </row>
    <row r="1398" ht="15.75" customHeight="1">
      <c r="I1398" s="1"/>
      <c r="K1398" s="1"/>
      <c r="M1398" s="1"/>
      <c r="Q1398" s="1"/>
      <c r="S1398" s="1"/>
    </row>
    <row r="1399" ht="15.75" customHeight="1">
      <c r="I1399" s="1"/>
      <c r="K1399" s="1"/>
      <c r="M1399" s="1"/>
      <c r="Q1399" s="1"/>
      <c r="S1399" s="1"/>
    </row>
    <row r="1400" ht="15.75" customHeight="1">
      <c r="I1400" s="1"/>
      <c r="K1400" s="1"/>
      <c r="M1400" s="1"/>
      <c r="Q1400" s="1"/>
      <c r="S1400" s="1"/>
    </row>
    <row r="1401" ht="15.75" customHeight="1">
      <c r="I1401" s="1"/>
      <c r="K1401" s="1"/>
      <c r="M1401" s="1"/>
      <c r="Q1401" s="1"/>
      <c r="S1401" s="1"/>
    </row>
    <row r="1402" ht="15.75" customHeight="1">
      <c r="I1402" s="1"/>
      <c r="K1402" s="1"/>
      <c r="M1402" s="1"/>
      <c r="Q1402" s="1"/>
      <c r="S1402" s="1"/>
    </row>
    <row r="1403" ht="15.75" customHeight="1">
      <c r="I1403" s="1"/>
      <c r="K1403" s="1"/>
      <c r="M1403" s="1"/>
      <c r="Q1403" s="1"/>
      <c r="S1403" s="1"/>
    </row>
    <row r="1404" ht="15.75" customHeight="1">
      <c r="I1404" s="1"/>
      <c r="K1404" s="1"/>
      <c r="M1404" s="1"/>
      <c r="Q1404" s="1"/>
      <c r="S1404" s="1"/>
    </row>
    <row r="1405" ht="15.75" customHeight="1">
      <c r="I1405" s="1"/>
      <c r="K1405" s="1"/>
      <c r="M1405" s="1"/>
      <c r="Q1405" s="1"/>
      <c r="S1405" s="1"/>
    </row>
    <row r="1406" ht="15.75" customHeight="1">
      <c r="I1406" s="1"/>
      <c r="K1406" s="1"/>
      <c r="M1406" s="1"/>
      <c r="Q1406" s="1"/>
      <c r="S1406" s="1"/>
    </row>
    <row r="1407" ht="15.75" customHeight="1">
      <c r="I1407" s="1"/>
      <c r="K1407" s="1"/>
      <c r="M1407" s="1"/>
      <c r="Q1407" s="1"/>
      <c r="S1407" s="1"/>
    </row>
    <row r="1408" ht="15.75" customHeight="1">
      <c r="I1408" s="1"/>
      <c r="K1408" s="1"/>
      <c r="M1408" s="1"/>
      <c r="Q1408" s="1"/>
      <c r="S1408" s="1"/>
    </row>
    <row r="1409" ht="15.75" customHeight="1">
      <c r="I1409" s="1"/>
      <c r="K1409" s="1"/>
      <c r="M1409" s="1"/>
      <c r="Q1409" s="1"/>
      <c r="S1409" s="1"/>
    </row>
    <row r="1410" ht="15.75" customHeight="1">
      <c r="I1410" s="1"/>
      <c r="K1410" s="1"/>
      <c r="M1410" s="1"/>
      <c r="Q1410" s="1"/>
      <c r="S1410" s="1"/>
    </row>
    <row r="1411" ht="15.75" customHeight="1">
      <c r="I1411" s="1"/>
      <c r="K1411" s="1"/>
      <c r="M1411" s="1"/>
      <c r="Q1411" s="1"/>
      <c r="S1411" s="1"/>
    </row>
    <row r="1412" ht="15.75" customHeight="1">
      <c r="I1412" s="1"/>
      <c r="K1412" s="1"/>
      <c r="M1412" s="1"/>
      <c r="Q1412" s="1"/>
      <c r="S1412" s="1"/>
    </row>
    <row r="1413" ht="15.75" customHeight="1">
      <c r="I1413" s="1"/>
      <c r="K1413" s="1"/>
      <c r="M1413" s="1"/>
      <c r="Q1413" s="1"/>
      <c r="S1413" s="1"/>
    </row>
    <row r="1414" ht="15.75" customHeight="1">
      <c r="I1414" s="1"/>
      <c r="K1414" s="1"/>
      <c r="M1414" s="1"/>
      <c r="Q1414" s="1"/>
      <c r="S1414" s="1"/>
    </row>
    <row r="1415" ht="15.75" customHeight="1">
      <c r="I1415" s="1"/>
      <c r="K1415" s="1"/>
      <c r="M1415" s="1"/>
      <c r="Q1415" s="1"/>
      <c r="S1415" s="1"/>
    </row>
    <row r="1416" ht="15.75" customHeight="1">
      <c r="I1416" s="1"/>
      <c r="K1416" s="1"/>
      <c r="M1416" s="1"/>
      <c r="Q1416" s="1"/>
      <c r="S1416" s="1"/>
    </row>
    <row r="1417" ht="15.75" customHeight="1">
      <c r="I1417" s="1"/>
      <c r="K1417" s="1"/>
      <c r="M1417" s="1"/>
      <c r="Q1417" s="1"/>
      <c r="S1417" s="1"/>
    </row>
    <row r="1418" ht="15.75" customHeight="1">
      <c r="I1418" s="1"/>
      <c r="K1418" s="1"/>
      <c r="M1418" s="1"/>
      <c r="Q1418" s="1"/>
      <c r="S1418" s="1"/>
    </row>
    <row r="1419" ht="15.75" customHeight="1">
      <c r="I1419" s="1"/>
      <c r="K1419" s="1"/>
      <c r="M1419" s="1"/>
      <c r="Q1419" s="1"/>
      <c r="S1419" s="1"/>
    </row>
    <row r="1420" ht="15.75" customHeight="1">
      <c r="I1420" s="1"/>
      <c r="K1420" s="1"/>
      <c r="M1420" s="1"/>
      <c r="Q1420" s="1"/>
      <c r="S1420" s="1"/>
    </row>
    <row r="1421" ht="15.75" customHeight="1">
      <c r="I1421" s="1"/>
      <c r="K1421" s="1"/>
      <c r="M1421" s="1"/>
      <c r="Q1421" s="1"/>
      <c r="S1421" s="1"/>
    </row>
    <row r="1422" ht="15.75" customHeight="1">
      <c r="I1422" s="1"/>
      <c r="K1422" s="1"/>
      <c r="M1422" s="1"/>
      <c r="Q1422" s="1"/>
      <c r="S1422" s="1"/>
    </row>
    <row r="1423" ht="15.75" customHeight="1">
      <c r="I1423" s="1"/>
      <c r="K1423" s="1"/>
      <c r="M1423" s="1"/>
      <c r="Q1423" s="1"/>
      <c r="S1423" s="1"/>
    </row>
    <row r="1424" ht="15.75" customHeight="1">
      <c r="I1424" s="1"/>
      <c r="K1424" s="1"/>
      <c r="M1424" s="1"/>
      <c r="Q1424" s="1"/>
      <c r="S1424" s="1"/>
    </row>
    <row r="1425" ht="15.75" customHeight="1">
      <c r="I1425" s="1"/>
      <c r="K1425" s="1"/>
      <c r="M1425" s="1"/>
      <c r="Q1425" s="1"/>
      <c r="S1425" s="1"/>
    </row>
    <row r="1426" ht="15.75" customHeight="1">
      <c r="I1426" s="1"/>
      <c r="K1426" s="1"/>
      <c r="M1426" s="1"/>
      <c r="Q1426" s="1"/>
      <c r="S1426" s="1"/>
    </row>
    <row r="1427" ht="15.75" customHeight="1">
      <c r="I1427" s="1"/>
      <c r="K1427" s="1"/>
      <c r="M1427" s="1"/>
      <c r="Q1427" s="1"/>
      <c r="S1427" s="1"/>
    </row>
    <row r="1428" ht="15.75" customHeight="1">
      <c r="I1428" s="1"/>
      <c r="K1428" s="1"/>
      <c r="M1428" s="1"/>
      <c r="Q1428" s="1"/>
      <c r="S1428" s="1"/>
    </row>
    <row r="1429" ht="15.75" customHeight="1">
      <c r="I1429" s="1"/>
      <c r="K1429" s="1"/>
      <c r="M1429" s="1"/>
      <c r="Q1429" s="1"/>
      <c r="S1429" s="1"/>
    </row>
    <row r="1430" ht="15.75" customHeight="1">
      <c r="I1430" s="1"/>
      <c r="K1430" s="1"/>
      <c r="M1430" s="1"/>
      <c r="Q1430" s="1"/>
      <c r="S1430" s="1"/>
    </row>
    <row r="1431" ht="15.75" customHeight="1">
      <c r="I1431" s="1"/>
      <c r="K1431" s="1"/>
      <c r="M1431" s="1"/>
      <c r="Q1431" s="1"/>
      <c r="S1431" s="1"/>
    </row>
    <row r="1432" ht="15.75" customHeight="1">
      <c r="I1432" s="1"/>
      <c r="K1432" s="1"/>
      <c r="M1432" s="1"/>
      <c r="Q1432" s="1"/>
      <c r="S1432" s="1"/>
    </row>
    <row r="1433" ht="15.75" customHeight="1">
      <c r="I1433" s="1"/>
      <c r="K1433" s="1"/>
      <c r="M1433" s="1"/>
      <c r="Q1433" s="1"/>
      <c r="S1433" s="1"/>
    </row>
    <row r="1434" ht="15.75" customHeight="1">
      <c r="I1434" s="1"/>
      <c r="K1434" s="1"/>
      <c r="M1434" s="1"/>
      <c r="Q1434" s="1"/>
      <c r="S1434" s="1"/>
    </row>
    <row r="1435" ht="15.75" customHeight="1">
      <c r="I1435" s="1"/>
      <c r="K1435" s="1"/>
      <c r="M1435" s="1"/>
      <c r="Q1435" s="1"/>
      <c r="S1435" s="1"/>
    </row>
    <row r="1436" ht="15.75" customHeight="1">
      <c r="I1436" s="1"/>
      <c r="K1436" s="1"/>
      <c r="M1436" s="1"/>
      <c r="Q1436" s="1"/>
      <c r="S1436" s="1"/>
    </row>
    <row r="1437" ht="15.75" customHeight="1">
      <c r="I1437" s="1"/>
      <c r="K1437" s="1"/>
      <c r="M1437" s="1"/>
      <c r="Q1437" s="1"/>
      <c r="S1437" s="1"/>
    </row>
    <row r="1438" ht="15.75" customHeight="1">
      <c r="I1438" s="1"/>
      <c r="K1438" s="1"/>
      <c r="M1438" s="1"/>
      <c r="Q1438" s="1"/>
      <c r="S1438" s="1"/>
    </row>
    <row r="1439" ht="15.75" customHeight="1">
      <c r="I1439" s="1"/>
      <c r="K1439" s="1"/>
      <c r="M1439" s="1"/>
      <c r="Q1439" s="1"/>
      <c r="S1439" s="1"/>
    </row>
    <row r="1440" ht="15.75" customHeight="1">
      <c r="I1440" s="1"/>
      <c r="K1440" s="1"/>
      <c r="M1440" s="1"/>
      <c r="Q1440" s="1"/>
      <c r="S1440" s="1"/>
    </row>
    <row r="1441" ht="15.75" customHeight="1">
      <c r="I1441" s="1"/>
      <c r="K1441" s="1"/>
      <c r="M1441" s="1"/>
      <c r="Q1441" s="1"/>
      <c r="S1441" s="1"/>
    </row>
    <row r="1442" ht="15.75" customHeight="1">
      <c r="I1442" s="1"/>
      <c r="K1442" s="1"/>
      <c r="M1442" s="1"/>
      <c r="Q1442" s="1"/>
      <c r="S1442" s="1"/>
    </row>
    <row r="1443" ht="15.75" customHeight="1">
      <c r="I1443" s="1"/>
      <c r="K1443" s="1"/>
      <c r="M1443" s="1"/>
      <c r="Q1443" s="1"/>
      <c r="S1443" s="1"/>
    </row>
    <row r="1444" ht="15.75" customHeight="1">
      <c r="I1444" s="1"/>
      <c r="K1444" s="1"/>
      <c r="M1444" s="1"/>
      <c r="Q1444" s="1"/>
      <c r="S1444" s="1"/>
    </row>
    <row r="1445" ht="15.75" customHeight="1">
      <c r="I1445" s="1"/>
      <c r="K1445" s="1"/>
      <c r="M1445" s="1"/>
      <c r="Q1445" s="1"/>
      <c r="S1445" s="1"/>
    </row>
    <row r="1446" ht="15.75" customHeight="1">
      <c r="I1446" s="1"/>
      <c r="K1446" s="1"/>
      <c r="M1446" s="1"/>
      <c r="Q1446" s="1"/>
      <c r="S1446" s="1"/>
    </row>
    <row r="1447" ht="15.75" customHeight="1">
      <c r="I1447" s="1"/>
      <c r="K1447" s="1"/>
      <c r="M1447" s="1"/>
      <c r="Q1447" s="1"/>
      <c r="S1447" s="1"/>
    </row>
    <row r="1448" ht="15.75" customHeight="1">
      <c r="I1448" s="1"/>
      <c r="K1448" s="1"/>
      <c r="M1448" s="1"/>
      <c r="Q1448" s="1"/>
      <c r="S1448" s="1"/>
    </row>
    <row r="1449" ht="15.75" customHeight="1">
      <c r="I1449" s="1"/>
      <c r="K1449" s="1"/>
      <c r="M1449" s="1"/>
      <c r="Q1449" s="1"/>
      <c r="S1449" s="1"/>
    </row>
    <row r="1450" ht="15.75" customHeight="1">
      <c r="I1450" s="1"/>
      <c r="K1450" s="1"/>
      <c r="M1450" s="1"/>
      <c r="Q1450" s="1"/>
      <c r="S1450" s="1"/>
    </row>
    <row r="1451" ht="15.75" customHeight="1">
      <c r="I1451" s="1"/>
      <c r="K1451" s="1"/>
      <c r="M1451" s="1"/>
      <c r="Q1451" s="1"/>
      <c r="S1451" s="1"/>
    </row>
    <row r="1452" ht="15.75" customHeight="1">
      <c r="I1452" s="1"/>
      <c r="K1452" s="1"/>
      <c r="M1452" s="1"/>
      <c r="Q1452" s="1"/>
      <c r="S1452" s="1"/>
    </row>
    <row r="1453" ht="15.75" customHeight="1">
      <c r="I1453" s="1"/>
      <c r="K1453" s="1"/>
      <c r="M1453" s="1"/>
      <c r="Q1453" s="1"/>
      <c r="S1453" s="1"/>
    </row>
    <row r="1454" ht="15.75" customHeight="1">
      <c r="I1454" s="1"/>
      <c r="K1454" s="1"/>
      <c r="M1454" s="1"/>
      <c r="Q1454" s="1"/>
      <c r="S1454" s="1"/>
    </row>
    <row r="1455" ht="15.75" customHeight="1">
      <c r="I1455" s="1"/>
      <c r="K1455" s="1"/>
      <c r="M1455" s="1"/>
      <c r="Q1455" s="1"/>
      <c r="S1455" s="1"/>
    </row>
    <row r="1456" ht="15.75" customHeight="1">
      <c r="I1456" s="1"/>
      <c r="K1456" s="1"/>
      <c r="M1456" s="1"/>
      <c r="Q1456" s="1"/>
      <c r="S1456" s="1"/>
    </row>
    <row r="1457" ht="15.75" customHeight="1">
      <c r="I1457" s="1"/>
      <c r="K1457" s="1"/>
      <c r="M1457" s="1"/>
      <c r="Q1457" s="1"/>
      <c r="S1457" s="1"/>
    </row>
    <row r="1458" ht="15.75" customHeight="1">
      <c r="I1458" s="1"/>
      <c r="K1458" s="1"/>
      <c r="M1458" s="1"/>
      <c r="Q1458" s="1"/>
      <c r="S1458" s="1"/>
    </row>
    <row r="1459" ht="15.75" customHeight="1">
      <c r="I1459" s="1"/>
      <c r="K1459" s="1"/>
      <c r="M1459" s="1"/>
      <c r="Q1459" s="1"/>
      <c r="S1459" s="1"/>
    </row>
    <row r="1460" ht="15.75" customHeight="1">
      <c r="I1460" s="1"/>
      <c r="K1460" s="1"/>
      <c r="M1460" s="1"/>
      <c r="Q1460" s="1"/>
      <c r="S1460" s="1"/>
    </row>
    <row r="1461" ht="15.75" customHeight="1">
      <c r="I1461" s="1"/>
      <c r="K1461" s="1"/>
      <c r="M1461" s="1"/>
      <c r="Q1461" s="1"/>
      <c r="S1461" s="1"/>
    </row>
    <row r="1462" ht="15.75" customHeight="1">
      <c r="I1462" s="1"/>
      <c r="K1462" s="1"/>
      <c r="M1462" s="1"/>
      <c r="Q1462" s="1"/>
      <c r="S1462" s="1"/>
    </row>
    <row r="1463" ht="15.75" customHeight="1">
      <c r="I1463" s="1"/>
      <c r="K1463" s="1"/>
      <c r="M1463" s="1"/>
      <c r="Q1463" s="1"/>
      <c r="S1463" s="1"/>
    </row>
    <row r="1464" ht="15.75" customHeight="1">
      <c r="I1464" s="1"/>
      <c r="K1464" s="1"/>
      <c r="M1464" s="1"/>
      <c r="Q1464" s="1"/>
      <c r="S1464" s="1"/>
    </row>
    <row r="1465" ht="15.75" customHeight="1">
      <c r="I1465" s="1"/>
      <c r="K1465" s="1"/>
      <c r="M1465" s="1"/>
      <c r="Q1465" s="1"/>
      <c r="S1465" s="1"/>
    </row>
    <row r="1466" ht="15.75" customHeight="1">
      <c r="I1466" s="1"/>
      <c r="K1466" s="1"/>
      <c r="M1466" s="1"/>
      <c r="Q1466" s="1"/>
      <c r="S1466" s="1"/>
    </row>
    <row r="1467" ht="15.75" customHeight="1">
      <c r="I1467" s="1"/>
      <c r="K1467" s="1"/>
      <c r="M1467" s="1"/>
      <c r="Q1467" s="1"/>
      <c r="S1467" s="1"/>
    </row>
    <row r="1468" ht="15.75" customHeight="1">
      <c r="I1468" s="1"/>
      <c r="K1468" s="1"/>
      <c r="M1468" s="1"/>
      <c r="Q1468" s="1"/>
      <c r="S1468" s="1"/>
    </row>
    <row r="1469" ht="15.75" customHeight="1">
      <c r="I1469" s="1"/>
      <c r="K1469" s="1"/>
      <c r="M1469" s="1"/>
      <c r="Q1469" s="1"/>
      <c r="S1469" s="1"/>
    </row>
    <row r="1470" ht="15.75" customHeight="1">
      <c r="I1470" s="1"/>
      <c r="K1470" s="1"/>
      <c r="M1470" s="1"/>
      <c r="Q1470" s="1"/>
      <c r="S1470" s="1"/>
    </row>
    <row r="1471" ht="15.75" customHeight="1">
      <c r="I1471" s="1"/>
      <c r="K1471" s="1"/>
      <c r="M1471" s="1"/>
      <c r="Q1471" s="1"/>
      <c r="S1471" s="1"/>
    </row>
    <row r="1472" ht="15.75" customHeight="1">
      <c r="I1472" s="1"/>
      <c r="K1472" s="1"/>
      <c r="M1472" s="1"/>
      <c r="Q1472" s="1"/>
      <c r="S1472" s="1"/>
    </row>
    <row r="1473" ht="15.75" customHeight="1">
      <c r="I1473" s="1"/>
      <c r="K1473" s="1"/>
      <c r="M1473" s="1"/>
      <c r="Q1473" s="1"/>
      <c r="S1473" s="1"/>
    </row>
    <row r="1474" ht="15.75" customHeight="1">
      <c r="I1474" s="1"/>
      <c r="K1474" s="1"/>
      <c r="M1474" s="1"/>
      <c r="Q1474" s="1"/>
      <c r="S1474" s="1"/>
    </row>
    <row r="1475" ht="15.75" customHeight="1">
      <c r="I1475" s="1"/>
      <c r="K1475" s="1"/>
      <c r="M1475" s="1"/>
      <c r="Q1475" s="1"/>
      <c r="S1475" s="1"/>
    </row>
    <row r="1476" ht="15.75" customHeight="1">
      <c r="I1476" s="1"/>
      <c r="K1476" s="1"/>
      <c r="M1476" s="1"/>
      <c r="Q1476" s="1"/>
      <c r="S1476" s="1"/>
    </row>
    <row r="1477" ht="15.75" customHeight="1">
      <c r="I1477" s="1"/>
      <c r="K1477" s="1"/>
      <c r="M1477" s="1"/>
      <c r="Q1477" s="1"/>
      <c r="S1477" s="1"/>
    </row>
    <row r="1478" ht="15.75" customHeight="1">
      <c r="I1478" s="1"/>
      <c r="K1478" s="1"/>
      <c r="M1478" s="1"/>
      <c r="Q1478" s="1"/>
      <c r="S1478" s="1"/>
    </row>
    <row r="1479" ht="15.75" customHeight="1">
      <c r="I1479" s="1"/>
      <c r="K1479" s="1"/>
      <c r="M1479" s="1"/>
      <c r="Q1479" s="1"/>
      <c r="S1479" s="1"/>
    </row>
    <row r="1480" ht="15.75" customHeight="1">
      <c r="I1480" s="1"/>
      <c r="K1480" s="1"/>
      <c r="M1480" s="1"/>
      <c r="Q1480" s="1"/>
      <c r="S1480" s="1"/>
    </row>
    <row r="1481" ht="15.75" customHeight="1">
      <c r="I1481" s="1"/>
      <c r="K1481" s="1"/>
      <c r="M1481" s="1"/>
      <c r="Q1481" s="1"/>
      <c r="S1481" s="1"/>
    </row>
    <row r="1482" ht="15.75" customHeight="1">
      <c r="I1482" s="1"/>
      <c r="K1482" s="1"/>
      <c r="M1482" s="1"/>
      <c r="Q1482" s="1"/>
      <c r="S1482" s="1"/>
    </row>
    <row r="1483" ht="15.75" customHeight="1">
      <c r="I1483" s="1"/>
      <c r="K1483" s="1"/>
      <c r="M1483" s="1"/>
      <c r="Q1483" s="1"/>
      <c r="S1483" s="1"/>
    </row>
    <row r="1484" ht="15.75" customHeight="1">
      <c r="I1484" s="1"/>
      <c r="K1484" s="1"/>
      <c r="M1484" s="1"/>
      <c r="Q1484" s="1"/>
      <c r="S1484" s="1"/>
    </row>
    <row r="1485" ht="15.75" customHeight="1">
      <c r="I1485" s="1"/>
      <c r="K1485" s="1"/>
      <c r="M1485" s="1"/>
      <c r="Q1485" s="1"/>
      <c r="S1485" s="1"/>
    </row>
    <row r="1486" ht="15.75" customHeight="1">
      <c r="I1486" s="1"/>
      <c r="K1486" s="1"/>
      <c r="M1486" s="1"/>
      <c r="Q1486" s="1"/>
      <c r="S1486" s="1"/>
    </row>
    <row r="1487" ht="15.75" customHeight="1">
      <c r="I1487" s="1"/>
      <c r="K1487" s="1"/>
      <c r="M1487" s="1"/>
      <c r="Q1487" s="1"/>
      <c r="S1487" s="1"/>
    </row>
    <row r="1488" ht="15.75" customHeight="1">
      <c r="I1488" s="1"/>
      <c r="K1488" s="1"/>
      <c r="M1488" s="1"/>
      <c r="Q1488" s="1"/>
      <c r="S1488" s="1"/>
    </row>
    <row r="1489" ht="15.75" customHeight="1">
      <c r="I1489" s="1"/>
      <c r="K1489" s="1"/>
      <c r="M1489" s="1"/>
      <c r="Q1489" s="1"/>
      <c r="S1489" s="1"/>
    </row>
    <row r="1490" ht="15.75" customHeight="1">
      <c r="I1490" s="1"/>
      <c r="K1490" s="1"/>
      <c r="M1490" s="1"/>
      <c r="Q1490" s="1"/>
      <c r="S1490" s="1"/>
    </row>
    <row r="1491" ht="15.75" customHeight="1">
      <c r="I1491" s="1"/>
      <c r="K1491" s="1"/>
      <c r="M1491" s="1"/>
      <c r="Q1491" s="1"/>
      <c r="S1491" s="1"/>
    </row>
    <row r="1492" ht="15.75" customHeight="1">
      <c r="I1492" s="1"/>
      <c r="K1492" s="1"/>
      <c r="M1492" s="1"/>
      <c r="Q1492" s="1"/>
      <c r="S1492" s="1"/>
    </row>
    <row r="1493" ht="15.75" customHeight="1">
      <c r="I1493" s="1"/>
      <c r="K1493" s="1"/>
      <c r="M1493" s="1"/>
      <c r="Q1493" s="1"/>
      <c r="S1493" s="1"/>
    </row>
    <row r="1494" ht="15.75" customHeight="1">
      <c r="I1494" s="1"/>
      <c r="K1494" s="1"/>
      <c r="M1494" s="1"/>
      <c r="Q1494" s="1"/>
      <c r="S1494" s="1"/>
    </row>
    <row r="1495" ht="15.75" customHeight="1">
      <c r="I1495" s="1"/>
      <c r="K1495" s="1"/>
      <c r="M1495" s="1"/>
      <c r="Q1495" s="1"/>
      <c r="S1495" s="1"/>
    </row>
    <row r="1496" ht="15.75" customHeight="1">
      <c r="I1496" s="1"/>
      <c r="K1496" s="1"/>
      <c r="M1496" s="1"/>
      <c r="Q1496" s="1"/>
      <c r="S1496" s="1"/>
    </row>
    <row r="1497" ht="15.75" customHeight="1">
      <c r="I1497" s="1"/>
      <c r="K1497" s="1"/>
      <c r="M1497" s="1"/>
      <c r="Q1497" s="1"/>
      <c r="S1497" s="1"/>
    </row>
    <row r="1498" ht="15.75" customHeight="1">
      <c r="I1498" s="1"/>
      <c r="K1498" s="1"/>
      <c r="M1498" s="1"/>
      <c r="Q1498" s="1"/>
      <c r="S1498" s="1"/>
    </row>
    <row r="1499" ht="15.75" customHeight="1">
      <c r="I1499" s="1"/>
      <c r="K1499" s="1"/>
      <c r="M1499" s="1"/>
      <c r="Q1499" s="1"/>
      <c r="S1499" s="1"/>
    </row>
    <row r="1500" ht="15.75" customHeight="1">
      <c r="I1500" s="1"/>
      <c r="K1500" s="1"/>
      <c r="M1500" s="1"/>
      <c r="Q1500" s="1"/>
      <c r="S1500" s="1"/>
    </row>
    <row r="1501" ht="15.75" customHeight="1">
      <c r="I1501" s="1"/>
      <c r="K1501" s="1"/>
      <c r="M1501" s="1"/>
      <c r="Q1501" s="1"/>
      <c r="S1501" s="1"/>
    </row>
    <row r="1502" ht="15.75" customHeight="1">
      <c r="I1502" s="1"/>
      <c r="K1502" s="1"/>
      <c r="M1502" s="1"/>
      <c r="Q1502" s="1"/>
      <c r="S1502" s="1"/>
    </row>
    <row r="1503" ht="15.75" customHeight="1">
      <c r="I1503" s="1"/>
      <c r="K1503" s="1"/>
      <c r="M1503" s="1"/>
      <c r="Q1503" s="1"/>
      <c r="S1503" s="1"/>
    </row>
    <row r="1504" ht="15.75" customHeight="1">
      <c r="I1504" s="1"/>
      <c r="K1504" s="1"/>
      <c r="M1504" s="1"/>
      <c r="Q1504" s="1"/>
      <c r="S1504" s="1"/>
    </row>
    <row r="1505" ht="15.75" customHeight="1">
      <c r="I1505" s="1"/>
      <c r="K1505" s="1"/>
      <c r="M1505" s="1"/>
      <c r="Q1505" s="1"/>
      <c r="S1505" s="1"/>
    </row>
    <row r="1506" ht="15.75" customHeight="1">
      <c r="I1506" s="1"/>
      <c r="K1506" s="1"/>
      <c r="M1506" s="1"/>
      <c r="Q1506" s="1"/>
      <c r="S1506" s="1"/>
    </row>
    <row r="1507" ht="15.75" customHeight="1">
      <c r="I1507" s="1"/>
      <c r="K1507" s="1"/>
      <c r="M1507" s="1"/>
      <c r="Q1507" s="1"/>
      <c r="S1507" s="1"/>
    </row>
    <row r="1508" ht="15.75" customHeight="1">
      <c r="I1508" s="1"/>
      <c r="K1508" s="1"/>
      <c r="M1508" s="1"/>
      <c r="Q1508" s="1"/>
      <c r="S1508" s="1"/>
    </row>
    <row r="1509" ht="15.75" customHeight="1">
      <c r="I1509" s="1"/>
      <c r="K1509" s="1"/>
      <c r="M1509" s="1"/>
      <c r="Q1509" s="1"/>
      <c r="S1509" s="1"/>
    </row>
    <row r="1510" ht="15.75" customHeight="1">
      <c r="I1510" s="1"/>
      <c r="K1510" s="1"/>
      <c r="M1510" s="1"/>
      <c r="Q1510" s="1"/>
      <c r="S1510" s="1"/>
    </row>
    <row r="1511" ht="15.75" customHeight="1">
      <c r="I1511" s="1"/>
      <c r="K1511" s="1"/>
      <c r="M1511" s="1"/>
      <c r="Q1511" s="1"/>
      <c r="S1511" s="1"/>
    </row>
    <row r="1512" ht="15.75" customHeight="1">
      <c r="I1512" s="1"/>
      <c r="K1512" s="1"/>
      <c r="M1512" s="1"/>
      <c r="Q1512" s="1"/>
      <c r="S1512" s="1"/>
    </row>
    <row r="1513" ht="15.75" customHeight="1">
      <c r="I1513" s="1"/>
      <c r="K1513" s="1"/>
      <c r="M1513" s="1"/>
      <c r="Q1513" s="1"/>
      <c r="S1513" s="1"/>
    </row>
    <row r="1514" ht="15.75" customHeight="1">
      <c r="I1514" s="1"/>
      <c r="K1514" s="1"/>
      <c r="M1514" s="1"/>
      <c r="Q1514" s="1"/>
      <c r="S1514" s="1"/>
    </row>
    <row r="1515" ht="15.75" customHeight="1">
      <c r="I1515" s="1"/>
      <c r="K1515" s="1"/>
      <c r="M1515" s="1"/>
      <c r="Q1515" s="1"/>
      <c r="S1515" s="1"/>
    </row>
    <row r="1516" ht="15.75" customHeight="1">
      <c r="I1516" s="1"/>
      <c r="K1516" s="1"/>
      <c r="M1516" s="1"/>
      <c r="Q1516" s="1"/>
      <c r="S1516" s="1"/>
    </row>
    <row r="1517" ht="15.75" customHeight="1">
      <c r="I1517" s="1"/>
      <c r="K1517" s="1"/>
      <c r="M1517" s="1"/>
      <c r="Q1517" s="1"/>
      <c r="S1517" s="1"/>
    </row>
    <row r="1518" ht="15.75" customHeight="1">
      <c r="I1518" s="1"/>
      <c r="K1518" s="1"/>
      <c r="M1518" s="1"/>
      <c r="Q1518" s="1"/>
      <c r="S1518" s="1"/>
    </row>
    <row r="1519" ht="15.75" customHeight="1">
      <c r="I1519" s="1"/>
      <c r="K1519" s="1"/>
      <c r="M1519" s="1"/>
      <c r="Q1519" s="1"/>
      <c r="S1519" s="1"/>
    </row>
    <row r="1520" ht="15.75" customHeight="1">
      <c r="I1520" s="1"/>
      <c r="K1520" s="1"/>
      <c r="M1520" s="1"/>
      <c r="Q1520" s="1"/>
      <c r="S1520" s="1"/>
    </row>
    <row r="1521" ht="15.75" customHeight="1">
      <c r="I1521" s="1"/>
      <c r="K1521" s="1"/>
      <c r="M1521" s="1"/>
      <c r="Q1521" s="1"/>
      <c r="S1521" s="1"/>
    </row>
    <row r="1522" ht="15.75" customHeight="1">
      <c r="I1522" s="1"/>
      <c r="K1522" s="1"/>
      <c r="M1522" s="1"/>
      <c r="Q1522" s="1"/>
      <c r="S1522" s="1"/>
    </row>
    <row r="1523" ht="15.75" customHeight="1">
      <c r="I1523" s="1"/>
      <c r="K1523" s="1"/>
      <c r="M1523" s="1"/>
      <c r="Q1523" s="1"/>
      <c r="S1523" s="1"/>
    </row>
    <row r="1524" ht="15.75" customHeight="1">
      <c r="I1524" s="1"/>
      <c r="K1524" s="1"/>
      <c r="M1524" s="1"/>
      <c r="Q1524" s="1"/>
      <c r="S1524" s="1"/>
    </row>
    <row r="1525" ht="15.75" customHeight="1">
      <c r="I1525" s="1"/>
      <c r="K1525" s="1"/>
      <c r="M1525" s="1"/>
      <c r="Q1525" s="1"/>
      <c r="S1525" s="1"/>
    </row>
    <row r="1526" ht="15.75" customHeight="1">
      <c r="I1526" s="1"/>
      <c r="K1526" s="1"/>
      <c r="M1526" s="1"/>
      <c r="Q1526" s="1"/>
      <c r="S1526" s="1"/>
    </row>
    <row r="1527" ht="15.75" customHeight="1">
      <c r="I1527" s="1"/>
      <c r="K1527" s="1"/>
      <c r="M1527" s="1"/>
      <c r="Q1527" s="1"/>
      <c r="S1527" s="1"/>
    </row>
    <row r="1528" ht="15.75" customHeight="1">
      <c r="I1528" s="1"/>
      <c r="K1528" s="1"/>
      <c r="M1528" s="1"/>
      <c r="Q1528" s="1"/>
      <c r="S1528" s="1"/>
    </row>
    <row r="1529" ht="15.75" customHeight="1">
      <c r="I1529" s="1"/>
      <c r="K1529" s="1"/>
      <c r="M1529" s="1"/>
      <c r="Q1529" s="1"/>
      <c r="S1529" s="1"/>
    </row>
    <row r="1530" ht="15.75" customHeight="1">
      <c r="I1530" s="1"/>
      <c r="K1530" s="1"/>
      <c r="M1530" s="1"/>
      <c r="Q1530" s="1"/>
      <c r="S1530" s="1"/>
    </row>
    <row r="1531" ht="15.75" customHeight="1">
      <c r="I1531" s="1"/>
      <c r="K1531" s="1"/>
      <c r="M1531" s="1"/>
      <c r="Q1531" s="1"/>
      <c r="S1531" s="1"/>
    </row>
    <row r="1532" ht="15.75" customHeight="1">
      <c r="I1532" s="1"/>
      <c r="K1532" s="1"/>
      <c r="M1532" s="1"/>
      <c r="Q1532" s="1"/>
      <c r="S1532" s="1"/>
    </row>
    <row r="1533" ht="15.75" customHeight="1">
      <c r="I1533" s="1"/>
      <c r="K1533" s="1"/>
      <c r="M1533" s="1"/>
      <c r="Q1533" s="1"/>
      <c r="S1533" s="1"/>
    </row>
    <row r="1534" ht="15.75" customHeight="1">
      <c r="I1534" s="1"/>
      <c r="K1534" s="1"/>
      <c r="M1534" s="1"/>
      <c r="Q1534" s="1"/>
      <c r="S1534" s="1"/>
    </row>
    <row r="1535" ht="15.75" customHeight="1">
      <c r="I1535" s="1"/>
      <c r="K1535" s="1"/>
      <c r="M1535" s="1"/>
      <c r="Q1535" s="1"/>
      <c r="S1535" s="1"/>
    </row>
    <row r="1536" ht="15.75" customHeight="1">
      <c r="I1536" s="1"/>
      <c r="K1536" s="1"/>
      <c r="M1536" s="1"/>
      <c r="Q1536" s="1"/>
      <c r="S1536" s="1"/>
    </row>
    <row r="1537" ht="15.75" customHeight="1">
      <c r="I1537" s="1"/>
      <c r="K1537" s="1"/>
      <c r="M1537" s="1"/>
      <c r="Q1537" s="1"/>
      <c r="S1537" s="1"/>
    </row>
    <row r="1538" ht="15.75" customHeight="1">
      <c r="I1538" s="1"/>
      <c r="K1538" s="1"/>
      <c r="M1538" s="1"/>
      <c r="Q1538" s="1"/>
      <c r="S1538" s="1"/>
    </row>
    <row r="1539" ht="15.75" customHeight="1">
      <c r="I1539" s="1"/>
      <c r="K1539" s="1"/>
      <c r="M1539" s="1"/>
      <c r="Q1539" s="1"/>
      <c r="S1539" s="1"/>
    </row>
    <row r="1540" ht="15.75" customHeight="1">
      <c r="I1540" s="1"/>
      <c r="K1540" s="1"/>
      <c r="M1540" s="1"/>
      <c r="Q1540" s="1"/>
      <c r="S1540" s="1"/>
    </row>
    <row r="1541" ht="15.75" customHeight="1">
      <c r="I1541" s="1"/>
      <c r="K1541" s="1"/>
      <c r="M1541" s="1"/>
      <c r="Q1541" s="1"/>
      <c r="S1541" s="1"/>
    </row>
    <row r="1542" ht="15.75" customHeight="1">
      <c r="I1542" s="1"/>
      <c r="K1542" s="1"/>
      <c r="M1542" s="1"/>
      <c r="Q1542" s="1"/>
      <c r="S1542" s="1"/>
    </row>
    <row r="1543" ht="15.75" customHeight="1">
      <c r="I1543" s="1"/>
      <c r="K1543" s="1"/>
      <c r="M1543" s="1"/>
      <c r="Q1543" s="1"/>
      <c r="S1543" s="1"/>
    </row>
    <row r="1544" ht="15.75" customHeight="1">
      <c r="I1544" s="1"/>
      <c r="K1544" s="1"/>
      <c r="M1544" s="1"/>
      <c r="Q1544" s="1"/>
      <c r="S1544" s="1"/>
    </row>
    <row r="1545" ht="15.75" customHeight="1">
      <c r="I1545" s="1"/>
      <c r="K1545" s="1"/>
      <c r="M1545" s="1"/>
      <c r="Q1545" s="1"/>
      <c r="S1545" s="1"/>
    </row>
    <row r="1546" ht="15.75" customHeight="1">
      <c r="I1546" s="1"/>
      <c r="K1546" s="1"/>
      <c r="M1546" s="1"/>
      <c r="Q1546" s="1"/>
      <c r="S1546" s="1"/>
    </row>
    <row r="1547" ht="15.75" customHeight="1">
      <c r="I1547" s="1"/>
      <c r="K1547" s="1"/>
      <c r="M1547" s="1"/>
      <c r="Q1547" s="1"/>
      <c r="S1547" s="1"/>
    </row>
    <row r="1548" ht="15.75" customHeight="1">
      <c r="I1548" s="1"/>
      <c r="K1548" s="1"/>
      <c r="M1548" s="1"/>
      <c r="Q1548" s="1"/>
      <c r="S1548" s="1"/>
    </row>
    <row r="1549" ht="15.75" customHeight="1">
      <c r="I1549" s="1"/>
      <c r="K1549" s="1"/>
      <c r="M1549" s="1"/>
      <c r="Q1549" s="1"/>
      <c r="S1549" s="1"/>
    </row>
    <row r="1550" ht="15.75" customHeight="1">
      <c r="I1550" s="1"/>
      <c r="K1550" s="1"/>
      <c r="M1550" s="1"/>
      <c r="Q1550" s="1"/>
      <c r="S1550" s="1"/>
    </row>
    <row r="1551" ht="15.75" customHeight="1">
      <c r="I1551" s="1"/>
      <c r="K1551" s="1"/>
      <c r="M1551" s="1"/>
      <c r="Q1551" s="1"/>
      <c r="S1551" s="1"/>
    </row>
    <row r="1552" ht="15.75" customHeight="1">
      <c r="I1552" s="1"/>
      <c r="K1552" s="1"/>
      <c r="M1552" s="1"/>
      <c r="Q1552" s="1"/>
      <c r="S1552" s="1"/>
    </row>
    <row r="1553" ht="15.75" customHeight="1">
      <c r="I1553" s="1"/>
      <c r="K1553" s="1"/>
      <c r="M1553" s="1"/>
      <c r="Q1553" s="1"/>
      <c r="S1553" s="1"/>
    </row>
    <row r="1554" ht="15.75" customHeight="1">
      <c r="I1554" s="1"/>
      <c r="K1554" s="1"/>
      <c r="M1554" s="1"/>
      <c r="Q1554" s="1"/>
      <c r="S1554" s="1"/>
    </row>
    <row r="1555" ht="15.75" customHeight="1">
      <c r="I1555" s="1"/>
      <c r="K1555" s="1"/>
      <c r="M1555" s="1"/>
      <c r="Q1555" s="1"/>
      <c r="S1555" s="1"/>
    </row>
    <row r="1556" ht="15.75" customHeight="1">
      <c r="I1556" s="1"/>
      <c r="K1556" s="1"/>
      <c r="M1556" s="1"/>
      <c r="Q1556" s="1"/>
      <c r="S1556" s="1"/>
    </row>
    <row r="1557" ht="15.75" customHeight="1">
      <c r="I1557" s="1"/>
      <c r="K1557" s="1"/>
      <c r="M1557" s="1"/>
      <c r="Q1557" s="1"/>
      <c r="S1557" s="1"/>
    </row>
    <row r="1558" ht="15.75" customHeight="1">
      <c r="I1558" s="1"/>
      <c r="K1558" s="1"/>
      <c r="M1558" s="1"/>
      <c r="Q1558" s="1"/>
      <c r="S1558" s="1"/>
    </row>
    <row r="1559" ht="15.75" customHeight="1">
      <c r="I1559" s="1"/>
      <c r="K1559" s="1"/>
      <c r="M1559" s="1"/>
      <c r="Q1559" s="1"/>
      <c r="S1559" s="1"/>
    </row>
    <row r="1560" ht="15.75" customHeight="1">
      <c r="I1560" s="1"/>
      <c r="K1560" s="1"/>
      <c r="M1560" s="1"/>
      <c r="Q1560" s="1"/>
      <c r="S1560" s="1"/>
    </row>
    <row r="1561" ht="15.75" customHeight="1">
      <c r="I1561" s="1"/>
      <c r="K1561" s="1"/>
      <c r="M1561" s="1"/>
      <c r="Q1561" s="1"/>
      <c r="S1561" s="1"/>
    </row>
    <row r="1562" ht="15.75" customHeight="1">
      <c r="I1562" s="1"/>
      <c r="K1562" s="1"/>
      <c r="M1562" s="1"/>
      <c r="Q1562" s="1"/>
      <c r="S1562" s="1"/>
    </row>
    <row r="1563" ht="15.75" customHeight="1">
      <c r="I1563" s="1"/>
      <c r="K1563" s="1"/>
      <c r="M1563" s="1"/>
      <c r="Q1563" s="1"/>
      <c r="S1563" s="1"/>
    </row>
    <row r="1564" ht="15.75" customHeight="1">
      <c r="I1564" s="1"/>
      <c r="K1564" s="1"/>
      <c r="M1564" s="1"/>
      <c r="Q1564" s="1"/>
      <c r="S1564" s="1"/>
    </row>
    <row r="1565" ht="15.75" customHeight="1">
      <c r="I1565" s="1"/>
      <c r="K1565" s="1"/>
      <c r="M1565" s="1"/>
      <c r="Q1565" s="1"/>
      <c r="S1565" s="1"/>
    </row>
    <row r="1566" ht="15.75" customHeight="1">
      <c r="I1566" s="1"/>
      <c r="K1566" s="1"/>
      <c r="M1566" s="1"/>
      <c r="Q1566" s="1"/>
      <c r="S1566" s="1"/>
    </row>
    <row r="1567" ht="15.75" customHeight="1">
      <c r="I1567" s="1"/>
      <c r="K1567" s="1"/>
      <c r="M1567" s="1"/>
      <c r="Q1567" s="1"/>
      <c r="S1567" s="1"/>
    </row>
    <row r="1568" ht="15.75" customHeight="1">
      <c r="I1568" s="1"/>
      <c r="K1568" s="1"/>
      <c r="M1568" s="1"/>
      <c r="Q1568" s="1"/>
      <c r="S1568" s="1"/>
    </row>
    <row r="1569" ht="15.75" customHeight="1">
      <c r="I1569" s="1"/>
      <c r="K1569" s="1"/>
      <c r="M1569" s="1"/>
      <c r="Q1569" s="1"/>
      <c r="S1569" s="1"/>
    </row>
    <row r="1570" ht="15.75" customHeight="1">
      <c r="I1570" s="1"/>
      <c r="K1570" s="1"/>
      <c r="M1570" s="1"/>
      <c r="Q1570" s="1"/>
      <c r="S1570" s="1"/>
    </row>
    <row r="1571" ht="15.75" customHeight="1">
      <c r="I1571" s="1"/>
      <c r="K1571" s="1"/>
      <c r="M1571" s="1"/>
      <c r="Q1571" s="1"/>
      <c r="S1571" s="1"/>
    </row>
    <row r="1572" ht="15.75" customHeight="1">
      <c r="I1572" s="1"/>
      <c r="K1572" s="1"/>
      <c r="M1572" s="1"/>
      <c r="Q1572" s="1"/>
      <c r="S1572" s="1"/>
    </row>
    <row r="1573" ht="15.75" customHeight="1">
      <c r="I1573" s="1"/>
      <c r="K1573" s="1"/>
      <c r="M1573" s="1"/>
      <c r="Q1573" s="1"/>
      <c r="S1573" s="1"/>
    </row>
    <row r="1574" ht="15.75" customHeight="1">
      <c r="I1574" s="1"/>
      <c r="K1574" s="1"/>
      <c r="M1574" s="1"/>
      <c r="Q1574" s="1"/>
      <c r="S1574" s="1"/>
    </row>
    <row r="1575" ht="15.75" customHeight="1">
      <c r="I1575" s="1"/>
      <c r="K1575" s="1"/>
      <c r="M1575" s="1"/>
      <c r="Q1575" s="1"/>
      <c r="S1575" s="1"/>
    </row>
    <row r="1576" ht="15.75" customHeight="1">
      <c r="I1576" s="1"/>
      <c r="K1576" s="1"/>
      <c r="M1576" s="1"/>
      <c r="Q1576" s="1"/>
      <c r="S1576" s="1"/>
    </row>
    <row r="1577" ht="15.75" customHeight="1">
      <c r="I1577" s="1"/>
      <c r="K1577" s="1"/>
      <c r="M1577" s="1"/>
      <c r="Q1577" s="1"/>
      <c r="S1577" s="1"/>
    </row>
    <row r="1578" ht="15.75" customHeight="1">
      <c r="I1578" s="1"/>
      <c r="K1578" s="1"/>
      <c r="M1578" s="1"/>
      <c r="Q1578" s="1"/>
      <c r="S1578" s="1"/>
    </row>
    <row r="1579" ht="15.75" customHeight="1">
      <c r="I1579" s="1"/>
      <c r="K1579" s="1"/>
      <c r="M1579" s="1"/>
      <c r="Q1579" s="1"/>
      <c r="S1579" s="1"/>
    </row>
    <row r="1580" ht="15.75" customHeight="1">
      <c r="I1580" s="1"/>
      <c r="K1580" s="1"/>
      <c r="M1580" s="1"/>
      <c r="Q1580" s="1"/>
      <c r="S1580" s="1"/>
    </row>
    <row r="1581" ht="15.75" customHeight="1">
      <c r="I1581" s="1"/>
      <c r="K1581" s="1"/>
      <c r="M1581" s="1"/>
      <c r="Q1581" s="1"/>
      <c r="S1581" s="1"/>
    </row>
    <row r="1582" ht="15.75" customHeight="1">
      <c r="I1582" s="1"/>
      <c r="K1582" s="1"/>
      <c r="M1582" s="1"/>
      <c r="Q1582" s="1"/>
      <c r="S1582" s="1"/>
    </row>
    <row r="1583" ht="15.75" customHeight="1">
      <c r="I1583" s="1"/>
      <c r="K1583" s="1"/>
      <c r="M1583" s="1"/>
      <c r="Q1583" s="1"/>
      <c r="S1583" s="1"/>
    </row>
    <row r="1584" ht="15.75" customHeight="1">
      <c r="I1584" s="1"/>
      <c r="K1584" s="1"/>
      <c r="M1584" s="1"/>
      <c r="Q1584" s="1"/>
      <c r="S1584" s="1"/>
    </row>
    <row r="1585" ht="15.75" customHeight="1">
      <c r="I1585" s="1"/>
      <c r="K1585" s="1"/>
      <c r="M1585" s="1"/>
      <c r="Q1585" s="1"/>
      <c r="S1585" s="1"/>
    </row>
    <row r="1586" ht="15.75" customHeight="1">
      <c r="I1586" s="1"/>
      <c r="K1586" s="1"/>
      <c r="M1586" s="1"/>
      <c r="Q1586" s="1"/>
      <c r="S1586" s="1"/>
    </row>
    <row r="1587" ht="15.75" customHeight="1">
      <c r="I1587" s="1"/>
      <c r="K1587" s="1"/>
      <c r="M1587" s="1"/>
      <c r="Q1587" s="1"/>
      <c r="S1587" s="1"/>
    </row>
    <row r="1588" ht="15.75" customHeight="1">
      <c r="I1588" s="1"/>
      <c r="K1588" s="1"/>
      <c r="M1588" s="1"/>
      <c r="Q1588" s="1"/>
      <c r="S1588" s="1"/>
    </row>
    <row r="1589" ht="15.75" customHeight="1">
      <c r="I1589" s="1"/>
      <c r="K1589" s="1"/>
      <c r="M1589" s="1"/>
      <c r="Q1589" s="1"/>
      <c r="S1589" s="1"/>
    </row>
    <row r="1590" ht="15.75" customHeight="1">
      <c r="I1590" s="1"/>
      <c r="K1590" s="1"/>
      <c r="M1590" s="1"/>
      <c r="Q1590" s="1"/>
      <c r="S1590" s="1"/>
    </row>
    <row r="1591" ht="15.75" customHeight="1">
      <c r="I1591" s="1"/>
      <c r="K1591" s="1"/>
      <c r="M1591" s="1"/>
      <c r="Q1591" s="1"/>
      <c r="S1591" s="1"/>
    </row>
    <row r="1592" ht="15.75" customHeight="1">
      <c r="I1592" s="1"/>
      <c r="K1592" s="1"/>
      <c r="M1592" s="1"/>
      <c r="Q1592" s="1"/>
      <c r="S1592" s="1"/>
    </row>
    <row r="1593" ht="15.75" customHeight="1">
      <c r="I1593" s="1"/>
      <c r="K1593" s="1"/>
      <c r="M1593" s="1"/>
      <c r="Q1593" s="1"/>
      <c r="S1593" s="1"/>
    </row>
    <row r="1594" ht="15.75" customHeight="1">
      <c r="I1594" s="1"/>
      <c r="K1594" s="1"/>
      <c r="M1594" s="1"/>
      <c r="Q1594" s="1"/>
      <c r="S1594" s="1"/>
    </row>
    <row r="1595" ht="15.75" customHeight="1">
      <c r="I1595" s="1"/>
      <c r="K1595" s="1"/>
      <c r="M1595" s="1"/>
      <c r="Q1595" s="1"/>
      <c r="S1595" s="1"/>
    </row>
    <row r="1596" ht="15.75" customHeight="1">
      <c r="I1596" s="1"/>
      <c r="K1596" s="1"/>
      <c r="M1596" s="1"/>
      <c r="Q1596" s="1"/>
      <c r="S1596" s="1"/>
    </row>
    <row r="1597" ht="15.75" customHeight="1">
      <c r="I1597" s="1"/>
      <c r="K1597" s="1"/>
      <c r="M1597" s="1"/>
      <c r="Q1597" s="1"/>
      <c r="S1597" s="1"/>
    </row>
    <row r="1598" ht="15.75" customHeight="1">
      <c r="I1598" s="1"/>
      <c r="K1598" s="1"/>
      <c r="M1598" s="1"/>
      <c r="Q1598" s="1"/>
      <c r="S1598" s="1"/>
    </row>
    <row r="1599" ht="15.75" customHeight="1">
      <c r="I1599" s="1"/>
      <c r="K1599" s="1"/>
      <c r="M1599" s="1"/>
      <c r="Q1599" s="1"/>
      <c r="S1599" s="1"/>
    </row>
    <row r="1600" ht="15.75" customHeight="1">
      <c r="I1600" s="1"/>
      <c r="K1600" s="1"/>
      <c r="M1600" s="1"/>
      <c r="Q1600" s="1"/>
      <c r="S1600" s="1"/>
    </row>
    <row r="1601" ht="15.75" customHeight="1">
      <c r="I1601" s="1"/>
      <c r="K1601" s="1"/>
      <c r="M1601" s="1"/>
      <c r="Q1601" s="1"/>
      <c r="S1601" s="1"/>
    </row>
    <row r="1602" ht="15.75" customHeight="1">
      <c r="I1602" s="1"/>
      <c r="K1602" s="1"/>
      <c r="M1602" s="1"/>
      <c r="Q1602" s="1"/>
      <c r="S1602" s="1"/>
    </row>
    <row r="1603" ht="15.75" customHeight="1">
      <c r="I1603" s="1"/>
      <c r="K1603" s="1"/>
      <c r="M1603" s="1"/>
      <c r="Q1603" s="1"/>
      <c r="S1603" s="1"/>
    </row>
    <row r="1604" ht="15.75" customHeight="1">
      <c r="I1604" s="1"/>
      <c r="K1604" s="1"/>
      <c r="M1604" s="1"/>
      <c r="Q1604" s="1"/>
      <c r="S1604" s="1"/>
    </row>
    <row r="1605" ht="15.75" customHeight="1">
      <c r="I1605" s="1"/>
      <c r="K1605" s="1"/>
      <c r="M1605" s="1"/>
      <c r="Q1605" s="1"/>
      <c r="S1605" s="1"/>
    </row>
    <row r="1606" ht="15.75" customHeight="1">
      <c r="I1606" s="1"/>
      <c r="K1606" s="1"/>
      <c r="M1606" s="1"/>
      <c r="Q1606" s="1"/>
      <c r="S1606" s="1"/>
    </row>
    <row r="1607" ht="15.75" customHeight="1">
      <c r="I1607" s="1"/>
      <c r="K1607" s="1"/>
      <c r="M1607" s="1"/>
      <c r="Q1607" s="1"/>
      <c r="S1607" s="1"/>
    </row>
    <row r="1608" ht="15.75" customHeight="1">
      <c r="I1608" s="1"/>
      <c r="K1608" s="1"/>
      <c r="M1608" s="1"/>
      <c r="Q1608" s="1"/>
      <c r="S1608" s="1"/>
    </row>
    <row r="1609" ht="15.75" customHeight="1">
      <c r="I1609" s="1"/>
      <c r="K1609" s="1"/>
      <c r="M1609" s="1"/>
      <c r="Q1609" s="1"/>
      <c r="S1609" s="1"/>
    </row>
    <row r="1610" ht="15.75" customHeight="1">
      <c r="I1610" s="1"/>
      <c r="K1610" s="1"/>
      <c r="M1610" s="1"/>
      <c r="Q1610" s="1"/>
      <c r="S1610" s="1"/>
    </row>
    <row r="1611" ht="15.75" customHeight="1">
      <c r="I1611" s="1"/>
      <c r="K1611" s="1"/>
      <c r="M1611" s="1"/>
      <c r="Q1611" s="1"/>
      <c r="S1611" s="1"/>
    </row>
    <row r="1612" ht="15.75" customHeight="1">
      <c r="I1612" s="1"/>
      <c r="K1612" s="1"/>
      <c r="M1612" s="1"/>
      <c r="Q1612" s="1"/>
      <c r="S1612" s="1"/>
    </row>
    <row r="1613" ht="15.75" customHeight="1">
      <c r="I1613" s="1"/>
      <c r="K1613" s="1"/>
      <c r="M1613" s="1"/>
      <c r="Q1613" s="1"/>
      <c r="S1613" s="1"/>
    </row>
    <row r="1614" ht="15.75" customHeight="1">
      <c r="I1614" s="1"/>
      <c r="K1614" s="1"/>
      <c r="M1614" s="1"/>
      <c r="Q1614" s="1"/>
      <c r="S1614" s="1"/>
    </row>
    <row r="1615" ht="15.75" customHeight="1">
      <c r="I1615" s="1"/>
      <c r="K1615" s="1"/>
      <c r="M1615" s="1"/>
      <c r="Q1615" s="1"/>
      <c r="S1615" s="1"/>
    </row>
    <row r="1616" ht="15.75" customHeight="1">
      <c r="I1616" s="1"/>
      <c r="K1616" s="1"/>
      <c r="M1616" s="1"/>
      <c r="Q1616" s="1"/>
      <c r="S1616" s="1"/>
    </row>
    <row r="1617" ht="15.75" customHeight="1">
      <c r="I1617" s="1"/>
      <c r="K1617" s="1"/>
      <c r="M1617" s="1"/>
      <c r="Q1617" s="1"/>
      <c r="S1617" s="1"/>
    </row>
    <row r="1618" ht="15.75" customHeight="1">
      <c r="I1618" s="1"/>
      <c r="K1618" s="1"/>
      <c r="M1618" s="1"/>
      <c r="Q1618" s="1"/>
      <c r="S1618" s="1"/>
    </row>
    <row r="1619" ht="15.75" customHeight="1">
      <c r="I1619" s="1"/>
      <c r="K1619" s="1"/>
      <c r="M1619" s="1"/>
      <c r="Q1619" s="1"/>
      <c r="S1619" s="1"/>
    </row>
    <row r="1620" ht="15.75" customHeight="1">
      <c r="I1620" s="1"/>
      <c r="K1620" s="1"/>
      <c r="M1620" s="1"/>
      <c r="Q1620" s="1"/>
      <c r="S1620" s="1"/>
    </row>
    <row r="1621" ht="15.75" customHeight="1">
      <c r="I1621" s="1"/>
      <c r="K1621" s="1"/>
      <c r="M1621" s="1"/>
      <c r="Q1621" s="1"/>
      <c r="S1621" s="1"/>
    </row>
    <row r="1622" ht="15.75" customHeight="1">
      <c r="I1622" s="1"/>
      <c r="K1622" s="1"/>
      <c r="M1622" s="1"/>
      <c r="Q1622" s="1"/>
      <c r="S1622" s="1"/>
    </row>
    <row r="1623" ht="15.75" customHeight="1">
      <c r="I1623" s="1"/>
      <c r="K1623" s="1"/>
      <c r="M1623" s="1"/>
      <c r="Q1623" s="1"/>
      <c r="S1623" s="1"/>
    </row>
    <row r="1624" ht="15.75" customHeight="1">
      <c r="I1624" s="1"/>
      <c r="K1624" s="1"/>
      <c r="M1624" s="1"/>
      <c r="Q1624" s="1"/>
      <c r="S1624" s="1"/>
    </row>
    <row r="1625" ht="15.75" customHeight="1">
      <c r="I1625" s="1"/>
      <c r="K1625" s="1"/>
      <c r="M1625" s="1"/>
      <c r="Q1625" s="1"/>
      <c r="S1625" s="1"/>
    </row>
    <row r="1626" ht="15.75" customHeight="1">
      <c r="I1626" s="1"/>
      <c r="K1626" s="1"/>
      <c r="M1626" s="1"/>
      <c r="Q1626" s="1"/>
      <c r="S1626" s="1"/>
    </row>
    <row r="1627" ht="15.75" customHeight="1">
      <c r="I1627" s="1"/>
      <c r="K1627" s="1"/>
      <c r="M1627" s="1"/>
      <c r="Q1627" s="1"/>
      <c r="S1627" s="1"/>
    </row>
    <row r="1628" ht="15.75" customHeight="1">
      <c r="I1628" s="1"/>
      <c r="K1628" s="1"/>
      <c r="M1628" s="1"/>
      <c r="Q1628" s="1"/>
      <c r="S1628" s="1"/>
    </row>
    <row r="1629" ht="15.75" customHeight="1">
      <c r="I1629" s="1"/>
      <c r="K1629" s="1"/>
      <c r="M1629" s="1"/>
      <c r="Q1629" s="1"/>
      <c r="S1629" s="1"/>
    </row>
    <row r="1630" ht="15.75" customHeight="1">
      <c r="I1630" s="1"/>
      <c r="K1630" s="1"/>
      <c r="M1630" s="1"/>
      <c r="Q1630" s="1"/>
      <c r="S1630" s="1"/>
    </row>
    <row r="1631" ht="15.75" customHeight="1">
      <c r="I1631" s="1"/>
      <c r="K1631" s="1"/>
      <c r="M1631" s="1"/>
      <c r="Q1631" s="1"/>
      <c r="S1631" s="1"/>
    </row>
    <row r="1632" ht="15.75" customHeight="1">
      <c r="I1632" s="1"/>
      <c r="K1632" s="1"/>
      <c r="M1632" s="1"/>
      <c r="Q1632" s="1"/>
      <c r="S1632" s="1"/>
    </row>
    <row r="1633" ht="15.75" customHeight="1">
      <c r="I1633" s="1"/>
      <c r="K1633" s="1"/>
      <c r="M1633" s="1"/>
      <c r="Q1633" s="1"/>
      <c r="S1633" s="1"/>
    </row>
    <row r="1634" ht="15.75" customHeight="1">
      <c r="I1634" s="1"/>
      <c r="K1634" s="1"/>
      <c r="M1634" s="1"/>
      <c r="Q1634" s="1"/>
      <c r="S1634" s="1"/>
    </row>
    <row r="1635" ht="15.75" customHeight="1">
      <c r="I1635" s="1"/>
      <c r="K1635" s="1"/>
      <c r="M1635" s="1"/>
      <c r="Q1635" s="1"/>
      <c r="S1635" s="1"/>
    </row>
    <row r="1636" ht="15.75" customHeight="1">
      <c r="I1636" s="1"/>
      <c r="K1636" s="1"/>
      <c r="M1636" s="1"/>
      <c r="Q1636" s="1"/>
      <c r="S1636" s="1"/>
    </row>
    <row r="1637" ht="15.75" customHeight="1">
      <c r="I1637" s="1"/>
      <c r="K1637" s="1"/>
      <c r="M1637" s="1"/>
      <c r="Q1637" s="1"/>
      <c r="S1637" s="1"/>
    </row>
    <row r="1638" ht="15.75" customHeight="1">
      <c r="I1638" s="1"/>
      <c r="K1638" s="1"/>
      <c r="M1638" s="1"/>
      <c r="Q1638" s="1"/>
      <c r="S1638" s="1"/>
    </row>
    <row r="1639" ht="15.75" customHeight="1">
      <c r="I1639" s="1"/>
      <c r="K1639" s="1"/>
      <c r="M1639" s="1"/>
      <c r="Q1639" s="1"/>
      <c r="S1639" s="1"/>
    </row>
    <row r="1640" ht="15.75" customHeight="1">
      <c r="I1640" s="1"/>
      <c r="K1640" s="1"/>
      <c r="M1640" s="1"/>
      <c r="Q1640" s="1"/>
      <c r="S1640" s="1"/>
    </row>
    <row r="1641" ht="15.75" customHeight="1">
      <c r="I1641" s="1"/>
      <c r="K1641" s="1"/>
      <c r="M1641" s="1"/>
      <c r="Q1641" s="1"/>
      <c r="S1641" s="1"/>
    </row>
    <row r="1642" ht="15.75" customHeight="1">
      <c r="I1642" s="1"/>
      <c r="K1642" s="1"/>
      <c r="M1642" s="1"/>
      <c r="Q1642" s="1"/>
      <c r="S1642" s="1"/>
    </row>
    <row r="1643" ht="15.75" customHeight="1">
      <c r="I1643" s="1"/>
      <c r="K1643" s="1"/>
      <c r="M1643" s="1"/>
      <c r="Q1643" s="1"/>
      <c r="S1643" s="1"/>
    </row>
    <row r="1644" ht="15.75" customHeight="1">
      <c r="I1644" s="1"/>
      <c r="K1644" s="1"/>
      <c r="M1644" s="1"/>
      <c r="Q1644" s="1"/>
      <c r="S1644" s="1"/>
    </row>
    <row r="1645" ht="15.75" customHeight="1">
      <c r="I1645" s="1"/>
      <c r="K1645" s="1"/>
      <c r="M1645" s="1"/>
      <c r="Q1645" s="1"/>
      <c r="S1645" s="1"/>
    </row>
    <row r="1646" ht="15.75" customHeight="1">
      <c r="I1646" s="1"/>
      <c r="K1646" s="1"/>
      <c r="M1646" s="1"/>
      <c r="Q1646" s="1"/>
      <c r="S1646" s="1"/>
    </row>
    <row r="1647" ht="15.75" customHeight="1">
      <c r="I1647" s="1"/>
      <c r="K1647" s="1"/>
      <c r="M1647" s="1"/>
      <c r="Q1647" s="1"/>
      <c r="S1647" s="1"/>
    </row>
    <row r="1648" ht="15.75" customHeight="1">
      <c r="I1648" s="1"/>
      <c r="K1648" s="1"/>
      <c r="M1648" s="1"/>
      <c r="Q1648" s="1"/>
      <c r="S1648" s="1"/>
    </row>
    <row r="1649" ht="15.75" customHeight="1">
      <c r="I1649" s="1"/>
      <c r="K1649" s="1"/>
      <c r="M1649" s="1"/>
      <c r="Q1649" s="1"/>
      <c r="S1649" s="1"/>
    </row>
    <row r="1650" ht="15.75" customHeight="1">
      <c r="I1650" s="1"/>
      <c r="K1650" s="1"/>
      <c r="M1650" s="1"/>
      <c r="Q1650" s="1"/>
      <c r="S1650" s="1"/>
    </row>
    <row r="1651" ht="15.75" customHeight="1">
      <c r="I1651" s="1"/>
      <c r="K1651" s="1"/>
      <c r="M1651" s="1"/>
      <c r="Q1651" s="1"/>
      <c r="S1651" s="1"/>
    </row>
    <row r="1652" ht="15.75" customHeight="1">
      <c r="I1652" s="1"/>
      <c r="K1652" s="1"/>
      <c r="M1652" s="1"/>
      <c r="Q1652" s="1"/>
      <c r="S1652" s="1"/>
    </row>
    <row r="1653" ht="15.75" customHeight="1">
      <c r="I1653" s="1"/>
      <c r="K1653" s="1"/>
      <c r="M1653" s="1"/>
      <c r="Q1653" s="1"/>
      <c r="S1653" s="1"/>
    </row>
    <row r="1654" ht="15.75" customHeight="1">
      <c r="I1654" s="1"/>
      <c r="K1654" s="1"/>
      <c r="M1654" s="1"/>
      <c r="Q1654" s="1"/>
      <c r="S1654" s="1"/>
    </row>
    <row r="1655" ht="15.75" customHeight="1">
      <c r="I1655" s="1"/>
      <c r="K1655" s="1"/>
      <c r="M1655" s="1"/>
      <c r="Q1655" s="1"/>
      <c r="S1655" s="1"/>
    </row>
    <row r="1656" ht="15.75" customHeight="1">
      <c r="I1656" s="1"/>
      <c r="K1656" s="1"/>
      <c r="M1656" s="1"/>
      <c r="Q1656" s="1"/>
      <c r="S1656" s="1"/>
    </row>
    <row r="1657" ht="15.75" customHeight="1">
      <c r="I1657" s="1"/>
      <c r="K1657" s="1"/>
      <c r="M1657" s="1"/>
      <c r="Q1657" s="1"/>
      <c r="S1657" s="1"/>
    </row>
    <row r="1658" ht="15.75" customHeight="1">
      <c r="I1658" s="1"/>
      <c r="K1658" s="1"/>
      <c r="M1658" s="1"/>
      <c r="Q1658" s="1"/>
      <c r="S1658" s="1"/>
    </row>
    <row r="1659" ht="15.75" customHeight="1">
      <c r="I1659" s="1"/>
      <c r="K1659" s="1"/>
      <c r="M1659" s="1"/>
      <c r="Q1659" s="1"/>
      <c r="S1659" s="1"/>
    </row>
    <row r="1660" ht="15.75" customHeight="1">
      <c r="I1660" s="1"/>
      <c r="K1660" s="1"/>
      <c r="M1660" s="1"/>
      <c r="Q1660" s="1"/>
      <c r="S1660" s="1"/>
    </row>
    <row r="1661" ht="15.75" customHeight="1">
      <c r="I1661" s="1"/>
      <c r="K1661" s="1"/>
      <c r="M1661" s="1"/>
      <c r="Q1661" s="1"/>
      <c r="S1661" s="1"/>
    </row>
    <row r="1662" ht="15.75" customHeight="1">
      <c r="I1662" s="1"/>
      <c r="K1662" s="1"/>
      <c r="M1662" s="1"/>
      <c r="Q1662" s="1"/>
      <c r="S1662" s="1"/>
    </row>
    <row r="1663" ht="15.75" customHeight="1">
      <c r="I1663" s="1"/>
      <c r="K1663" s="1"/>
      <c r="M1663" s="1"/>
      <c r="Q1663" s="1"/>
      <c r="S1663" s="1"/>
    </row>
    <row r="1664" ht="15.75" customHeight="1">
      <c r="I1664" s="1"/>
      <c r="K1664" s="1"/>
      <c r="M1664" s="1"/>
      <c r="Q1664" s="1"/>
      <c r="S1664" s="1"/>
    </row>
    <row r="1665" ht="15.75" customHeight="1">
      <c r="I1665" s="1"/>
      <c r="K1665" s="1"/>
      <c r="M1665" s="1"/>
      <c r="Q1665" s="1"/>
      <c r="S1665" s="1"/>
    </row>
    <row r="1666" ht="15.75" customHeight="1">
      <c r="I1666" s="1"/>
      <c r="K1666" s="1"/>
      <c r="M1666" s="1"/>
      <c r="Q1666" s="1"/>
      <c r="S1666" s="1"/>
    </row>
    <row r="1667" ht="15.75" customHeight="1">
      <c r="I1667" s="1"/>
      <c r="K1667" s="1"/>
      <c r="M1667" s="1"/>
      <c r="Q1667" s="1"/>
      <c r="S1667" s="1"/>
    </row>
    <row r="1668" ht="15.75" customHeight="1">
      <c r="I1668" s="1"/>
      <c r="K1668" s="1"/>
      <c r="M1668" s="1"/>
      <c r="Q1668" s="1"/>
      <c r="S1668" s="1"/>
    </row>
    <row r="1669" ht="15.75" customHeight="1">
      <c r="I1669" s="1"/>
      <c r="K1669" s="1"/>
      <c r="M1669" s="1"/>
      <c r="Q1669" s="1"/>
      <c r="S1669" s="1"/>
    </row>
    <row r="1670" ht="15.75" customHeight="1">
      <c r="I1670" s="1"/>
      <c r="K1670" s="1"/>
      <c r="M1670" s="1"/>
      <c r="Q1670" s="1"/>
      <c r="S1670" s="1"/>
    </row>
    <row r="1671" ht="15.75" customHeight="1">
      <c r="I1671" s="1"/>
      <c r="K1671" s="1"/>
      <c r="M1671" s="1"/>
      <c r="Q1671" s="1"/>
      <c r="S1671" s="1"/>
    </row>
    <row r="1672" ht="15.75" customHeight="1">
      <c r="I1672" s="1"/>
      <c r="K1672" s="1"/>
      <c r="M1672" s="1"/>
      <c r="Q1672" s="1"/>
      <c r="S1672" s="1"/>
    </row>
    <row r="1673" ht="15.75" customHeight="1">
      <c r="I1673" s="1"/>
      <c r="K1673" s="1"/>
      <c r="M1673" s="1"/>
      <c r="Q1673" s="1"/>
      <c r="S1673" s="1"/>
    </row>
    <row r="1674" ht="15.75" customHeight="1">
      <c r="I1674" s="1"/>
      <c r="K1674" s="1"/>
      <c r="M1674" s="1"/>
      <c r="Q1674" s="1"/>
      <c r="S1674" s="1"/>
    </row>
    <row r="1675" ht="15.75" customHeight="1">
      <c r="I1675" s="1"/>
      <c r="K1675" s="1"/>
      <c r="M1675" s="1"/>
      <c r="Q1675" s="1"/>
      <c r="S1675" s="1"/>
    </row>
    <row r="1676" ht="15.75" customHeight="1">
      <c r="I1676" s="1"/>
      <c r="K1676" s="1"/>
      <c r="M1676" s="1"/>
      <c r="Q1676" s="1"/>
      <c r="S1676" s="1"/>
    </row>
    <row r="1677" ht="15.75" customHeight="1">
      <c r="I1677" s="1"/>
      <c r="K1677" s="1"/>
      <c r="M1677" s="1"/>
      <c r="Q1677" s="1"/>
      <c r="S1677" s="1"/>
    </row>
    <row r="1678" ht="15.75" customHeight="1">
      <c r="I1678" s="1"/>
      <c r="K1678" s="1"/>
      <c r="M1678" s="1"/>
      <c r="Q1678" s="1"/>
      <c r="S1678" s="1"/>
    </row>
    <row r="1679" ht="15.75" customHeight="1">
      <c r="I1679" s="1"/>
      <c r="K1679" s="1"/>
      <c r="M1679" s="1"/>
      <c r="Q1679" s="1"/>
      <c r="S1679" s="1"/>
    </row>
    <row r="1680" ht="15.75" customHeight="1">
      <c r="I1680" s="1"/>
      <c r="K1680" s="1"/>
      <c r="M1680" s="1"/>
      <c r="Q1680" s="1"/>
      <c r="S1680" s="1"/>
    </row>
    <row r="1681" ht="15.75" customHeight="1">
      <c r="I1681" s="1"/>
      <c r="K1681" s="1"/>
      <c r="M1681" s="1"/>
      <c r="Q1681" s="1"/>
      <c r="S1681" s="1"/>
    </row>
    <row r="1682" ht="15.75" customHeight="1">
      <c r="I1682" s="1"/>
      <c r="K1682" s="1"/>
      <c r="M1682" s="1"/>
      <c r="Q1682" s="1"/>
      <c r="S1682" s="1"/>
    </row>
    <row r="1683" ht="15.75" customHeight="1">
      <c r="I1683" s="1"/>
      <c r="K1683" s="1"/>
      <c r="M1683" s="1"/>
      <c r="Q1683" s="1"/>
      <c r="S1683" s="1"/>
    </row>
    <row r="1684" ht="15.75" customHeight="1">
      <c r="I1684" s="1"/>
      <c r="K1684" s="1"/>
      <c r="M1684" s="1"/>
      <c r="Q1684" s="1"/>
      <c r="S1684" s="1"/>
    </row>
    <row r="1685" ht="15.75" customHeight="1">
      <c r="I1685" s="1"/>
      <c r="K1685" s="1"/>
      <c r="M1685" s="1"/>
      <c r="Q1685" s="1"/>
      <c r="S1685" s="1"/>
    </row>
    <row r="1686" ht="15.75" customHeight="1">
      <c r="I1686" s="1"/>
      <c r="K1686" s="1"/>
      <c r="M1686" s="1"/>
      <c r="Q1686" s="1"/>
      <c r="S1686" s="1"/>
    </row>
    <row r="1687" ht="15.75" customHeight="1">
      <c r="I1687" s="1"/>
      <c r="K1687" s="1"/>
      <c r="M1687" s="1"/>
      <c r="Q1687" s="1"/>
      <c r="S1687" s="1"/>
    </row>
    <row r="1688" ht="15.75" customHeight="1">
      <c r="I1688" s="1"/>
      <c r="K1688" s="1"/>
      <c r="M1688" s="1"/>
      <c r="Q1688" s="1"/>
      <c r="S1688" s="1"/>
    </row>
    <row r="1689" ht="15.75" customHeight="1">
      <c r="I1689" s="1"/>
      <c r="K1689" s="1"/>
      <c r="M1689" s="1"/>
      <c r="Q1689" s="1"/>
      <c r="S1689" s="1"/>
    </row>
    <row r="1690" ht="15.75" customHeight="1">
      <c r="I1690" s="1"/>
      <c r="K1690" s="1"/>
      <c r="M1690" s="1"/>
      <c r="Q1690" s="1"/>
      <c r="S1690" s="1"/>
    </row>
    <row r="1691" ht="15.75" customHeight="1">
      <c r="I1691" s="1"/>
      <c r="K1691" s="1"/>
      <c r="M1691" s="1"/>
      <c r="Q1691" s="1"/>
      <c r="S1691" s="1"/>
    </row>
    <row r="1692" ht="15.75" customHeight="1">
      <c r="I1692" s="1"/>
      <c r="K1692" s="1"/>
      <c r="M1692" s="1"/>
      <c r="Q1692" s="1"/>
      <c r="S1692" s="1"/>
    </row>
    <row r="1693" ht="15.75" customHeight="1">
      <c r="I1693" s="1"/>
      <c r="K1693" s="1"/>
      <c r="M1693" s="1"/>
      <c r="Q1693" s="1"/>
      <c r="S1693" s="1"/>
    </row>
    <row r="1694" ht="15.75" customHeight="1">
      <c r="I1694" s="1"/>
      <c r="K1694" s="1"/>
      <c r="M1694" s="1"/>
      <c r="Q1694" s="1"/>
      <c r="S1694" s="1"/>
    </row>
    <row r="1695" ht="15.75" customHeight="1">
      <c r="I1695" s="1"/>
      <c r="K1695" s="1"/>
      <c r="M1695" s="1"/>
      <c r="Q1695" s="1"/>
      <c r="S1695" s="1"/>
    </row>
    <row r="1696" ht="15.75" customHeight="1">
      <c r="I1696" s="1"/>
      <c r="K1696" s="1"/>
      <c r="M1696" s="1"/>
      <c r="Q1696" s="1"/>
      <c r="S1696" s="1"/>
    </row>
    <row r="1697" ht="15.75" customHeight="1">
      <c r="I1697" s="1"/>
      <c r="K1697" s="1"/>
      <c r="M1697" s="1"/>
      <c r="Q1697" s="1"/>
      <c r="S1697" s="1"/>
    </row>
    <row r="1698" ht="15.75" customHeight="1">
      <c r="I1698" s="1"/>
      <c r="K1698" s="1"/>
      <c r="M1698" s="1"/>
      <c r="Q1698" s="1"/>
      <c r="S1698" s="1"/>
    </row>
    <row r="1699" ht="15.75" customHeight="1">
      <c r="I1699" s="1"/>
      <c r="K1699" s="1"/>
      <c r="M1699" s="1"/>
      <c r="Q1699" s="1"/>
      <c r="S1699" s="1"/>
    </row>
    <row r="1700" ht="15.75" customHeight="1">
      <c r="I1700" s="1"/>
      <c r="K1700" s="1"/>
      <c r="M1700" s="1"/>
      <c r="Q1700" s="1"/>
      <c r="S1700" s="1"/>
    </row>
    <row r="1701" ht="15.75" customHeight="1">
      <c r="I1701" s="1"/>
      <c r="K1701" s="1"/>
      <c r="M1701" s="1"/>
      <c r="Q1701" s="1"/>
      <c r="S1701" s="1"/>
    </row>
    <row r="1702" ht="15.75" customHeight="1">
      <c r="I1702" s="1"/>
      <c r="K1702" s="1"/>
      <c r="M1702" s="1"/>
      <c r="Q1702" s="1"/>
      <c r="S1702" s="1"/>
    </row>
    <row r="1703" ht="15.75" customHeight="1">
      <c r="I1703" s="1"/>
      <c r="K1703" s="1"/>
      <c r="M1703" s="1"/>
      <c r="Q1703" s="1"/>
      <c r="S1703" s="1"/>
    </row>
    <row r="1704" ht="15.75" customHeight="1">
      <c r="I1704" s="1"/>
      <c r="K1704" s="1"/>
      <c r="M1704" s="1"/>
      <c r="Q1704" s="1"/>
      <c r="S1704" s="1"/>
    </row>
    <row r="1705" ht="15.75" customHeight="1">
      <c r="I1705" s="1"/>
      <c r="K1705" s="1"/>
      <c r="M1705" s="1"/>
      <c r="Q1705" s="1"/>
      <c r="S1705" s="1"/>
    </row>
    <row r="1706" ht="15.75" customHeight="1">
      <c r="I1706" s="1"/>
      <c r="K1706" s="1"/>
      <c r="M1706" s="1"/>
      <c r="Q1706" s="1"/>
      <c r="S1706" s="1"/>
    </row>
    <row r="1707" ht="15.75" customHeight="1">
      <c r="I1707" s="1"/>
      <c r="K1707" s="1"/>
      <c r="M1707" s="1"/>
      <c r="Q1707" s="1"/>
      <c r="S1707" s="1"/>
    </row>
    <row r="1708" ht="15.75" customHeight="1">
      <c r="I1708" s="1"/>
      <c r="K1708" s="1"/>
      <c r="M1708" s="1"/>
      <c r="Q1708" s="1"/>
      <c r="S1708" s="1"/>
    </row>
    <row r="1709" ht="15.75" customHeight="1">
      <c r="I1709" s="1"/>
      <c r="K1709" s="1"/>
      <c r="M1709" s="1"/>
      <c r="Q1709" s="1"/>
      <c r="S1709" s="1"/>
    </row>
    <row r="1710" ht="15.75" customHeight="1">
      <c r="I1710" s="1"/>
      <c r="K1710" s="1"/>
      <c r="M1710" s="1"/>
      <c r="Q1710" s="1"/>
      <c r="S1710" s="1"/>
    </row>
    <row r="1711" ht="15.75" customHeight="1">
      <c r="I1711" s="1"/>
      <c r="K1711" s="1"/>
      <c r="M1711" s="1"/>
      <c r="Q1711" s="1"/>
      <c r="S1711" s="1"/>
    </row>
    <row r="1712" ht="15.75" customHeight="1">
      <c r="I1712" s="1"/>
      <c r="K1712" s="1"/>
      <c r="M1712" s="1"/>
      <c r="Q1712" s="1"/>
      <c r="S1712" s="1"/>
    </row>
    <row r="1713" ht="15.75" customHeight="1">
      <c r="I1713" s="1"/>
      <c r="K1713" s="1"/>
      <c r="M1713" s="1"/>
      <c r="Q1713" s="1"/>
      <c r="S1713" s="1"/>
    </row>
    <row r="1714" ht="15.75" customHeight="1">
      <c r="I1714" s="1"/>
      <c r="K1714" s="1"/>
      <c r="M1714" s="1"/>
      <c r="Q1714" s="1"/>
      <c r="S1714" s="1"/>
    </row>
    <row r="1715" ht="15.75" customHeight="1">
      <c r="I1715" s="1"/>
      <c r="K1715" s="1"/>
      <c r="M1715" s="1"/>
      <c r="Q1715" s="1"/>
      <c r="S1715" s="1"/>
    </row>
    <row r="1716" ht="15.75" customHeight="1">
      <c r="I1716" s="1"/>
      <c r="K1716" s="1"/>
      <c r="M1716" s="1"/>
      <c r="Q1716" s="1"/>
      <c r="S1716" s="1"/>
    </row>
    <row r="1717" ht="15.75" customHeight="1">
      <c r="I1717" s="1"/>
      <c r="K1717" s="1"/>
      <c r="M1717" s="1"/>
      <c r="Q1717" s="1"/>
      <c r="S1717" s="1"/>
    </row>
    <row r="1718" ht="15.75" customHeight="1">
      <c r="I1718" s="1"/>
      <c r="K1718" s="1"/>
      <c r="M1718" s="1"/>
      <c r="Q1718" s="1"/>
      <c r="S1718" s="1"/>
    </row>
    <row r="1719" ht="15.75" customHeight="1">
      <c r="I1719" s="1"/>
      <c r="K1719" s="1"/>
      <c r="M1719" s="1"/>
      <c r="Q1719" s="1"/>
      <c r="S1719" s="1"/>
    </row>
    <row r="1720" ht="15.75" customHeight="1">
      <c r="I1720" s="1"/>
      <c r="K1720" s="1"/>
      <c r="M1720" s="1"/>
      <c r="Q1720" s="1"/>
      <c r="S1720" s="1"/>
    </row>
    <row r="1721" ht="15.75" customHeight="1">
      <c r="I1721" s="1"/>
      <c r="K1721" s="1"/>
      <c r="M1721" s="1"/>
      <c r="Q1721" s="1"/>
      <c r="S1721" s="1"/>
    </row>
    <row r="1722" ht="15.75" customHeight="1">
      <c r="I1722" s="1"/>
      <c r="K1722" s="1"/>
      <c r="M1722" s="1"/>
      <c r="Q1722" s="1"/>
      <c r="S1722" s="1"/>
    </row>
    <row r="1723" ht="15.75" customHeight="1">
      <c r="I1723" s="1"/>
      <c r="K1723" s="1"/>
      <c r="M1723" s="1"/>
      <c r="Q1723" s="1"/>
      <c r="S1723" s="1"/>
    </row>
    <row r="1724" ht="15.75" customHeight="1">
      <c r="I1724" s="1"/>
      <c r="K1724" s="1"/>
      <c r="M1724" s="1"/>
      <c r="Q1724" s="1"/>
      <c r="S1724" s="1"/>
    </row>
    <row r="1725" ht="15.75" customHeight="1">
      <c r="I1725" s="1"/>
      <c r="K1725" s="1"/>
      <c r="M1725" s="1"/>
      <c r="Q1725" s="1"/>
      <c r="S1725" s="1"/>
    </row>
    <row r="1726" ht="15.75" customHeight="1">
      <c r="I1726" s="1"/>
      <c r="K1726" s="1"/>
      <c r="M1726" s="1"/>
      <c r="Q1726" s="1"/>
      <c r="S1726" s="1"/>
    </row>
    <row r="1727" ht="15.75" customHeight="1">
      <c r="I1727" s="1"/>
      <c r="K1727" s="1"/>
      <c r="M1727" s="1"/>
      <c r="Q1727" s="1"/>
      <c r="S1727" s="1"/>
    </row>
    <row r="1728" ht="15.75" customHeight="1">
      <c r="I1728" s="1"/>
      <c r="K1728" s="1"/>
      <c r="M1728" s="1"/>
      <c r="Q1728" s="1"/>
      <c r="S1728" s="1"/>
    </row>
    <row r="1729" ht="15.75" customHeight="1">
      <c r="I1729" s="1"/>
      <c r="K1729" s="1"/>
      <c r="M1729" s="1"/>
      <c r="Q1729" s="1"/>
      <c r="S1729" s="1"/>
    </row>
    <row r="1730" ht="15.75" customHeight="1">
      <c r="I1730" s="1"/>
      <c r="K1730" s="1"/>
      <c r="M1730" s="1"/>
      <c r="Q1730" s="1"/>
      <c r="S1730" s="1"/>
    </row>
    <row r="1731" ht="15.75" customHeight="1">
      <c r="I1731" s="1"/>
      <c r="K1731" s="1"/>
      <c r="M1731" s="1"/>
      <c r="Q1731" s="1"/>
      <c r="S1731" s="1"/>
    </row>
    <row r="1732" ht="15.75" customHeight="1">
      <c r="I1732" s="1"/>
      <c r="K1732" s="1"/>
      <c r="M1732" s="1"/>
      <c r="Q1732" s="1"/>
      <c r="S1732" s="1"/>
    </row>
    <row r="1733" ht="15.75" customHeight="1">
      <c r="I1733" s="1"/>
      <c r="K1733" s="1"/>
      <c r="M1733" s="1"/>
      <c r="Q1733" s="1"/>
      <c r="S1733" s="1"/>
    </row>
    <row r="1734" ht="15.75" customHeight="1">
      <c r="I1734" s="1"/>
      <c r="K1734" s="1"/>
      <c r="M1734" s="1"/>
      <c r="Q1734" s="1"/>
      <c r="S1734" s="1"/>
    </row>
    <row r="1735" ht="15.75" customHeight="1">
      <c r="I1735" s="1"/>
      <c r="K1735" s="1"/>
      <c r="M1735" s="1"/>
      <c r="Q1735" s="1"/>
      <c r="S1735" s="1"/>
    </row>
    <row r="1736" ht="15.75" customHeight="1">
      <c r="I1736" s="1"/>
      <c r="K1736" s="1"/>
      <c r="M1736" s="1"/>
      <c r="Q1736" s="1"/>
      <c r="S1736" s="1"/>
    </row>
    <row r="1737" ht="15.75" customHeight="1">
      <c r="I1737" s="1"/>
      <c r="K1737" s="1"/>
      <c r="M1737" s="1"/>
      <c r="Q1737" s="1"/>
      <c r="S1737" s="1"/>
    </row>
    <row r="1738" ht="15.75" customHeight="1">
      <c r="I1738" s="1"/>
      <c r="K1738" s="1"/>
      <c r="M1738" s="1"/>
      <c r="Q1738" s="1"/>
      <c r="S1738" s="1"/>
    </row>
    <row r="1739" ht="15.75" customHeight="1">
      <c r="I1739" s="1"/>
      <c r="K1739" s="1"/>
      <c r="M1739" s="1"/>
      <c r="Q1739" s="1"/>
      <c r="S1739" s="1"/>
    </row>
    <row r="1740" ht="15.75" customHeight="1">
      <c r="I1740" s="1"/>
      <c r="K1740" s="1"/>
      <c r="M1740" s="1"/>
      <c r="Q1740" s="1"/>
      <c r="S1740" s="1"/>
    </row>
    <row r="1741" ht="15.75" customHeight="1">
      <c r="I1741" s="1"/>
      <c r="K1741" s="1"/>
      <c r="M1741" s="1"/>
      <c r="Q1741" s="1"/>
      <c r="S1741" s="1"/>
    </row>
    <row r="1742" ht="15.75" customHeight="1">
      <c r="I1742" s="1"/>
      <c r="K1742" s="1"/>
      <c r="M1742" s="1"/>
      <c r="Q1742" s="1"/>
      <c r="S1742" s="1"/>
    </row>
    <row r="1743" ht="15.75" customHeight="1">
      <c r="I1743" s="1"/>
      <c r="K1743" s="1"/>
      <c r="M1743" s="1"/>
      <c r="Q1743" s="1"/>
      <c r="S1743" s="1"/>
    </row>
    <row r="1744" ht="15.75" customHeight="1">
      <c r="I1744" s="1"/>
      <c r="K1744" s="1"/>
      <c r="M1744" s="1"/>
      <c r="Q1744" s="1"/>
      <c r="S1744" s="1"/>
    </row>
    <row r="1745" ht="15.75" customHeight="1">
      <c r="I1745" s="1"/>
      <c r="K1745" s="1"/>
      <c r="M1745" s="1"/>
      <c r="Q1745" s="1"/>
      <c r="S1745" s="1"/>
    </row>
    <row r="1746" ht="15.75" customHeight="1">
      <c r="I1746" s="1"/>
      <c r="K1746" s="1"/>
      <c r="M1746" s="1"/>
      <c r="Q1746" s="1"/>
      <c r="S1746" s="1"/>
    </row>
    <row r="1747" ht="15.75" customHeight="1">
      <c r="I1747" s="1"/>
      <c r="K1747" s="1"/>
      <c r="M1747" s="1"/>
      <c r="Q1747" s="1"/>
      <c r="S1747" s="1"/>
    </row>
    <row r="1748" ht="15.75" customHeight="1">
      <c r="I1748" s="1"/>
      <c r="K1748" s="1"/>
      <c r="M1748" s="1"/>
      <c r="Q1748" s="1"/>
      <c r="S1748" s="1"/>
    </row>
    <row r="1749" ht="15.75" customHeight="1">
      <c r="I1749" s="1"/>
      <c r="K1749" s="1"/>
      <c r="M1749" s="1"/>
      <c r="Q1749" s="1"/>
      <c r="S1749" s="1"/>
    </row>
    <row r="1750" ht="15.75" customHeight="1">
      <c r="I1750" s="1"/>
      <c r="K1750" s="1"/>
      <c r="M1750" s="1"/>
      <c r="Q1750" s="1"/>
      <c r="S1750" s="1"/>
    </row>
    <row r="1751" ht="15.75" customHeight="1">
      <c r="I1751" s="1"/>
      <c r="K1751" s="1"/>
      <c r="M1751" s="1"/>
      <c r="Q1751" s="1"/>
      <c r="S1751" s="1"/>
    </row>
    <row r="1752" ht="15.75" customHeight="1">
      <c r="I1752" s="1"/>
      <c r="K1752" s="1"/>
      <c r="M1752" s="1"/>
      <c r="Q1752" s="1"/>
      <c r="S1752" s="1"/>
    </row>
    <row r="1753" ht="15.75" customHeight="1">
      <c r="I1753" s="1"/>
      <c r="K1753" s="1"/>
      <c r="M1753" s="1"/>
      <c r="Q1753" s="1"/>
      <c r="S1753" s="1"/>
    </row>
    <row r="1754" ht="15.75" customHeight="1">
      <c r="I1754" s="1"/>
      <c r="K1754" s="1"/>
      <c r="M1754" s="1"/>
      <c r="Q1754" s="1"/>
      <c r="S1754" s="1"/>
    </row>
    <row r="1755" ht="15.75" customHeight="1">
      <c r="I1755" s="1"/>
      <c r="K1755" s="1"/>
      <c r="M1755" s="1"/>
      <c r="Q1755" s="1"/>
      <c r="S1755" s="1"/>
    </row>
    <row r="1756" ht="15.75" customHeight="1">
      <c r="I1756" s="1"/>
      <c r="K1756" s="1"/>
      <c r="M1756" s="1"/>
      <c r="Q1756" s="1"/>
      <c r="S1756" s="1"/>
    </row>
    <row r="1757" ht="15.75" customHeight="1">
      <c r="I1757" s="1"/>
      <c r="K1757" s="1"/>
      <c r="M1757" s="1"/>
      <c r="Q1757" s="1"/>
      <c r="S1757" s="1"/>
    </row>
    <row r="1758" ht="15.75" customHeight="1">
      <c r="I1758" s="1"/>
      <c r="K1758" s="1"/>
      <c r="M1758" s="1"/>
      <c r="Q1758" s="1"/>
      <c r="S1758" s="1"/>
    </row>
    <row r="1759" ht="15.75" customHeight="1">
      <c r="I1759" s="1"/>
      <c r="K1759" s="1"/>
      <c r="M1759" s="1"/>
      <c r="Q1759" s="1"/>
      <c r="S1759" s="1"/>
    </row>
    <row r="1760" ht="15.75" customHeight="1">
      <c r="I1760" s="1"/>
      <c r="K1760" s="1"/>
      <c r="M1760" s="1"/>
      <c r="Q1760" s="1"/>
      <c r="S1760" s="1"/>
    </row>
    <row r="1761" ht="15.75" customHeight="1">
      <c r="I1761" s="1"/>
      <c r="K1761" s="1"/>
      <c r="M1761" s="1"/>
      <c r="Q1761" s="1"/>
      <c r="S1761" s="1"/>
    </row>
    <row r="1762" ht="15.75" customHeight="1">
      <c r="I1762" s="1"/>
      <c r="K1762" s="1"/>
      <c r="M1762" s="1"/>
      <c r="Q1762" s="1"/>
      <c r="S1762" s="1"/>
    </row>
    <row r="1763" ht="15.75" customHeight="1">
      <c r="I1763" s="1"/>
      <c r="K1763" s="1"/>
      <c r="M1763" s="1"/>
      <c r="Q1763" s="1"/>
      <c r="S1763" s="1"/>
    </row>
    <row r="1764" ht="15.75" customHeight="1">
      <c r="I1764" s="1"/>
      <c r="K1764" s="1"/>
      <c r="M1764" s="1"/>
      <c r="Q1764" s="1"/>
      <c r="S1764" s="1"/>
    </row>
    <row r="1765" ht="15.75" customHeight="1">
      <c r="I1765" s="1"/>
      <c r="K1765" s="1"/>
      <c r="M1765" s="1"/>
      <c r="Q1765" s="1"/>
      <c r="S1765" s="1"/>
    </row>
    <row r="1766" ht="15.75" customHeight="1">
      <c r="I1766" s="1"/>
      <c r="K1766" s="1"/>
      <c r="M1766" s="1"/>
      <c r="Q1766" s="1"/>
      <c r="S1766" s="1"/>
    </row>
    <row r="1767" ht="15.75" customHeight="1">
      <c r="I1767" s="1"/>
      <c r="K1767" s="1"/>
      <c r="M1767" s="1"/>
      <c r="Q1767" s="1"/>
      <c r="S1767" s="1"/>
    </row>
    <row r="1768" ht="15.75" customHeight="1">
      <c r="I1768" s="1"/>
      <c r="K1768" s="1"/>
      <c r="M1768" s="1"/>
      <c r="Q1768" s="1"/>
      <c r="S1768" s="1"/>
    </row>
    <row r="1769" ht="15.75" customHeight="1">
      <c r="I1769" s="1"/>
      <c r="K1769" s="1"/>
      <c r="M1769" s="1"/>
      <c r="Q1769" s="1"/>
      <c r="S1769" s="1"/>
    </row>
    <row r="1770" ht="15.75" customHeight="1">
      <c r="I1770" s="1"/>
      <c r="K1770" s="1"/>
      <c r="M1770" s="1"/>
      <c r="Q1770" s="1"/>
      <c r="S1770" s="1"/>
    </row>
    <row r="1771" ht="15.75" customHeight="1">
      <c r="I1771" s="1"/>
      <c r="K1771" s="1"/>
      <c r="M1771" s="1"/>
      <c r="Q1771" s="1"/>
      <c r="S1771" s="1"/>
    </row>
    <row r="1772" ht="15.75" customHeight="1">
      <c r="I1772" s="1"/>
      <c r="K1772" s="1"/>
      <c r="M1772" s="1"/>
      <c r="Q1772" s="1"/>
      <c r="S1772" s="1"/>
    </row>
    <row r="1773" ht="15.75" customHeight="1">
      <c r="I1773" s="1"/>
      <c r="K1773" s="1"/>
      <c r="M1773" s="1"/>
      <c r="Q1773" s="1"/>
      <c r="S1773" s="1"/>
    </row>
    <row r="1774" ht="15.75" customHeight="1">
      <c r="I1774" s="1"/>
      <c r="K1774" s="1"/>
      <c r="M1774" s="1"/>
      <c r="Q1774" s="1"/>
      <c r="S1774" s="1"/>
    </row>
    <row r="1775" ht="15.75" customHeight="1">
      <c r="I1775" s="1"/>
      <c r="K1775" s="1"/>
      <c r="M1775" s="1"/>
      <c r="Q1775" s="1"/>
      <c r="S1775" s="1"/>
    </row>
    <row r="1776" ht="15.75" customHeight="1">
      <c r="I1776" s="1"/>
      <c r="K1776" s="1"/>
      <c r="M1776" s="1"/>
      <c r="Q1776" s="1"/>
      <c r="S1776" s="1"/>
    </row>
    <row r="1777" ht="15.75" customHeight="1">
      <c r="I1777" s="1"/>
      <c r="K1777" s="1"/>
      <c r="M1777" s="1"/>
      <c r="Q1777" s="1"/>
      <c r="S1777" s="1"/>
    </row>
    <row r="1778" ht="15.75" customHeight="1">
      <c r="I1778" s="1"/>
      <c r="K1778" s="1"/>
      <c r="M1778" s="1"/>
      <c r="Q1778" s="1"/>
      <c r="S1778" s="1"/>
    </row>
    <row r="1779" ht="15.75" customHeight="1">
      <c r="I1779" s="1"/>
      <c r="K1779" s="1"/>
      <c r="M1779" s="1"/>
      <c r="Q1779" s="1"/>
      <c r="S1779" s="1"/>
    </row>
    <row r="1780" ht="15.75" customHeight="1">
      <c r="I1780" s="1"/>
      <c r="K1780" s="1"/>
      <c r="M1780" s="1"/>
      <c r="Q1780" s="1"/>
      <c r="S1780" s="1"/>
    </row>
    <row r="1781" ht="15.75" customHeight="1">
      <c r="I1781" s="1"/>
      <c r="K1781" s="1"/>
      <c r="M1781" s="1"/>
      <c r="Q1781" s="1"/>
      <c r="S1781" s="1"/>
    </row>
    <row r="1782" ht="15.75" customHeight="1">
      <c r="I1782" s="1"/>
      <c r="K1782" s="1"/>
      <c r="M1782" s="1"/>
      <c r="Q1782" s="1"/>
      <c r="S1782" s="1"/>
    </row>
    <row r="1783" ht="15.75" customHeight="1">
      <c r="I1783" s="1"/>
      <c r="K1783" s="1"/>
      <c r="M1783" s="1"/>
      <c r="Q1783" s="1"/>
      <c r="S1783" s="1"/>
    </row>
    <row r="1784" ht="15.75" customHeight="1">
      <c r="I1784" s="1"/>
      <c r="K1784" s="1"/>
      <c r="M1784" s="1"/>
      <c r="Q1784" s="1"/>
      <c r="S1784" s="1"/>
    </row>
    <row r="1785" ht="15.75" customHeight="1">
      <c r="I1785" s="1"/>
      <c r="K1785" s="1"/>
      <c r="M1785" s="1"/>
      <c r="Q1785" s="1"/>
      <c r="S1785" s="1"/>
    </row>
    <row r="1786" ht="15.75" customHeight="1">
      <c r="I1786" s="1"/>
      <c r="K1786" s="1"/>
      <c r="M1786" s="1"/>
      <c r="Q1786" s="1"/>
      <c r="S1786" s="1"/>
    </row>
    <row r="1787" ht="15.75" customHeight="1">
      <c r="I1787" s="1"/>
      <c r="K1787" s="1"/>
      <c r="M1787" s="1"/>
      <c r="Q1787" s="1"/>
      <c r="S1787" s="1"/>
    </row>
    <row r="1788" ht="15.75" customHeight="1">
      <c r="I1788" s="1"/>
      <c r="K1788" s="1"/>
      <c r="M1788" s="1"/>
      <c r="Q1788" s="1"/>
      <c r="S1788" s="1"/>
    </row>
    <row r="1789" ht="15.75" customHeight="1">
      <c r="I1789" s="1"/>
      <c r="K1789" s="1"/>
      <c r="M1789" s="1"/>
      <c r="Q1789" s="1"/>
      <c r="S1789" s="1"/>
    </row>
    <row r="1790" ht="15.75" customHeight="1">
      <c r="I1790" s="1"/>
      <c r="K1790" s="1"/>
      <c r="M1790" s="1"/>
      <c r="Q1790" s="1"/>
      <c r="S1790" s="1"/>
    </row>
    <row r="1791" ht="15.75" customHeight="1">
      <c r="I1791" s="1"/>
      <c r="K1791" s="1"/>
      <c r="M1791" s="1"/>
      <c r="Q1791" s="1"/>
      <c r="S1791" s="1"/>
    </row>
    <row r="1792" ht="15.75" customHeight="1">
      <c r="I1792" s="1"/>
      <c r="K1792" s="1"/>
      <c r="M1792" s="1"/>
      <c r="Q1792" s="1"/>
      <c r="S1792" s="1"/>
    </row>
    <row r="1793" ht="15.75" customHeight="1">
      <c r="I1793" s="1"/>
      <c r="K1793" s="1"/>
      <c r="M1793" s="1"/>
      <c r="Q1793" s="1"/>
      <c r="S1793" s="1"/>
    </row>
    <row r="1794" ht="15.75" customHeight="1">
      <c r="I1794" s="1"/>
      <c r="K1794" s="1"/>
      <c r="M1794" s="1"/>
      <c r="Q1794" s="1"/>
      <c r="S1794" s="1"/>
    </row>
    <row r="1795" ht="15.75" customHeight="1">
      <c r="I1795" s="1"/>
      <c r="K1795" s="1"/>
      <c r="M1795" s="1"/>
      <c r="Q1795" s="1"/>
      <c r="S1795" s="1"/>
    </row>
    <row r="1796" ht="15.75" customHeight="1">
      <c r="I1796" s="1"/>
      <c r="K1796" s="1"/>
      <c r="M1796" s="1"/>
      <c r="Q1796" s="1"/>
      <c r="S1796" s="1"/>
    </row>
    <row r="1797" ht="15.75" customHeight="1">
      <c r="I1797" s="1"/>
      <c r="K1797" s="1"/>
      <c r="M1797" s="1"/>
      <c r="Q1797" s="1"/>
      <c r="S1797" s="1"/>
    </row>
    <row r="1798" ht="15.75" customHeight="1">
      <c r="I1798" s="1"/>
      <c r="K1798" s="1"/>
      <c r="M1798" s="1"/>
      <c r="Q1798" s="1"/>
      <c r="S1798" s="1"/>
    </row>
    <row r="1799" ht="15.75" customHeight="1">
      <c r="I1799" s="1"/>
      <c r="K1799" s="1"/>
      <c r="M1799" s="1"/>
      <c r="Q1799" s="1"/>
      <c r="S1799" s="1"/>
    </row>
    <row r="1800" ht="15.75" customHeight="1">
      <c r="I1800" s="1"/>
      <c r="K1800" s="1"/>
      <c r="M1800" s="1"/>
      <c r="Q1800" s="1"/>
      <c r="S1800" s="1"/>
    </row>
    <row r="1801" ht="15.75" customHeight="1">
      <c r="I1801" s="1"/>
      <c r="K1801" s="1"/>
      <c r="M1801" s="1"/>
      <c r="Q1801" s="1"/>
      <c r="S1801" s="1"/>
    </row>
    <row r="1802" ht="15.75" customHeight="1">
      <c r="I1802" s="1"/>
      <c r="K1802" s="1"/>
      <c r="M1802" s="1"/>
      <c r="Q1802" s="1"/>
      <c r="S1802" s="1"/>
    </row>
    <row r="1803" ht="15.75" customHeight="1">
      <c r="I1803" s="1"/>
      <c r="K1803" s="1"/>
      <c r="M1803" s="1"/>
      <c r="Q1803" s="1"/>
      <c r="S1803" s="1"/>
    </row>
    <row r="1804" ht="15.75" customHeight="1">
      <c r="I1804" s="1"/>
      <c r="K1804" s="1"/>
      <c r="M1804" s="1"/>
      <c r="Q1804" s="1"/>
      <c r="S1804" s="1"/>
    </row>
    <row r="1805" ht="15.75" customHeight="1">
      <c r="I1805" s="1"/>
      <c r="K1805" s="1"/>
      <c r="M1805" s="1"/>
      <c r="Q1805" s="1"/>
      <c r="S1805" s="1"/>
    </row>
    <row r="1806" ht="15.75" customHeight="1">
      <c r="I1806" s="1"/>
      <c r="K1806" s="1"/>
      <c r="M1806" s="1"/>
      <c r="Q1806" s="1"/>
      <c r="S1806" s="1"/>
    </row>
    <row r="1807" ht="15.75" customHeight="1">
      <c r="I1807" s="1"/>
      <c r="K1807" s="1"/>
      <c r="M1807" s="1"/>
      <c r="Q1807" s="1"/>
      <c r="S1807" s="1"/>
    </row>
    <row r="1808" ht="15.75" customHeight="1">
      <c r="I1808" s="1"/>
      <c r="K1808" s="1"/>
      <c r="M1808" s="1"/>
      <c r="Q1808" s="1"/>
      <c r="S1808" s="1"/>
    </row>
    <row r="1809" ht="15.75" customHeight="1">
      <c r="I1809" s="1"/>
      <c r="K1809" s="1"/>
      <c r="M1809" s="1"/>
      <c r="Q1809" s="1"/>
      <c r="S1809" s="1"/>
    </row>
    <row r="1810" ht="15.75" customHeight="1">
      <c r="I1810" s="1"/>
      <c r="K1810" s="1"/>
      <c r="M1810" s="1"/>
      <c r="Q1810" s="1"/>
      <c r="S1810" s="1"/>
    </row>
    <row r="1811" ht="15.75" customHeight="1">
      <c r="I1811" s="1"/>
      <c r="K1811" s="1"/>
      <c r="M1811" s="1"/>
      <c r="Q1811" s="1"/>
      <c r="S1811" s="1"/>
    </row>
    <row r="1812" ht="15.75" customHeight="1">
      <c r="I1812" s="1"/>
      <c r="K1812" s="1"/>
      <c r="M1812" s="1"/>
      <c r="Q1812" s="1"/>
      <c r="S1812" s="1"/>
    </row>
    <row r="1813" ht="15.75" customHeight="1">
      <c r="I1813" s="1"/>
      <c r="K1813" s="1"/>
      <c r="M1813" s="1"/>
      <c r="Q1813" s="1"/>
      <c r="S1813" s="1"/>
    </row>
    <row r="1814" ht="15.75" customHeight="1">
      <c r="I1814" s="1"/>
      <c r="K1814" s="1"/>
      <c r="M1814" s="1"/>
      <c r="Q1814" s="1"/>
      <c r="S1814" s="1"/>
    </row>
    <row r="1815" ht="15.75" customHeight="1">
      <c r="I1815" s="1"/>
      <c r="K1815" s="1"/>
      <c r="M1815" s="1"/>
      <c r="Q1815" s="1"/>
      <c r="S1815" s="1"/>
    </row>
    <row r="1816" ht="15.75" customHeight="1">
      <c r="I1816" s="1"/>
      <c r="K1816" s="1"/>
      <c r="M1816" s="1"/>
      <c r="Q1816" s="1"/>
      <c r="S1816" s="1"/>
    </row>
    <row r="1817" ht="15.75" customHeight="1">
      <c r="I1817" s="1"/>
      <c r="K1817" s="1"/>
      <c r="M1817" s="1"/>
      <c r="Q1817" s="1"/>
      <c r="S1817" s="1"/>
    </row>
    <row r="1818" ht="15.75" customHeight="1">
      <c r="I1818" s="1"/>
      <c r="K1818" s="1"/>
      <c r="M1818" s="1"/>
      <c r="Q1818" s="1"/>
      <c r="S1818" s="1"/>
    </row>
    <row r="1819" ht="15.75" customHeight="1">
      <c r="I1819" s="1"/>
      <c r="K1819" s="1"/>
      <c r="M1819" s="1"/>
      <c r="Q1819" s="1"/>
      <c r="S1819" s="1"/>
    </row>
    <row r="1820" ht="15.75" customHeight="1">
      <c r="I1820" s="1"/>
      <c r="K1820" s="1"/>
      <c r="M1820" s="1"/>
      <c r="Q1820" s="1"/>
      <c r="S1820" s="1"/>
    </row>
    <row r="1821" ht="15.75" customHeight="1">
      <c r="I1821" s="1"/>
      <c r="K1821" s="1"/>
      <c r="M1821" s="1"/>
      <c r="Q1821" s="1"/>
      <c r="S1821" s="1"/>
    </row>
    <row r="1822" ht="15.75" customHeight="1">
      <c r="I1822" s="1"/>
      <c r="K1822" s="1"/>
      <c r="M1822" s="1"/>
      <c r="Q1822" s="1"/>
      <c r="S1822" s="1"/>
    </row>
    <row r="1823" ht="15.75" customHeight="1">
      <c r="I1823" s="1"/>
      <c r="K1823" s="1"/>
      <c r="M1823" s="1"/>
      <c r="Q1823" s="1"/>
      <c r="S1823" s="1"/>
    </row>
    <row r="1824" ht="15.75" customHeight="1">
      <c r="I1824" s="1"/>
      <c r="K1824" s="1"/>
      <c r="M1824" s="1"/>
      <c r="Q1824" s="1"/>
      <c r="S1824" s="1"/>
    </row>
    <row r="1825" ht="15.75" customHeight="1">
      <c r="I1825" s="1"/>
      <c r="K1825" s="1"/>
      <c r="M1825" s="1"/>
      <c r="Q1825" s="1"/>
      <c r="S1825" s="1"/>
    </row>
    <row r="1826" ht="15.75" customHeight="1">
      <c r="I1826" s="1"/>
      <c r="K1826" s="1"/>
      <c r="M1826" s="1"/>
      <c r="Q1826" s="1"/>
      <c r="S1826" s="1"/>
    </row>
    <row r="1827" ht="15.75" customHeight="1">
      <c r="I1827" s="1"/>
      <c r="K1827" s="1"/>
      <c r="M1827" s="1"/>
      <c r="Q1827" s="1"/>
      <c r="S1827" s="1"/>
    </row>
    <row r="1828" ht="15.75" customHeight="1">
      <c r="I1828" s="1"/>
      <c r="K1828" s="1"/>
      <c r="M1828" s="1"/>
      <c r="Q1828" s="1"/>
      <c r="S1828" s="1"/>
    </row>
    <row r="1829" ht="15.75" customHeight="1">
      <c r="I1829" s="1"/>
      <c r="K1829" s="1"/>
      <c r="M1829" s="1"/>
      <c r="Q1829" s="1"/>
      <c r="S1829" s="1"/>
    </row>
    <row r="1830" ht="15.75" customHeight="1">
      <c r="I1830" s="1"/>
      <c r="K1830" s="1"/>
      <c r="M1830" s="1"/>
      <c r="Q1830" s="1"/>
      <c r="S1830" s="1"/>
    </row>
    <row r="1831" ht="15.75" customHeight="1">
      <c r="I1831" s="1"/>
      <c r="K1831" s="1"/>
      <c r="M1831" s="1"/>
      <c r="Q1831" s="1"/>
      <c r="S1831" s="1"/>
    </row>
    <row r="1832" ht="15.75" customHeight="1">
      <c r="I1832" s="1"/>
      <c r="K1832" s="1"/>
      <c r="M1832" s="1"/>
      <c r="Q1832" s="1"/>
      <c r="S1832" s="1"/>
    </row>
    <row r="1833" ht="15.75" customHeight="1">
      <c r="I1833" s="1"/>
      <c r="K1833" s="1"/>
      <c r="M1833" s="1"/>
      <c r="Q1833" s="1"/>
      <c r="S1833" s="1"/>
    </row>
    <row r="1834" ht="15.75" customHeight="1">
      <c r="I1834" s="1"/>
      <c r="K1834" s="1"/>
      <c r="M1834" s="1"/>
      <c r="Q1834" s="1"/>
      <c r="S1834" s="1"/>
    </row>
    <row r="1835" ht="15.75" customHeight="1">
      <c r="I1835" s="1"/>
      <c r="K1835" s="1"/>
      <c r="M1835" s="1"/>
      <c r="Q1835" s="1"/>
      <c r="S1835" s="1"/>
    </row>
    <row r="1836" ht="15.75" customHeight="1">
      <c r="I1836" s="1"/>
      <c r="K1836" s="1"/>
      <c r="M1836" s="1"/>
      <c r="Q1836" s="1"/>
      <c r="S1836" s="1"/>
    </row>
    <row r="1837" ht="15.75" customHeight="1">
      <c r="I1837" s="1"/>
      <c r="K1837" s="1"/>
      <c r="M1837" s="1"/>
      <c r="Q1837" s="1"/>
      <c r="S1837" s="1"/>
    </row>
    <row r="1838" ht="15.75" customHeight="1">
      <c r="I1838" s="1"/>
      <c r="K1838" s="1"/>
      <c r="M1838" s="1"/>
      <c r="Q1838" s="1"/>
      <c r="S1838" s="1"/>
    </row>
    <row r="1839" ht="15.75" customHeight="1">
      <c r="I1839" s="1"/>
      <c r="K1839" s="1"/>
      <c r="M1839" s="1"/>
      <c r="Q1839" s="1"/>
      <c r="S1839" s="1"/>
    </row>
    <row r="1840" ht="15.75" customHeight="1">
      <c r="I1840" s="1"/>
      <c r="K1840" s="1"/>
      <c r="M1840" s="1"/>
      <c r="Q1840" s="1"/>
      <c r="S1840" s="1"/>
    </row>
    <row r="1841" ht="15.75" customHeight="1">
      <c r="I1841" s="1"/>
      <c r="K1841" s="1"/>
      <c r="M1841" s="1"/>
      <c r="Q1841" s="1"/>
      <c r="S1841" s="1"/>
    </row>
    <row r="1842" ht="15.75" customHeight="1">
      <c r="I1842" s="1"/>
      <c r="K1842" s="1"/>
      <c r="M1842" s="1"/>
      <c r="Q1842" s="1"/>
      <c r="S1842" s="1"/>
    </row>
    <row r="1843" ht="15.75" customHeight="1">
      <c r="I1843" s="1"/>
      <c r="K1843" s="1"/>
      <c r="M1843" s="1"/>
      <c r="Q1843" s="1"/>
      <c r="S1843" s="1"/>
    </row>
    <row r="1844" ht="15.75" customHeight="1">
      <c r="I1844" s="1"/>
      <c r="K1844" s="1"/>
      <c r="M1844" s="1"/>
      <c r="Q1844" s="1"/>
      <c r="S1844" s="1"/>
    </row>
    <row r="1845" ht="15.75" customHeight="1">
      <c r="I1845" s="1"/>
      <c r="K1845" s="1"/>
      <c r="M1845" s="1"/>
      <c r="Q1845" s="1"/>
      <c r="S1845" s="1"/>
    </row>
    <row r="1846" ht="15.75" customHeight="1">
      <c r="I1846" s="1"/>
      <c r="K1846" s="1"/>
      <c r="M1846" s="1"/>
      <c r="Q1846" s="1"/>
      <c r="S1846" s="1"/>
    </row>
    <row r="1847" ht="15.75" customHeight="1">
      <c r="I1847" s="1"/>
      <c r="K1847" s="1"/>
      <c r="M1847" s="1"/>
      <c r="Q1847" s="1"/>
      <c r="S1847" s="1"/>
    </row>
    <row r="1848" ht="15.75" customHeight="1">
      <c r="I1848" s="1"/>
      <c r="K1848" s="1"/>
      <c r="M1848" s="1"/>
      <c r="Q1848" s="1"/>
      <c r="S1848" s="1"/>
    </row>
    <row r="1849" ht="15.75" customHeight="1">
      <c r="I1849" s="1"/>
      <c r="K1849" s="1"/>
      <c r="M1849" s="1"/>
      <c r="Q1849" s="1"/>
      <c r="S1849" s="1"/>
    </row>
    <row r="1850" ht="15.75" customHeight="1">
      <c r="I1850" s="1"/>
      <c r="K1850" s="1"/>
      <c r="M1850" s="1"/>
      <c r="Q1850" s="1"/>
      <c r="S1850" s="1"/>
    </row>
    <row r="1851" ht="15.75" customHeight="1">
      <c r="I1851" s="1"/>
      <c r="K1851" s="1"/>
      <c r="M1851" s="1"/>
      <c r="Q1851" s="1"/>
      <c r="S1851" s="1"/>
    </row>
    <row r="1852" ht="15.75" customHeight="1">
      <c r="I1852" s="1"/>
      <c r="K1852" s="1"/>
      <c r="M1852" s="1"/>
      <c r="Q1852" s="1"/>
      <c r="S1852" s="1"/>
    </row>
    <row r="1853" ht="15.75" customHeight="1">
      <c r="I1853" s="1"/>
      <c r="K1853" s="1"/>
      <c r="M1853" s="1"/>
      <c r="Q1853" s="1"/>
      <c r="S1853" s="1"/>
    </row>
    <row r="1854" ht="15.75" customHeight="1">
      <c r="I1854" s="1"/>
      <c r="K1854" s="1"/>
      <c r="M1854" s="1"/>
      <c r="Q1854" s="1"/>
      <c r="S1854" s="1"/>
    </row>
    <row r="1855" ht="15.75" customHeight="1">
      <c r="I1855" s="1"/>
      <c r="K1855" s="1"/>
      <c r="M1855" s="1"/>
      <c r="Q1855" s="1"/>
      <c r="S1855" s="1"/>
    </row>
    <row r="1856" ht="15.75" customHeight="1">
      <c r="I1856" s="1"/>
      <c r="K1856" s="1"/>
      <c r="M1856" s="1"/>
      <c r="Q1856" s="1"/>
      <c r="S1856" s="1"/>
    </row>
    <row r="1857" ht="15.75" customHeight="1">
      <c r="I1857" s="1"/>
      <c r="K1857" s="1"/>
      <c r="M1857" s="1"/>
      <c r="Q1857" s="1"/>
      <c r="S1857" s="1"/>
    </row>
    <row r="1858" ht="15.75" customHeight="1">
      <c r="I1858" s="1"/>
      <c r="K1858" s="1"/>
      <c r="M1858" s="1"/>
      <c r="Q1858" s="1"/>
      <c r="S1858" s="1"/>
    </row>
    <row r="1859" ht="15.75" customHeight="1">
      <c r="I1859" s="1"/>
      <c r="K1859" s="1"/>
      <c r="M1859" s="1"/>
      <c r="Q1859" s="1"/>
      <c r="S1859" s="1"/>
    </row>
    <row r="1860" ht="15.75" customHeight="1">
      <c r="I1860" s="1"/>
      <c r="K1860" s="1"/>
      <c r="M1860" s="1"/>
      <c r="Q1860" s="1"/>
      <c r="S1860" s="1"/>
    </row>
    <row r="1861" ht="15.75" customHeight="1">
      <c r="I1861" s="1"/>
      <c r="K1861" s="1"/>
      <c r="M1861" s="1"/>
      <c r="Q1861" s="1"/>
      <c r="S1861" s="1"/>
    </row>
    <row r="1862" ht="15.75" customHeight="1">
      <c r="I1862" s="1"/>
      <c r="K1862" s="1"/>
      <c r="M1862" s="1"/>
      <c r="Q1862" s="1"/>
      <c r="S1862" s="1"/>
    </row>
    <row r="1863" ht="15.75" customHeight="1">
      <c r="I1863" s="1"/>
      <c r="K1863" s="1"/>
      <c r="M1863" s="1"/>
      <c r="Q1863" s="1"/>
      <c r="S1863" s="1"/>
    </row>
    <row r="1864" ht="15.75" customHeight="1">
      <c r="I1864" s="1"/>
      <c r="K1864" s="1"/>
      <c r="M1864" s="1"/>
      <c r="Q1864" s="1"/>
      <c r="S1864" s="1"/>
    </row>
    <row r="1865" ht="15.75" customHeight="1">
      <c r="I1865" s="1"/>
      <c r="K1865" s="1"/>
      <c r="M1865" s="1"/>
      <c r="Q1865" s="1"/>
      <c r="S1865" s="1"/>
    </row>
    <row r="1866" ht="15.75" customHeight="1">
      <c r="I1866" s="1"/>
      <c r="K1866" s="1"/>
      <c r="M1866" s="1"/>
      <c r="Q1866" s="1"/>
      <c r="S1866" s="1"/>
    </row>
    <row r="1867" ht="15.75" customHeight="1">
      <c r="I1867" s="1"/>
      <c r="K1867" s="1"/>
      <c r="M1867" s="1"/>
      <c r="Q1867" s="1"/>
      <c r="S1867" s="1"/>
    </row>
    <row r="1868" ht="15.75" customHeight="1">
      <c r="I1868" s="1"/>
      <c r="K1868" s="1"/>
      <c r="M1868" s="1"/>
      <c r="Q1868" s="1"/>
      <c r="S1868" s="1"/>
    </row>
    <row r="1869" ht="15.75" customHeight="1">
      <c r="I1869" s="1"/>
      <c r="K1869" s="1"/>
      <c r="M1869" s="1"/>
      <c r="Q1869" s="1"/>
      <c r="S1869" s="1"/>
    </row>
    <row r="1870" ht="15.75" customHeight="1">
      <c r="I1870" s="1"/>
      <c r="K1870" s="1"/>
      <c r="M1870" s="1"/>
      <c r="Q1870" s="1"/>
      <c r="S1870" s="1"/>
    </row>
    <row r="1871" ht="15.75" customHeight="1">
      <c r="I1871" s="1"/>
      <c r="K1871" s="1"/>
      <c r="M1871" s="1"/>
      <c r="Q1871" s="1"/>
      <c r="S1871" s="1"/>
    </row>
    <row r="1872" ht="15.75" customHeight="1">
      <c r="I1872" s="1"/>
      <c r="K1872" s="1"/>
      <c r="M1872" s="1"/>
      <c r="Q1872" s="1"/>
      <c r="S1872" s="1"/>
    </row>
    <row r="1873" ht="15.75" customHeight="1">
      <c r="I1873" s="1"/>
      <c r="K1873" s="1"/>
      <c r="M1873" s="1"/>
      <c r="Q1873" s="1"/>
      <c r="S1873" s="1"/>
    </row>
    <row r="1874" ht="15.75" customHeight="1">
      <c r="I1874" s="1"/>
      <c r="K1874" s="1"/>
      <c r="M1874" s="1"/>
      <c r="Q1874" s="1"/>
      <c r="S1874" s="1"/>
    </row>
    <row r="1875" ht="15.75" customHeight="1">
      <c r="I1875" s="1"/>
      <c r="K1875" s="1"/>
      <c r="M1875" s="1"/>
      <c r="Q1875" s="1"/>
      <c r="S1875" s="1"/>
    </row>
    <row r="1876" ht="15.75" customHeight="1">
      <c r="I1876" s="1"/>
      <c r="K1876" s="1"/>
      <c r="M1876" s="1"/>
      <c r="Q1876" s="1"/>
      <c r="S1876" s="1"/>
    </row>
    <row r="1877" ht="15.75" customHeight="1">
      <c r="I1877" s="1"/>
      <c r="K1877" s="1"/>
      <c r="M1877" s="1"/>
      <c r="Q1877" s="1"/>
      <c r="S1877" s="1"/>
    </row>
    <row r="1878" ht="15.75" customHeight="1">
      <c r="I1878" s="1"/>
      <c r="K1878" s="1"/>
      <c r="M1878" s="1"/>
      <c r="Q1878" s="1"/>
      <c r="S1878" s="1"/>
    </row>
    <row r="1879" ht="15.75" customHeight="1">
      <c r="I1879" s="1"/>
      <c r="K1879" s="1"/>
      <c r="M1879" s="1"/>
      <c r="Q1879" s="1"/>
      <c r="S1879" s="1"/>
    </row>
    <row r="1880" ht="15.75" customHeight="1">
      <c r="I1880" s="1"/>
      <c r="K1880" s="1"/>
      <c r="M1880" s="1"/>
      <c r="Q1880" s="1"/>
      <c r="S1880" s="1"/>
    </row>
    <row r="1881" ht="15.75" customHeight="1">
      <c r="I1881" s="1"/>
      <c r="K1881" s="1"/>
      <c r="M1881" s="1"/>
      <c r="Q1881" s="1"/>
      <c r="S1881" s="1"/>
    </row>
    <row r="1882" ht="15.75" customHeight="1">
      <c r="I1882" s="1"/>
      <c r="K1882" s="1"/>
      <c r="M1882" s="1"/>
      <c r="Q1882" s="1"/>
      <c r="S1882" s="1"/>
    </row>
    <row r="1883" ht="15.75" customHeight="1">
      <c r="I1883" s="1"/>
      <c r="K1883" s="1"/>
      <c r="M1883" s="1"/>
      <c r="Q1883" s="1"/>
      <c r="S1883" s="1"/>
    </row>
    <row r="1884" ht="15.75" customHeight="1">
      <c r="I1884" s="1"/>
      <c r="K1884" s="1"/>
      <c r="M1884" s="1"/>
      <c r="Q1884" s="1"/>
      <c r="S1884" s="1"/>
    </row>
    <row r="1885" ht="15.75" customHeight="1">
      <c r="I1885" s="1"/>
      <c r="K1885" s="1"/>
      <c r="M1885" s="1"/>
      <c r="Q1885" s="1"/>
      <c r="S1885" s="1"/>
    </row>
    <row r="1886" ht="15.75" customHeight="1">
      <c r="I1886" s="1"/>
      <c r="K1886" s="1"/>
      <c r="M1886" s="1"/>
      <c r="Q1886" s="1"/>
      <c r="S1886" s="1"/>
    </row>
    <row r="1887" ht="15.75" customHeight="1">
      <c r="I1887" s="1"/>
      <c r="K1887" s="1"/>
      <c r="M1887" s="1"/>
      <c r="Q1887" s="1"/>
      <c r="S1887" s="1"/>
    </row>
    <row r="1888" ht="15.75" customHeight="1">
      <c r="I1888" s="1"/>
      <c r="K1888" s="1"/>
      <c r="M1888" s="1"/>
      <c r="Q1888" s="1"/>
      <c r="S1888" s="1"/>
    </row>
    <row r="1889" ht="15.75" customHeight="1">
      <c r="I1889" s="1"/>
      <c r="K1889" s="1"/>
      <c r="M1889" s="1"/>
      <c r="Q1889" s="1"/>
      <c r="S1889" s="1"/>
    </row>
    <row r="1890" ht="15.75" customHeight="1">
      <c r="I1890" s="1"/>
      <c r="K1890" s="1"/>
      <c r="M1890" s="1"/>
      <c r="Q1890" s="1"/>
      <c r="S1890" s="1"/>
    </row>
    <row r="1891" ht="15.75" customHeight="1">
      <c r="I1891" s="1"/>
      <c r="K1891" s="1"/>
      <c r="M1891" s="1"/>
      <c r="Q1891" s="1"/>
      <c r="S1891" s="1"/>
    </row>
    <row r="1892" ht="15.75" customHeight="1">
      <c r="I1892" s="1"/>
      <c r="K1892" s="1"/>
      <c r="M1892" s="1"/>
      <c r="Q1892" s="1"/>
      <c r="S1892" s="1"/>
    </row>
    <row r="1893" ht="15.75" customHeight="1">
      <c r="I1893" s="1"/>
      <c r="K1893" s="1"/>
      <c r="M1893" s="1"/>
      <c r="Q1893" s="1"/>
      <c r="S1893" s="1"/>
    </row>
    <row r="1894" ht="15.75" customHeight="1">
      <c r="I1894" s="1"/>
      <c r="K1894" s="1"/>
      <c r="M1894" s="1"/>
      <c r="Q1894" s="1"/>
      <c r="S1894" s="1"/>
    </row>
    <row r="1895" ht="15.75" customHeight="1">
      <c r="I1895" s="1"/>
      <c r="K1895" s="1"/>
      <c r="M1895" s="1"/>
      <c r="Q1895" s="1"/>
      <c r="S1895" s="1"/>
    </row>
    <row r="1896" ht="15.75" customHeight="1">
      <c r="I1896" s="1"/>
      <c r="K1896" s="1"/>
      <c r="M1896" s="1"/>
      <c r="Q1896" s="1"/>
      <c r="S1896" s="1"/>
    </row>
    <row r="1897" ht="15.75" customHeight="1">
      <c r="I1897" s="1"/>
      <c r="K1897" s="1"/>
      <c r="M1897" s="1"/>
      <c r="Q1897" s="1"/>
      <c r="S1897" s="1"/>
    </row>
    <row r="1898" ht="15.75" customHeight="1">
      <c r="I1898" s="1"/>
      <c r="K1898" s="1"/>
      <c r="M1898" s="1"/>
      <c r="Q1898" s="1"/>
      <c r="S1898" s="1"/>
    </row>
    <row r="1899" ht="15.75" customHeight="1">
      <c r="I1899" s="1"/>
      <c r="K1899" s="1"/>
      <c r="M1899" s="1"/>
      <c r="Q1899" s="1"/>
      <c r="S1899" s="1"/>
    </row>
    <row r="1900" ht="15.75" customHeight="1">
      <c r="I1900" s="1"/>
      <c r="K1900" s="1"/>
      <c r="M1900" s="1"/>
      <c r="Q1900" s="1"/>
      <c r="S1900" s="1"/>
    </row>
    <row r="1901" ht="15.75" customHeight="1">
      <c r="I1901" s="1"/>
      <c r="K1901" s="1"/>
      <c r="M1901" s="1"/>
      <c r="Q1901" s="1"/>
      <c r="S1901" s="1"/>
    </row>
    <row r="1902" ht="15.75" customHeight="1">
      <c r="I1902" s="1"/>
      <c r="K1902" s="1"/>
      <c r="M1902" s="1"/>
      <c r="Q1902" s="1"/>
      <c r="S1902" s="1"/>
    </row>
    <row r="1903" ht="15.75" customHeight="1">
      <c r="I1903" s="1"/>
      <c r="K1903" s="1"/>
      <c r="M1903" s="1"/>
      <c r="Q1903" s="1"/>
      <c r="S1903" s="1"/>
    </row>
    <row r="1904" ht="15.75" customHeight="1">
      <c r="I1904" s="1"/>
      <c r="K1904" s="1"/>
      <c r="M1904" s="1"/>
      <c r="Q1904" s="1"/>
      <c r="S1904" s="1"/>
    </row>
    <row r="1905" ht="15.75" customHeight="1">
      <c r="I1905" s="1"/>
      <c r="K1905" s="1"/>
      <c r="M1905" s="1"/>
      <c r="Q1905" s="1"/>
      <c r="S1905" s="1"/>
    </row>
    <row r="1906" ht="15.75" customHeight="1">
      <c r="I1906" s="1"/>
      <c r="K1906" s="1"/>
      <c r="M1906" s="1"/>
      <c r="Q1906" s="1"/>
      <c r="S1906" s="1"/>
    </row>
    <row r="1907" ht="15.75" customHeight="1">
      <c r="I1907" s="1"/>
      <c r="K1907" s="1"/>
      <c r="M1907" s="1"/>
      <c r="Q1907" s="1"/>
      <c r="S1907" s="1"/>
    </row>
    <row r="1908" ht="15.75" customHeight="1">
      <c r="I1908" s="1"/>
      <c r="K1908" s="1"/>
      <c r="M1908" s="1"/>
      <c r="Q1908" s="1"/>
      <c r="S1908" s="1"/>
    </row>
    <row r="1909" ht="15.75" customHeight="1">
      <c r="I1909" s="1"/>
      <c r="K1909" s="1"/>
      <c r="M1909" s="1"/>
      <c r="Q1909" s="1"/>
      <c r="S1909" s="1"/>
    </row>
    <row r="1910" ht="15.75" customHeight="1">
      <c r="I1910" s="1"/>
      <c r="K1910" s="1"/>
      <c r="M1910" s="1"/>
      <c r="Q1910" s="1"/>
      <c r="S1910" s="1"/>
    </row>
    <row r="1911" ht="15.75" customHeight="1">
      <c r="I1911" s="1"/>
      <c r="K1911" s="1"/>
      <c r="M1911" s="1"/>
      <c r="Q1911" s="1"/>
      <c r="S1911" s="1"/>
    </row>
    <row r="1912" ht="15.75" customHeight="1">
      <c r="I1912" s="1"/>
      <c r="K1912" s="1"/>
      <c r="M1912" s="1"/>
      <c r="Q1912" s="1"/>
      <c r="S1912" s="1"/>
    </row>
    <row r="1913" ht="15.75" customHeight="1">
      <c r="I1913" s="1"/>
      <c r="K1913" s="1"/>
      <c r="M1913" s="1"/>
      <c r="Q1913" s="1"/>
      <c r="S1913" s="1"/>
    </row>
    <row r="1914" ht="15.75" customHeight="1">
      <c r="I1914" s="1"/>
      <c r="K1914" s="1"/>
      <c r="M1914" s="1"/>
      <c r="Q1914" s="1"/>
      <c r="S1914" s="1"/>
    </row>
    <row r="1915" ht="15.75" customHeight="1">
      <c r="I1915" s="1"/>
      <c r="K1915" s="1"/>
      <c r="M1915" s="1"/>
      <c r="Q1915" s="1"/>
      <c r="S1915" s="1"/>
    </row>
    <row r="1916" ht="15.75" customHeight="1">
      <c r="I1916" s="1"/>
      <c r="K1916" s="1"/>
      <c r="M1916" s="1"/>
      <c r="Q1916" s="1"/>
      <c r="S1916" s="1"/>
    </row>
    <row r="1917" ht="15.75" customHeight="1">
      <c r="I1917" s="1"/>
      <c r="K1917" s="1"/>
      <c r="M1917" s="1"/>
      <c r="Q1917" s="1"/>
      <c r="S1917" s="1"/>
    </row>
    <row r="1918" ht="15.75" customHeight="1">
      <c r="I1918" s="1"/>
      <c r="K1918" s="1"/>
      <c r="M1918" s="1"/>
      <c r="Q1918" s="1"/>
      <c r="S1918" s="1"/>
    </row>
    <row r="1919" ht="15.75" customHeight="1">
      <c r="I1919" s="1"/>
      <c r="K1919" s="1"/>
      <c r="M1919" s="1"/>
      <c r="Q1919" s="1"/>
      <c r="S1919" s="1"/>
    </row>
    <row r="1920" ht="15.75" customHeight="1">
      <c r="I1920" s="1"/>
      <c r="K1920" s="1"/>
      <c r="M1920" s="1"/>
      <c r="Q1920" s="1"/>
      <c r="S1920" s="1"/>
    </row>
    <row r="1921" ht="15.75" customHeight="1">
      <c r="I1921" s="1"/>
      <c r="K1921" s="1"/>
      <c r="M1921" s="1"/>
      <c r="Q1921" s="1"/>
      <c r="S1921" s="1"/>
    </row>
    <row r="1922" ht="15.75" customHeight="1">
      <c r="I1922" s="1"/>
      <c r="K1922" s="1"/>
      <c r="M1922" s="1"/>
      <c r="Q1922" s="1"/>
      <c r="S1922" s="1"/>
    </row>
    <row r="1923" ht="15.75" customHeight="1">
      <c r="I1923" s="1"/>
      <c r="K1923" s="1"/>
      <c r="M1923" s="1"/>
      <c r="Q1923" s="1"/>
      <c r="S1923" s="1"/>
    </row>
    <row r="1924" ht="15.75" customHeight="1">
      <c r="I1924" s="1"/>
      <c r="K1924" s="1"/>
      <c r="M1924" s="1"/>
      <c r="Q1924" s="1"/>
      <c r="S1924" s="1"/>
    </row>
    <row r="1925" ht="15.75" customHeight="1">
      <c r="I1925" s="1"/>
      <c r="K1925" s="1"/>
      <c r="M1925" s="1"/>
      <c r="Q1925" s="1"/>
      <c r="S1925" s="1"/>
    </row>
    <row r="1926" ht="15.75" customHeight="1">
      <c r="I1926" s="1"/>
      <c r="K1926" s="1"/>
      <c r="M1926" s="1"/>
      <c r="Q1926" s="1"/>
      <c r="S1926" s="1"/>
    </row>
    <row r="1927" ht="15.75" customHeight="1">
      <c r="I1927" s="1"/>
      <c r="K1927" s="1"/>
      <c r="M1927" s="1"/>
      <c r="Q1927" s="1"/>
      <c r="S1927" s="1"/>
    </row>
    <row r="1928" ht="15.75" customHeight="1">
      <c r="I1928" s="1"/>
      <c r="K1928" s="1"/>
      <c r="M1928" s="1"/>
      <c r="Q1928" s="1"/>
      <c r="S1928" s="1"/>
    </row>
    <row r="1929" ht="15.75" customHeight="1">
      <c r="I1929" s="1"/>
      <c r="K1929" s="1"/>
      <c r="M1929" s="1"/>
      <c r="Q1929" s="1"/>
      <c r="S1929" s="1"/>
    </row>
    <row r="1930" ht="15.75" customHeight="1">
      <c r="I1930" s="1"/>
      <c r="K1930" s="1"/>
      <c r="M1930" s="1"/>
      <c r="Q1930" s="1"/>
      <c r="S1930" s="1"/>
    </row>
    <row r="1931" ht="15.75" customHeight="1">
      <c r="I1931" s="1"/>
      <c r="K1931" s="1"/>
      <c r="M1931" s="1"/>
      <c r="Q1931" s="1"/>
      <c r="S1931" s="1"/>
    </row>
    <row r="1932" ht="15.75" customHeight="1">
      <c r="I1932" s="1"/>
      <c r="K1932" s="1"/>
      <c r="M1932" s="1"/>
      <c r="Q1932" s="1"/>
      <c r="S1932" s="1"/>
    </row>
    <row r="1933" ht="15.75" customHeight="1">
      <c r="I1933" s="1"/>
      <c r="K1933" s="1"/>
      <c r="M1933" s="1"/>
      <c r="Q1933" s="1"/>
      <c r="S1933" s="1"/>
    </row>
    <row r="1934" ht="15.75" customHeight="1">
      <c r="I1934" s="1"/>
      <c r="K1934" s="1"/>
      <c r="M1934" s="1"/>
      <c r="Q1934" s="1"/>
      <c r="S1934" s="1"/>
    </row>
    <row r="1935" ht="15.75" customHeight="1">
      <c r="I1935" s="1"/>
      <c r="K1935" s="1"/>
      <c r="M1935" s="1"/>
      <c r="Q1935" s="1"/>
      <c r="S1935" s="1"/>
    </row>
    <row r="1936" ht="15.75" customHeight="1">
      <c r="I1936" s="1"/>
      <c r="K1936" s="1"/>
      <c r="M1936" s="1"/>
      <c r="Q1936" s="1"/>
      <c r="S1936" s="1"/>
    </row>
    <row r="1937" ht="15.75" customHeight="1">
      <c r="I1937" s="1"/>
      <c r="K1937" s="1"/>
      <c r="M1937" s="1"/>
      <c r="Q1937" s="1"/>
      <c r="S1937" s="1"/>
    </row>
    <row r="1938" ht="15.75" customHeight="1">
      <c r="I1938" s="1"/>
      <c r="K1938" s="1"/>
      <c r="M1938" s="1"/>
      <c r="Q1938" s="1"/>
      <c r="S1938" s="1"/>
    </row>
    <row r="1939" ht="15.75" customHeight="1">
      <c r="I1939" s="1"/>
      <c r="K1939" s="1"/>
      <c r="M1939" s="1"/>
      <c r="Q1939" s="1"/>
      <c r="S1939" s="1"/>
    </row>
    <row r="1940" ht="15.75" customHeight="1">
      <c r="I1940" s="1"/>
      <c r="K1940" s="1"/>
      <c r="M1940" s="1"/>
      <c r="Q1940" s="1"/>
      <c r="S1940" s="1"/>
    </row>
    <row r="1941" ht="15.75" customHeight="1">
      <c r="I1941" s="1"/>
      <c r="K1941" s="1"/>
      <c r="M1941" s="1"/>
      <c r="Q1941" s="1"/>
      <c r="S1941" s="1"/>
    </row>
    <row r="1942" ht="15.75" customHeight="1">
      <c r="I1942" s="1"/>
      <c r="K1942" s="1"/>
      <c r="M1942" s="1"/>
      <c r="Q1942" s="1"/>
      <c r="S1942" s="1"/>
    </row>
    <row r="1943" ht="15.75" customHeight="1">
      <c r="I1943" s="1"/>
      <c r="K1943" s="1"/>
      <c r="M1943" s="1"/>
      <c r="Q1943" s="1"/>
      <c r="S1943" s="1"/>
    </row>
    <row r="1944" ht="15.75" customHeight="1">
      <c r="I1944" s="1"/>
      <c r="K1944" s="1"/>
      <c r="M1944" s="1"/>
      <c r="Q1944" s="1"/>
      <c r="S1944" s="1"/>
    </row>
    <row r="1945" ht="15.75" customHeight="1">
      <c r="I1945" s="1"/>
      <c r="K1945" s="1"/>
      <c r="M1945" s="1"/>
      <c r="Q1945" s="1"/>
      <c r="S1945" s="1"/>
    </row>
    <row r="1946" ht="15.75" customHeight="1">
      <c r="I1946" s="1"/>
      <c r="K1946" s="1"/>
      <c r="M1946" s="1"/>
      <c r="Q1946" s="1"/>
      <c r="S1946" s="1"/>
    </row>
    <row r="1947" ht="15.75" customHeight="1">
      <c r="I1947" s="1"/>
      <c r="K1947" s="1"/>
      <c r="M1947" s="1"/>
      <c r="Q1947" s="1"/>
      <c r="S1947" s="1"/>
    </row>
    <row r="1948" ht="15.75" customHeight="1">
      <c r="I1948" s="1"/>
      <c r="K1948" s="1"/>
      <c r="M1948" s="1"/>
      <c r="Q1948" s="1"/>
      <c r="S1948" s="1"/>
    </row>
    <row r="1949" ht="15.75" customHeight="1">
      <c r="I1949" s="1"/>
      <c r="K1949" s="1"/>
      <c r="M1949" s="1"/>
      <c r="Q1949" s="1"/>
      <c r="S1949" s="1"/>
    </row>
    <row r="1950" ht="15.75" customHeight="1">
      <c r="I1950" s="1"/>
      <c r="K1950" s="1"/>
      <c r="M1950" s="1"/>
      <c r="Q1950" s="1"/>
      <c r="S1950" s="1"/>
    </row>
    <row r="1951" ht="15.75" customHeight="1">
      <c r="I1951" s="1"/>
      <c r="K1951" s="1"/>
      <c r="M1951" s="1"/>
      <c r="Q1951" s="1"/>
      <c r="S1951" s="1"/>
    </row>
    <row r="1952" ht="15.75" customHeight="1">
      <c r="I1952" s="1"/>
      <c r="K1952" s="1"/>
      <c r="M1952" s="1"/>
      <c r="Q1952" s="1"/>
      <c r="S1952" s="1"/>
    </row>
    <row r="1953" ht="15.75" customHeight="1">
      <c r="I1953" s="1"/>
      <c r="K1953" s="1"/>
      <c r="M1953" s="1"/>
      <c r="Q1953" s="1"/>
      <c r="S1953" s="1"/>
    </row>
    <row r="1954" ht="15.75" customHeight="1">
      <c r="I1954" s="1"/>
      <c r="K1954" s="1"/>
      <c r="M1954" s="1"/>
      <c r="Q1954" s="1"/>
      <c r="S1954" s="1"/>
    </row>
    <row r="1955" ht="15.75" customHeight="1">
      <c r="I1955" s="1"/>
      <c r="K1955" s="1"/>
      <c r="M1955" s="1"/>
      <c r="Q1955" s="1"/>
      <c r="S1955" s="1"/>
    </row>
    <row r="1956" ht="15.75" customHeight="1">
      <c r="I1956" s="1"/>
      <c r="K1956" s="1"/>
      <c r="M1956" s="1"/>
      <c r="Q1956" s="1"/>
      <c r="S1956" s="1"/>
    </row>
    <row r="1957" ht="15.75" customHeight="1">
      <c r="I1957" s="1"/>
      <c r="K1957" s="1"/>
      <c r="M1957" s="1"/>
      <c r="Q1957" s="1"/>
      <c r="S1957" s="1"/>
    </row>
    <row r="1958" ht="15.75" customHeight="1">
      <c r="I1958" s="1"/>
      <c r="K1958" s="1"/>
      <c r="M1958" s="1"/>
      <c r="Q1958" s="1"/>
      <c r="S1958" s="1"/>
    </row>
    <row r="1959" ht="15.75" customHeight="1">
      <c r="I1959" s="1"/>
      <c r="K1959" s="1"/>
      <c r="M1959" s="1"/>
      <c r="Q1959" s="1"/>
      <c r="S1959" s="1"/>
    </row>
    <row r="1960" ht="15.75" customHeight="1">
      <c r="I1960" s="1"/>
      <c r="K1960" s="1"/>
      <c r="M1960" s="1"/>
      <c r="Q1960" s="1"/>
      <c r="S1960" s="1"/>
    </row>
    <row r="1961" ht="15.75" customHeight="1">
      <c r="I1961" s="1"/>
      <c r="K1961" s="1"/>
      <c r="M1961" s="1"/>
      <c r="Q1961" s="1"/>
      <c r="S1961" s="1"/>
    </row>
    <row r="1962" ht="15.75" customHeight="1">
      <c r="I1962" s="1"/>
      <c r="K1962" s="1"/>
      <c r="M1962" s="1"/>
      <c r="Q1962" s="1"/>
      <c r="S1962" s="1"/>
    </row>
    <row r="1963" ht="15.75" customHeight="1">
      <c r="I1963" s="1"/>
      <c r="K1963" s="1"/>
      <c r="M1963" s="1"/>
      <c r="Q1963" s="1"/>
      <c r="S1963" s="1"/>
    </row>
    <row r="1964" ht="15.75" customHeight="1">
      <c r="I1964" s="1"/>
      <c r="K1964" s="1"/>
      <c r="M1964" s="1"/>
      <c r="Q1964" s="1"/>
      <c r="S1964" s="1"/>
    </row>
    <row r="1965" ht="15.75" customHeight="1">
      <c r="I1965" s="1"/>
      <c r="K1965" s="1"/>
      <c r="M1965" s="1"/>
      <c r="Q1965" s="1"/>
      <c r="S1965" s="1"/>
    </row>
    <row r="1966" ht="15.75" customHeight="1">
      <c r="I1966" s="1"/>
      <c r="K1966" s="1"/>
      <c r="M1966" s="1"/>
      <c r="Q1966" s="1"/>
      <c r="S1966" s="1"/>
    </row>
    <row r="1967" ht="15.75" customHeight="1">
      <c r="I1967" s="1"/>
      <c r="K1967" s="1"/>
      <c r="M1967" s="1"/>
      <c r="Q1967" s="1"/>
      <c r="S1967" s="1"/>
    </row>
    <row r="1968" ht="15.75" customHeight="1">
      <c r="I1968" s="1"/>
      <c r="K1968" s="1"/>
      <c r="M1968" s="1"/>
      <c r="Q1968" s="1"/>
      <c r="S1968" s="1"/>
    </row>
    <row r="1969" ht="15.75" customHeight="1">
      <c r="I1969" s="1"/>
      <c r="K1969" s="1"/>
      <c r="M1969" s="1"/>
      <c r="Q1969" s="1"/>
      <c r="S1969" s="1"/>
    </row>
    <row r="1970" ht="15.75" customHeight="1">
      <c r="I1970" s="1"/>
      <c r="K1970" s="1"/>
      <c r="M1970" s="1"/>
      <c r="Q1970" s="1"/>
      <c r="S1970" s="1"/>
    </row>
    <row r="1971" ht="15.75" customHeight="1">
      <c r="I1971" s="1"/>
      <c r="K1971" s="1"/>
      <c r="M1971" s="1"/>
      <c r="Q1971" s="1"/>
      <c r="S1971" s="1"/>
    </row>
    <row r="1972" ht="15.75" customHeight="1">
      <c r="I1972" s="1"/>
      <c r="K1972" s="1"/>
      <c r="M1972" s="1"/>
      <c r="Q1972" s="1"/>
      <c r="S1972" s="1"/>
    </row>
    <row r="1973" ht="15.75" customHeight="1">
      <c r="I1973" s="1"/>
      <c r="K1973" s="1"/>
      <c r="M1973" s="1"/>
      <c r="Q1973" s="1"/>
      <c r="S1973" s="1"/>
    </row>
    <row r="1974" ht="15.75" customHeight="1">
      <c r="I1974" s="1"/>
      <c r="K1974" s="1"/>
      <c r="M1974" s="1"/>
      <c r="Q1974" s="1"/>
      <c r="S1974" s="1"/>
    </row>
    <row r="1975" ht="15.75" customHeight="1">
      <c r="I1975" s="1"/>
      <c r="K1975" s="1"/>
      <c r="M1975" s="1"/>
      <c r="Q1975" s="1"/>
      <c r="S1975" s="1"/>
    </row>
    <row r="1976" ht="15.75" customHeight="1">
      <c r="I1976" s="1"/>
      <c r="K1976" s="1"/>
      <c r="M1976" s="1"/>
      <c r="Q1976" s="1"/>
      <c r="S1976" s="1"/>
    </row>
    <row r="1977" ht="15.75" customHeight="1">
      <c r="I1977" s="1"/>
      <c r="K1977" s="1"/>
      <c r="M1977" s="1"/>
      <c r="Q1977" s="1"/>
      <c r="S1977" s="1"/>
    </row>
    <row r="1978" ht="15.75" customHeight="1">
      <c r="I1978" s="1"/>
      <c r="K1978" s="1"/>
      <c r="M1978" s="1"/>
      <c r="Q1978" s="1"/>
      <c r="S1978" s="1"/>
    </row>
    <row r="1979" ht="15.75" customHeight="1">
      <c r="I1979" s="1"/>
      <c r="K1979" s="1"/>
      <c r="M1979" s="1"/>
      <c r="Q1979" s="1"/>
      <c r="S1979" s="1"/>
    </row>
    <row r="1980" ht="15.75" customHeight="1">
      <c r="I1980" s="1"/>
      <c r="K1980" s="1"/>
      <c r="M1980" s="1"/>
      <c r="Q1980" s="1"/>
      <c r="S1980" s="1"/>
    </row>
    <row r="1981" ht="15.75" customHeight="1">
      <c r="I1981" s="1"/>
      <c r="K1981" s="1"/>
      <c r="M1981" s="1"/>
      <c r="Q1981" s="1"/>
      <c r="S1981" s="1"/>
    </row>
    <row r="1982" ht="15.75" customHeight="1">
      <c r="I1982" s="1"/>
      <c r="K1982" s="1"/>
      <c r="M1982" s="1"/>
      <c r="Q1982" s="1"/>
      <c r="S1982" s="1"/>
    </row>
    <row r="1983" ht="15.75" customHeight="1">
      <c r="I1983" s="1"/>
      <c r="K1983" s="1"/>
      <c r="M1983" s="1"/>
      <c r="Q1983" s="1"/>
      <c r="S1983" s="1"/>
    </row>
    <row r="1984" ht="15.75" customHeight="1">
      <c r="I1984" s="1"/>
      <c r="K1984" s="1"/>
      <c r="M1984" s="1"/>
      <c r="Q1984" s="1"/>
      <c r="S1984" s="1"/>
    </row>
    <row r="1985" ht="15.75" customHeight="1">
      <c r="I1985" s="1"/>
      <c r="K1985" s="1"/>
      <c r="M1985" s="1"/>
      <c r="Q1985" s="1"/>
      <c r="S1985" s="1"/>
    </row>
    <row r="1986" ht="15.75" customHeight="1">
      <c r="I1986" s="1"/>
      <c r="K1986" s="1"/>
      <c r="M1986" s="1"/>
      <c r="Q1986" s="1"/>
      <c r="S1986" s="1"/>
    </row>
    <row r="1987" ht="15.75" customHeight="1">
      <c r="I1987" s="1"/>
      <c r="K1987" s="1"/>
      <c r="M1987" s="1"/>
      <c r="Q1987" s="1"/>
      <c r="S1987" s="1"/>
    </row>
    <row r="1988" ht="15.75" customHeight="1">
      <c r="I1988" s="1"/>
      <c r="K1988" s="1"/>
      <c r="M1988" s="1"/>
      <c r="Q1988" s="1"/>
      <c r="S1988" s="1"/>
    </row>
    <row r="1989" ht="15.75" customHeight="1">
      <c r="I1989" s="1"/>
      <c r="K1989" s="1"/>
      <c r="M1989" s="1"/>
      <c r="Q1989" s="1"/>
      <c r="S1989" s="1"/>
    </row>
    <row r="1990" ht="15.75" customHeight="1">
      <c r="I1990" s="1"/>
      <c r="K1990" s="1"/>
      <c r="M1990" s="1"/>
      <c r="Q1990" s="1"/>
      <c r="S1990" s="1"/>
    </row>
    <row r="1991" ht="15.75" customHeight="1">
      <c r="I1991" s="1"/>
      <c r="K1991" s="1"/>
      <c r="M1991" s="1"/>
      <c r="Q1991" s="1"/>
      <c r="S1991" s="1"/>
    </row>
    <row r="1992" ht="15.75" customHeight="1">
      <c r="I1992" s="1"/>
      <c r="K1992" s="1"/>
      <c r="M1992" s="1"/>
      <c r="Q1992" s="1"/>
      <c r="S1992" s="1"/>
    </row>
    <row r="1993" ht="15.75" customHeight="1">
      <c r="I1993" s="1"/>
      <c r="K1993" s="1"/>
      <c r="M1993" s="1"/>
      <c r="Q1993" s="1"/>
      <c r="S1993" s="1"/>
    </row>
    <row r="1994" ht="15.75" customHeight="1">
      <c r="I1994" s="1"/>
      <c r="K1994" s="1"/>
      <c r="M1994" s="1"/>
      <c r="Q1994" s="1"/>
      <c r="S1994" s="1"/>
    </row>
    <row r="1995" ht="15.75" customHeight="1">
      <c r="I1995" s="1"/>
      <c r="K1995" s="1"/>
      <c r="M1995" s="1"/>
      <c r="Q1995" s="1"/>
      <c r="S1995" s="1"/>
    </row>
    <row r="1996" ht="15.75" customHeight="1">
      <c r="I1996" s="1"/>
      <c r="K1996" s="1"/>
      <c r="M1996" s="1"/>
      <c r="Q1996" s="1"/>
      <c r="S1996" s="1"/>
    </row>
    <row r="1997" ht="15.75" customHeight="1">
      <c r="I1997" s="1"/>
      <c r="K1997" s="1"/>
      <c r="M1997" s="1"/>
      <c r="Q1997" s="1"/>
      <c r="S1997" s="1"/>
    </row>
    <row r="1998" ht="15.75" customHeight="1">
      <c r="I1998" s="1"/>
      <c r="K1998" s="1"/>
      <c r="M1998" s="1"/>
      <c r="Q1998" s="1"/>
      <c r="S1998" s="1"/>
    </row>
    <row r="1999" ht="15.75" customHeight="1">
      <c r="I1999" s="1"/>
      <c r="K1999" s="1"/>
      <c r="M1999" s="1"/>
      <c r="Q1999" s="1"/>
      <c r="S1999" s="1"/>
    </row>
    <row r="2000" ht="15.75" customHeight="1">
      <c r="I2000" s="1"/>
      <c r="K2000" s="1"/>
      <c r="M2000" s="1"/>
      <c r="Q2000" s="1"/>
      <c r="S2000" s="1"/>
    </row>
    <row r="2001" ht="15.75" customHeight="1">
      <c r="I2001" s="1"/>
      <c r="K2001" s="1"/>
      <c r="M2001" s="1"/>
      <c r="Q2001" s="1"/>
      <c r="S2001" s="1"/>
    </row>
    <row r="2002" ht="15.75" customHeight="1">
      <c r="I2002" s="1"/>
      <c r="K2002" s="1"/>
      <c r="M2002" s="1"/>
      <c r="Q2002" s="1"/>
      <c r="S2002" s="1"/>
    </row>
    <row r="2003" ht="15.75" customHeight="1">
      <c r="I2003" s="1"/>
      <c r="K2003" s="1"/>
      <c r="M2003" s="1"/>
      <c r="Q2003" s="1"/>
      <c r="S2003" s="1"/>
    </row>
    <row r="2004" ht="15.75" customHeight="1">
      <c r="I2004" s="1"/>
      <c r="K2004" s="1"/>
      <c r="M2004" s="1"/>
      <c r="Q2004" s="1"/>
      <c r="S2004" s="1"/>
    </row>
    <row r="2005" ht="15.75" customHeight="1">
      <c r="I2005" s="1"/>
      <c r="K2005" s="1"/>
      <c r="M2005" s="1"/>
      <c r="Q2005" s="1"/>
      <c r="S2005" s="1"/>
    </row>
    <row r="2006" ht="15.75" customHeight="1">
      <c r="I2006" s="1"/>
      <c r="K2006" s="1"/>
      <c r="M2006" s="1"/>
      <c r="Q2006" s="1"/>
      <c r="S2006" s="1"/>
    </row>
    <row r="2007" ht="15.75" customHeight="1">
      <c r="I2007" s="1"/>
      <c r="K2007" s="1"/>
      <c r="M2007" s="1"/>
      <c r="Q2007" s="1"/>
      <c r="S2007" s="1"/>
    </row>
    <row r="2008" ht="15.75" customHeight="1">
      <c r="I2008" s="1"/>
      <c r="K2008" s="1"/>
      <c r="M2008" s="1"/>
      <c r="Q2008" s="1"/>
      <c r="S2008" s="1"/>
    </row>
    <row r="2009" ht="15.75" customHeight="1">
      <c r="I2009" s="1"/>
      <c r="K2009" s="1"/>
      <c r="M2009" s="1"/>
      <c r="Q2009" s="1"/>
      <c r="S2009" s="1"/>
    </row>
    <row r="2010" ht="15.75" customHeight="1">
      <c r="I2010" s="1"/>
      <c r="K2010" s="1"/>
      <c r="M2010" s="1"/>
      <c r="Q2010" s="1"/>
      <c r="S2010" s="1"/>
    </row>
    <row r="2011" ht="15.75" customHeight="1">
      <c r="I2011" s="1"/>
      <c r="K2011" s="1"/>
      <c r="M2011" s="1"/>
      <c r="Q2011" s="1"/>
      <c r="S2011" s="1"/>
    </row>
    <row r="2012" ht="15.75" customHeight="1">
      <c r="I2012" s="1"/>
      <c r="K2012" s="1"/>
      <c r="M2012" s="1"/>
      <c r="Q2012" s="1"/>
      <c r="S2012" s="1"/>
    </row>
    <row r="2013" ht="15.75" customHeight="1">
      <c r="I2013" s="1"/>
      <c r="K2013" s="1"/>
      <c r="M2013" s="1"/>
      <c r="Q2013" s="1"/>
      <c r="S2013" s="1"/>
    </row>
    <row r="2014" ht="15.75" customHeight="1">
      <c r="I2014" s="1"/>
      <c r="K2014" s="1"/>
      <c r="M2014" s="1"/>
      <c r="Q2014" s="1"/>
      <c r="S2014" s="1"/>
    </row>
    <row r="2015" ht="15.75" customHeight="1">
      <c r="I2015" s="1"/>
      <c r="K2015" s="1"/>
      <c r="M2015" s="1"/>
      <c r="Q2015" s="1"/>
      <c r="S2015" s="1"/>
    </row>
    <row r="2016" ht="15.75" customHeight="1">
      <c r="I2016" s="1"/>
      <c r="K2016" s="1"/>
      <c r="M2016" s="1"/>
      <c r="Q2016" s="1"/>
      <c r="S2016" s="1"/>
    </row>
    <row r="2017" ht="15.75" customHeight="1">
      <c r="I2017" s="1"/>
      <c r="K2017" s="1"/>
      <c r="M2017" s="1"/>
      <c r="Q2017" s="1"/>
      <c r="S2017" s="1"/>
    </row>
    <row r="2018" ht="15.75" customHeight="1">
      <c r="I2018" s="1"/>
      <c r="K2018" s="1"/>
      <c r="M2018" s="1"/>
      <c r="Q2018" s="1"/>
      <c r="S2018" s="1"/>
    </row>
    <row r="2019" ht="15.75" customHeight="1">
      <c r="I2019" s="1"/>
      <c r="K2019" s="1"/>
      <c r="M2019" s="1"/>
      <c r="Q2019" s="1"/>
      <c r="S2019" s="1"/>
    </row>
    <row r="2020" ht="15.75" customHeight="1">
      <c r="I2020" s="1"/>
      <c r="K2020" s="1"/>
      <c r="M2020" s="1"/>
      <c r="Q2020" s="1"/>
      <c r="S2020" s="1"/>
    </row>
    <row r="2021" ht="15.75" customHeight="1">
      <c r="I2021" s="1"/>
      <c r="K2021" s="1"/>
      <c r="M2021" s="1"/>
      <c r="Q2021" s="1"/>
      <c r="S2021" s="1"/>
    </row>
    <row r="2022" ht="15.75" customHeight="1">
      <c r="I2022" s="1"/>
      <c r="K2022" s="1"/>
      <c r="M2022" s="1"/>
      <c r="Q2022" s="1"/>
      <c r="S2022" s="1"/>
    </row>
    <row r="2023" ht="15.75" customHeight="1">
      <c r="I2023" s="1"/>
      <c r="K2023" s="1"/>
      <c r="M2023" s="1"/>
      <c r="Q2023" s="1"/>
      <c r="S2023" s="1"/>
    </row>
    <row r="2024" ht="15.75" customHeight="1">
      <c r="I2024" s="1"/>
      <c r="K2024" s="1"/>
      <c r="M2024" s="1"/>
      <c r="Q2024" s="1"/>
      <c r="S2024" s="1"/>
    </row>
    <row r="2025" ht="15.75" customHeight="1">
      <c r="I2025" s="1"/>
      <c r="K2025" s="1"/>
      <c r="M2025" s="1"/>
      <c r="Q2025" s="1"/>
      <c r="S2025" s="1"/>
    </row>
    <row r="2026" ht="15.75" customHeight="1">
      <c r="I2026" s="1"/>
      <c r="K2026" s="1"/>
      <c r="M2026" s="1"/>
      <c r="Q2026" s="1"/>
      <c r="S2026" s="1"/>
    </row>
    <row r="2027" ht="15.75" customHeight="1">
      <c r="I2027" s="1"/>
      <c r="K2027" s="1"/>
      <c r="M2027" s="1"/>
      <c r="Q2027" s="1"/>
      <c r="S2027" s="1"/>
    </row>
    <row r="2028" ht="15.75" customHeight="1">
      <c r="I2028" s="1"/>
      <c r="K2028" s="1"/>
      <c r="M2028" s="1"/>
      <c r="Q2028" s="1"/>
      <c r="S2028" s="1"/>
    </row>
    <row r="2029" ht="15.75" customHeight="1">
      <c r="I2029" s="1"/>
      <c r="K2029" s="1"/>
      <c r="M2029" s="1"/>
      <c r="Q2029" s="1"/>
      <c r="S2029" s="1"/>
    </row>
    <row r="2030" ht="15.75" customHeight="1">
      <c r="I2030" s="1"/>
      <c r="K2030" s="1"/>
      <c r="M2030" s="1"/>
      <c r="Q2030" s="1"/>
      <c r="S2030" s="1"/>
    </row>
    <row r="2031" ht="15.75" customHeight="1">
      <c r="I2031" s="1"/>
      <c r="K2031" s="1"/>
      <c r="M2031" s="1"/>
      <c r="Q2031" s="1"/>
      <c r="S2031" s="1"/>
    </row>
    <row r="2032" ht="15.75" customHeight="1">
      <c r="I2032" s="1"/>
      <c r="K2032" s="1"/>
      <c r="M2032" s="1"/>
      <c r="Q2032" s="1"/>
      <c r="S2032" s="1"/>
    </row>
    <row r="2033" ht="15.75" customHeight="1">
      <c r="I2033" s="1"/>
      <c r="K2033" s="1"/>
      <c r="M2033" s="1"/>
      <c r="Q2033" s="1"/>
      <c r="S2033" s="1"/>
    </row>
    <row r="2034" ht="15.75" customHeight="1">
      <c r="I2034" s="1"/>
      <c r="K2034" s="1"/>
      <c r="M2034" s="1"/>
      <c r="Q2034" s="1"/>
      <c r="S2034" s="1"/>
    </row>
    <row r="2035" ht="15.75" customHeight="1">
      <c r="I2035" s="1"/>
      <c r="K2035" s="1"/>
      <c r="M2035" s="1"/>
      <c r="Q2035" s="1"/>
      <c r="S2035" s="1"/>
    </row>
    <row r="2036" ht="15.75" customHeight="1">
      <c r="I2036" s="1"/>
      <c r="K2036" s="1"/>
      <c r="M2036" s="1"/>
      <c r="Q2036" s="1"/>
      <c r="S2036" s="1"/>
    </row>
    <row r="2037" ht="15.75" customHeight="1">
      <c r="I2037" s="1"/>
      <c r="K2037" s="1"/>
      <c r="M2037" s="1"/>
      <c r="Q2037" s="1"/>
      <c r="S2037" s="1"/>
    </row>
    <row r="2038" ht="15.75" customHeight="1">
      <c r="I2038" s="1"/>
      <c r="K2038" s="1"/>
      <c r="M2038" s="1"/>
      <c r="Q2038" s="1"/>
      <c r="S2038" s="1"/>
    </row>
    <row r="2039" ht="15.75" customHeight="1">
      <c r="I2039" s="1"/>
      <c r="K2039" s="1"/>
      <c r="M2039" s="1"/>
      <c r="Q2039" s="1"/>
      <c r="S2039" s="1"/>
    </row>
    <row r="2040" ht="15.75" customHeight="1">
      <c r="I2040" s="1"/>
      <c r="K2040" s="1"/>
      <c r="M2040" s="1"/>
      <c r="Q2040" s="1"/>
      <c r="S2040" s="1"/>
    </row>
    <row r="2041" ht="15.75" customHeight="1">
      <c r="I2041" s="1"/>
      <c r="K2041" s="1"/>
      <c r="M2041" s="1"/>
      <c r="Q2041" s="1"/>
      <c r="S2041" s="1"/>
    </row>
    <row r="2042" ht="15.75" customHeight="1">
      <c r="I2042" s="1"/>
      <c r="K2042" s="1"/>
      <c r="M2042" s="1"/>
      <c r="Q2042" s="1"/>
      <c r="S2042" s="1"/>
    </row>
    <row r="2043" ht="15.75" customHeight="1">
      <c r="I2043" s="1"/>
      <c r="K2043" s="1"/>
      <c r="M2043" s="1"/>
      <c r="Q2043" s="1"/>
      <c r="S2043" s="1"/>
    </row>
    <row r="2044" ht="15.75" customHeight="1">
      <c r="I2044" s="1"/>
      <c r="K2044" s="1"/>
      <c r="M2044" s="1"/>
      <c r="Q2044" s="1"/>
      <c r="S2044" s="1"/>
    </row>
    <row r="2045" ht="15.75" customHeight="1">
      <c r="I2045" s="1"/>
      <c r="K2045" s="1"/>
      <c r="M2045" s="1"/>
      <c r="Q2045" s="1"/>
      <c r="S2045" s="1"/>
    </row>
    <row r="2046" ht="15.75" customHeight="1">
      <c r="I2046" s="1"/>
      <c r="K2046" s="1"/>
      <c r="M2046" s="1"/>
      <c r="Q2046" s="1"/>
      <c r="S2046" s="1"/>
    </row>
    <row r="2047" ht="15.75" customHeight="1">
      <c r="I2047" s="1"/>
      <c r="K2047" s="1"/>
      <c r="M2047" s="1"/>
      <c r="Q2047" s="1"/>
      <c r="S2047" s="1"/>
    </row>
    <row r="2048" ht="15.75" customHeight="1">
      <c r="I2048" s="1"/>
      <c r="K2048" s="1"/>
      <c r="M2048" s="1"/>
      <c r="Q2048" s="1"/>
      <c r="S2048" s="1"/>
    </row>
    <row r="2049" ht="15.75" customHeight="1">
      <c r="I2049" s="1"/>
      <c r="K2049" s="1"/>
      <c r="M2049" s="1"/>
      <c r="Q2049" s="1"/>
      <c r="S2049" s="1"/>
    </row>
    <row r="2050" ht="15.75" customHeight="1">
      <c r="I2050" s="1"/>
      <c r="K2050" s="1"/>
      <c r="M2050" s="1"/>
      <c r="Q2050" s="1"/>
      <c r="S2050" s="1"/>
    </row>
    <row r="2051" ht="15.75" customHeight="1">
      <c r="I2051" s="1"/>
      <c r="K2051" s="1"/>
      <c r="M2051" s="1"/>
      <c r="Q2051" s="1"/>
      <c r="S2051" s="1"/>
    </row>
    <row r="2052" ht="15.75" customHeight="1">
      <c r="I2052" s="1"/>
      <c r="K2052" s="1"/>
      <c r="M2052" s="1"/>
      <c r="Q2052" s="1"/>
      <c r="S2052" s="1"/>
    </row>
    <row r="2053" ht="15.75" customHeight="1">
      <c r="I2053" s="1"/>
      <c r="K2053" s="1"/>
      <c r="M2053" s="1"/>
      <c r="Q2053" s="1"/>
      <c r="S2053" s="1"/>
    </row>
    <row r="2054" ht="15.75" customHeight="1">
      <c r="I2054" s="1"/>
      <c r="K2054" s="1"/>
      <c r="M2054" s="1"/>
      <c r="Q2054" s="1"/>
      <c r="S2054" s="1"/>
    </row>
    <row r="2055" ht="15.75" customHeight="1">
      <c r="I2055" s="1"/>
      <c r="K2055" s="1"/>
      <c r="M2055" s="1"/>
      <c r="Q2055" s="1"/>
      <c r="S2055" s="1"/>
    </row>
    <row r="2056" ht="15.75" customHeight="1">
      <c r="I2056" s="1"/>
      <c r="K2056" s="1"/>
      <c r="M2056" s="1"/>
      <c r="Q2056" s="1"/>
      <c r="S2056" s="1"/>
    </row>
    <row r="2057" ht="15.75" customHeight="1">
      <c r="I2057" s="1"/>
      <c r="K2057" s="1"/>
      <c r="M2057" s="1"/>
      <c r="Q2057" s="1"/>
      <c r="S2057" s="1"/>
    </row>
    <row r="2058" ht="15.75" customHeight="1">
      <c r="I2058" s="1"/>
      <c r="K2058" s="1"/>
      <c r="M2058" s="1"/>
      <c r="Q2058" s="1"/>
      <c r="S2058" s="1"/>
    </row>
    <row r="2059" ht="15.75" customHeight="1">
      <c r="I2059" s="1"/>
      <c r="K2059" s="1"/>
      <c r="M2059" s="1"/>
      <c r="Q2059" s="1"/>
      <c r="S2059" s="1"/>
    </row>
    <row r="2060" ht="15.75" customHeight="1">
      <c r="I2060" s="1"/>
      <c r="K2060" s="1"/>
      <c r="M2060" s="1"/>
      <c r="Q2060" s="1"/>
      <c r="S2060" s="1"/>
    </row>
    <row r="2061" ht="15.75" customHeight="1">
      <c r="I2061" s="1"/>
      <c r="K2061" s="1"/>
      <c r="M2061" s="1"/>
      <c r="Q2061" s="1"/>
      <c r="S2061" s="1"/>
    </row>
    <row r="2062" ht="15.75" customHeight="1">
      <c r="I2062" s="1"/>
      <c r="K2062" s="1"/>
      <c r="M2062" s="1"/>
      <c r="Q2062" s="1"/>
      <c r="S2062" s="1"/>
    </row>
    <row r="2063" ht="15.75" customHeight="1">
      <c r="I2063" s="1"/>
      <c r="K2063" s="1"/>
      <c r="M2063" s="1"/>
      <c r="Q2063" s="1"/>
      <c r="S2063" s="1"/>
    </row>
    <row r="2064" ht="15.75" customHeight="1">
      <c r="I2064" s="1"/>
      <c r="K2064" s="1"/>
      <c r="M2064" s="1"/>
      <c r="Q2064" s="1"/>
      <c r="S2064" s="1"/>
    </row>
    <row r="2065" ht="15.75" customHeight="1">
      <c r="I2065" s="1"/>
      <c r="K2065" s="1"/>
      <c r="M2065" s="1"/>
      <c r="Q2065" s="1"/>
      <c r="S2065" s="1"/>
    </row>
    <row r="2066" ht="15.75" customHeight="1">
      <c r="I2066" s="1"/>
      <c r="K2066" s="1"/>
      <c r="M2066" s="1"/>
      <c r="Q2066" s="1"/>
      <c r="S2066" s="1"/>
    </row>
    <row r="2067" ht="15.75" customHeight="1">
      <c r="I2067" s="1"/>
      <c r="K2067" s="1"/>
      <c r="M2067" s="1"/>
      <c r="Q2067" s="1"/>
      <c r="S2067" s="1"/>
    </row>
    <row r="2068" ht="15.75" customHeight="1">
      <c r="I2068" s="1"/>
      <c r="K2068" s="1"/>
      <c r="M2068" s="1"/>
      <c r="Q2068" s="1"/>
      <c r="S2068" s="1"/>
    </row>
    <row r="2069" ht="15.75" customHeight="1">
      <c r="I2069" s="1"/>
      <c r="K2069" s="1"/>
      <c r="M2069" s="1"/>
      <c r="Q2069" s="1"/>
      <c r="S2069" s="1"/>
    </row>
    <row r="2070" ht="15.75" customHeight="1">
      <c r="I2070" s="1"/>
      <c r="K2070" s="1"/>
      <c r="M2070" s="1"/>
      <c r="Q2070" s="1"/>
      <c r="S2070" s="1"/>
    </row>
    <row r="2071" ht="15.75" customHeight="1">
      <c r="I2071" s="1"/>
      <c r="K2071" s="1"/>
      <c r="M2071" s="1"/>
      <c r="Q2071" s="1"/>
      <c r="S2071" s="1"/>
    </row>
    <row r="2072" ht="15.75" customHeight="1">
      <c r="I2072" s="1"/>
      <c r="K2072" s="1"/>
      <c r="M2072" s="1"/>
      <c r="Q2072" s="1"/>
      <c r="S2072" s="1"/>
    </row>
    <row r="2073" ht="15.75" customHeight="1">
      <c r="I2073" s="1"/>
      <c r="K2073" s="1"/>
      <c r="M2073" s="1"/>
      <c r="Q2073" s="1"/>
      <c r="S2073" s="1"/>
    </row>
    <row r="2074" ht="15.75" customHeight="1">
      <c r="I2074" s="1"/>
      <c r="K2074" s="1"/>
      <c r="M2074" s="1"/>
      <c r="Q2074" s="1"/>
      <c r="S2074" s="1"/>
    </row>
    <row r="2075" ht="15.75" customHeight="1">
      <c r="I2075" s="1"/>
      <c r="K2075" s="1"/>
      <c r="M2075" s="1"/>
      <c r="Q2075" s="1"/>
      <c r="S2075" s="1"/>
    </row>
    <row r="2076" ht="15.75" customHeight="1">
      <c r="I2076" s="1"/>
      <c r="K2076" s="1"/>
      <c r="M2076" s="1"/>
      <c r="Q2076" s="1"/>
      <c r="S2076" s="1"/>
    </row>
    <row r="2077" ht="15.75" customHeight="1">
      <c r="I2077" s="1"/>
      <c r="K2077" s="1"/>
      <c r="M2077" s="1"/>
      <c r="Q2077" s="1"/>
      <c r="S2077" s="1"/>
    </row>
    <row r="2078" ht="15.75" customHeight="1">
      <c r="I2078" s="1"/>
      <c r="K2078" s="1"/>
      <c r="M2078" s="1"/>
      <c r="Q2078" s="1"/>
      <c r="S2078" s="1"/>
    </row>
    <row r="2079" ht="15.75" customHeight="1">
      <c r="I2079" s="1"/>
      <c r="K2079" s="1"/>
      <c r="M2079" s="1"/>
      <c r="Q2079" s="1"/>
      <c r="S2079" s="1"/>
    </row>
    <row r="2080" ht="15.75" customHeight="1">
      <c r="I2080" s="1"/>
      <c r="K2080" s="1"/>
      <c r="M2080" s="1"/>
      <c r="Q2080" s="1"/>
      <c r="S2080" s="1"/>
    </row>
    <row r="2081" ht="15.75" customHeight="1">
      <c r="I2081" s="1"/>
      <c r="K2081" s="1"/>
      <c r="M2081" s="1"/>
      <c r="Q2081" s="1"/>
      <c r="S2081" s="1"/>
    </row>
    <row r="2082" ht="15.75" customHeight="1">
      <c r="I2082" s="1"/>
      <c r="K2082" s="1"/>
      <c r="M2082" s="1"/>
      <c r="Q2082" s="1"/>
      <c r="S2082" s="1"/>
    </row>
    <row r="2083" ht="15.75" customHeight="1">
      <c r="I2083" s="1"/>
      <c r="K2083" s="1"/>
      <c r="M2083" s="1"/>
      <c r="Q2083" s="1"/>
      <c r="S2083" s="1"/>
    </row>
    <row r="2084" ht="15.75" customHeight="1">
      <c r="I2084" s="1"/>
      <c r="K2084" s="1"/>
      <c r="M2084" s="1"/>
      <c r="Q2084" s="1"/>
      <c r="S2084" s="1"/>
    </row>
    <row r="2085" ht="15.75" customHeight="1">
      <c r="I2085" s="1"/>
      <c r="K2085" s="1"/>
      <c r="M2085" s="1"/>
      <c r="Q2085" s="1"/>
      <c r="S2085" s="1"/>
    </row>
    <row r="2086" ht="15.75" customHeight="1">
      <c r="I2086" s="1"/>
      <c r="K2086" s="1"/>
      <c r="M2086" s="1"/>
      <c r="Q2086" s="1"/>
      <c r="S2086" s="1"/>
    </row>
    <row r="2087" ht="15.75" customHeight="1">
      <c r="I2087" s="1"/>
      <c r="K2087" s="1"/>
      <c r="M2087" s="1"/>
      <c r="Q2087" s="1"/>
      <c r="S2087" s="1"/>
    </row>
    <row r="2088" ht="15.75" customHeight="1">
      <c r="I2088" s="1"/>
      <c r="K2088" s="1"/>
      <c r="M2088" s="1"/>
      <c r="Q2088" s="1"/>
      <c r="S2088" s="1"/>
    </row>
    <row r="2089" ht="15.75" customHeight="1">
      <c r="I2089" s="1"/>
      <c r="K2089" s="1"/>
      <c r="M2089" s="1"/>
      <c r="Q2089" s="1"/>
      <c r="S2089" s="1"/>
    </row>
    <row r="2090" ht="15.75" customHeight="1">
      <c r="I2090" s="1"/>
      <c r="K2090" s="1"/>
      <c r="M2090" s="1"/>
      <c r="Q2090" s="1"/>
      <c r="S2090" s="1"/>
    </row>
    <row r="2091" ht="15.75" customHeight="1">
      <c r="I2091" s="1"/>
      <c r="K2091" s="1"/>
      <c r="M2091" s="1"/>
      <c r="Q2091" s="1"/>
      <c r="S2091" s="1"/>
    </row>
    <row r="2092" ht="15.75" customHeight="1">
      <c r="I2092" s="1"/>
      <c r="K2092" s="1"/>
      <c r="M2092" s="1"/>
      <c r="Q2092" s="1"/>
      <c r="S2092" s="1"/>
    </row>
    <row r="2093" ht="15.75" customHeight="1">
      <c r="I2093" s="1"/>
      <c r="K2093" s="1"/>
      <c r="M2093" s="1"/>
      <c r="Q2093" s="1"/>
      <c r="S2093" s="1"/>
    </row>
    <row r="2094" ht="15.75" customHeight="1">
      <c r="I2094" s="1"/>
      <c r="K2094" s="1"/>
      <c r="M2094" s="1"/>
      <c r="Q2094" s="1"/>
      <c r="S2094" s="1"/>
    </row>
    <row r="2095" ht="15.75" customHeight="1">
      <c r="I2095" s="1"/>
      <c r="K2095" s="1"/>
      <c r="M2095" s="1"/>
      <c r="Q2095" s="1"/>
      <c r="S2095" s="1"/>
    </row>
    <row r="2096" ht="15.75" customHeight="1">
      <c r="I2096" s="1"/>
      <c r="K2096" s="1"/>
      <c r="M2096" s="1"/>
      <c r="Q2096" s="1"/>
      <c r="S2096" s="1"/>
    </row>
    <row r="2097" ht="15.75" customHeight="1">
      <c r="I2097" s="1"/>
      <c r="K2097" s="1"/>
      <c r="M2097" s="1"/>
      <c r="Q2097" s="1"/>
      <c r="S2097" s="1"/>
    </row>
    <row r="2098" ht="15.75" customHeight="1">
      <c r="I2098" s="1"/>
      <c r="K2098" s="1"/>
      <c r="M2098" s="1"/>
      <c r="Q2098" s="1"/>
      <c r="S2098" s="1"/>
    </row>
    <row r="2099" ht="15.75" customHeight="1">
      <c r="I2099" s="1"/>
      <c r="K2099" s="1"/>
      <c r="M2099" s="1"/>
      <c r="Q2099" s="1"/>
      <c r="S2099" s="1"/>
    </row>
    <row r="2100" ht="15.75" customHeight="1">
      <c r="I2100" s="1"/>
      <c r="K2100" s="1"/>
      <c r="M2100" s="1"/>
      <c r="Q2100" s="1"/>
      <c r="S2100" s="1"/>
    </row>
    <row r="2101" ht="15.75" customHeight="1">
      <c r="I2101" s="1"/>
      <c r="K2101" s="1"/>
      <c r="M2101" s="1"/>
      <c r="Q2101" s="1"/>
      <c r="S2101" s="1"/>
    </row>
    <row r="2102" ht="15.75" customHeight="1">
      <c r="I2102" s="1"/>
      <c r="K2102" s="1"/>
      <c r="M2102" s="1"/>
      <c r="Q2102" s="1"/>
      <c r="S2102" s="1"/>
    </row>
    <row r="2103" ht="15.75" customHeight="1">
      <c r="I2103" s="1"/>
      <c r="K2103" s="1"/>
      <c r="M2103" s="1"/>
      <c r="Q2103" s="1"/>
      <c r="S2103" s="1"/>
    </row>
    <row r="2104" ht="15.75" customHeight="1">
      <c r="I2104" s="1"/>
      <c r="K2104" s="1"/>
      <c r="M2104" s="1"/>
      <c r="Q2104" s="1"/>
      <c r="S2104" s="1"/>
    </row>
    <row r="2105" ht="15.75" customHeight="1">
      <c r="I2105" s="1"/>
      <c r="K2105" s="1"/>
      <c r="M2105" s="1"/>
      <c r="Q2105" s="1"/>
      <c r="S2105" s="1"/>
    </row>
    <row r="2106" ht="15.75" customHeight="1">
      <c r="I2106" s="1"/>
      <c r="K2106" s="1"/>
      <c r="M2106" s="1"/>
      <c r="Q2106" s="1"/>
      <c r="S2106" s="1"/>
    </row>
    <row r="2107" ht="15.75" customHeight="1">
      <c r="I2107" s="1"/>
      <c r="K2107" s="1"/>
      <c r="M2107" s="1"/>
      <c r="Q2107" s="1"/>
      <c r="S2107" s="1"/>
    </row>
    <row r="2108" ht="15.75" customHeight="1">
      <c r="I2108" s="1"/>
      <c r="K2108" s="1"/>
      <c r="M2108" s="1"/>
      <c r="Q2108" s="1"/>
      <c r="S2108" s="1"/>
    </row>
    <row r="2109" ht="15.75" customHeight="1">
      <c r="I2109" s="1"/>
      <c r="K2109" s="1"/>
      <c r="M2109" s="1"/>
      <c r="Q2109" s="1"/>
      <c r="S2109" s="1"/>
    </row>
    <row r="2110" ht="15.75" customHeight="1">
      <c r="I2110" s="1"/>
      <c r="K2110" s="1"/>
      <c r="M2110" s="1"/>
      <c r="Q2110" s="1"/>
      <c r="S2110" s="1"/>
    </row>
    <row r="2111" ht="15.75" customHeight="1">
      <c r="I2111" s="1"/>
      <c r="K2111" s="1"/>
      <c r="M2111" s="1"/>
      <c r="Q2111" s="1"/>
      <c r="S2111" s="1"/>
    </row>
    <row r="2112" ht="15.75" customHeight="1">
      <c r="I2112" s="1"/>
      <c r="K2112" s="1"/>
      <c r="M2112" s="1"/>
      <c r="Q2112" s="1"/>
      <c r="S2112" s="1"/>
    </row>
    <row r="2113" ht="15.75" customHeight="1">
      <c r="I2113" s="1"/>
      <c r="K2113" s="1"/>
      <c r="M2113" s="1"/>
      <c r="Q2113" s="1"/>
      <c r="S2113" s="1"/>
    </row>
    <row r="2114" ht="15.75" customHeight="1">
      <c r="I2114" s="1"/>
      <c r="K2114" s="1"/>
      <c r="M2114" s="1"/>
      <c r="Q2114" s="1"/>
      <c r="S2114" s="1"/>
    </row>
    <row r="2115" ht="15.75" customHeight="1">
      <c r="I2115" s="1"/>
      <c r="K2115" s="1"/>
      <c r="M2115" s="1"/>
      <c r="Q2115" s="1"/>
      <c r="S2115" s="1"/>
    </row>
    <row r="2116" ht="15.75" customHeight="1">
      <c r="I2116" s="1"/>
      <c r="K2116" s="1"/>
      <c r="M2116" s="1"/>
      <c r="Q2116" s="1"/>
      <c r="S2116" s="1"/>
    </row>
    <row r="2117" ht="15.75" customHeight="1">
      <c r="I2117" s="1"/>
      <c r="K2117" s="1"/>
      <c r="M2117" s="1"/>
      <c r="Q2117" s="1"/>
      <c r="S2117" s="1"/>
    </row>
    <row r="2118" ht="15.75" customHeight="1">
      <c r="I2118" s="1"/>
      <c r="K2118" s="1"/>
      <c r="M2118" s="1"/>
      <c r="Q2118" s="1"/>
      <c r="S2118" s="1"/>
    </row>
    <row r="2119" ht="15.75" customHeight="1">
      <c r="I2119" s="1"/>
      <c r="K2119" s="1"/>
      <c r="M2119" s="1"/>
      <c r="Q2119" s="1"/>
      <c r="S2119" s="1"/>
    </row>
    <row r="2120" ht="15.75" customHeight="1">
      <c r="I2120" s="1"/>
      <c r="K2120" s="1"/>
      <c r="M2120" s="1"/>
      <c r="Q2120" s="1"/>
      <c r="S2120" s="1"/>
    </row>
    <row r="2121" ht="15.75" customHeight="1">
      <c r="I2121" s="1"/>
      <c r="K2121" s="1"/>
      <c r="M2121" s="1"/>
      <c r="Q2121" s="1"/>
      <c r="S2121" s="1"/>
    </row>
    <row r="2122" ht="15.75" customHeight="1">
      <c r="I2122" s="1"/>
      <c r="K2122" s="1"/>
      <c r="M2122" s="1"/>
      <c r="Q2122" s="1"/>
      <c r="S2122" s="1"/>
    </row>
    <row r="2123" ht="15.75" customHeight="1">
      <c r="I2123" s="1"/>
      <c r="K2123" s="1"/>
      <c r="M2123" s="1"/>
      <c r="Q2123" s="1"/>
      <c r="S2123" s="1"/>
    </row>
    <row r="2124" ht="15.75" customHeight="1">
      <c r="I2124" s="1"/>
      <c r="K2124" s="1"/>
      <c r="M2124" s="1"/>
      <c r="Q2124" s="1"/>
      <c r="S2124" s="1"/>
    </row>
    <row r="2125" ht="15.75" customHeight="1">
      <c r="I2125" s="1"/>
      <c r="K2125" s="1"/>
      <c r="M2125" s="1"/>
      <c r="Q2125" s="1"/>
      <c r="S2125" s="1"/>
    </row>
    <row r="2126" ht="15.75" customHeight="1">
      <c r="I2126" s="1"/>
      <c r="K2126" s="1"/>
      <c r="M2126" s="1"/>
      <c r="Q2126" s="1"/>
      <c r="S2126" s="1"/>
    </row>
    <row r="2127" ht="15.75" customHeight="1">
      <c r="I2127" s="1"/>
      <c r="K2127" s="1"/>
      <c r="M2127" s="1"/>
      <c r="Q2127" s="1"/>
      <c r="S2127" s="1"/>
    </row>
    <row r="2128" ht="15.75" customHeight="1">
      <c r="I2128" s="1"/>
      <c r="K2128" s="1"/>
      <c r="M2128" s="1"/>
      <c r="Q2128" s="1"/>
      <c r="S2128" s="1"/>
    </row>
    <row r="2129" ht="15.75" customHeight="1">
      <c r="I2129" s="1"/>
      <c r="K2129" s="1"/>
      <c r="M2129" s="1"/>
      <c r="Q2129" s="1"/>
      <c r="S2129" s="1"/>
    </row>
    <row r="2130" ht="15.75" customHeight="1">
      <c r="I2130" s="1"/>
      <c r="K2130" s="1"/>
      <c r="M2130" s="1"/>
      <c r="Q2130" s="1"/>
      <c r="S2130" s="1"/>
    </row>
    <row r="2131" ht="15.75" customHeight="1">
      <c r="I2131" s="1"/>
      <c r="K2131" s="1"/>
      <c r="M2131" s="1"/>
      <c r="Q2131" s="1"/>
      <c r="S2131" s="1"/>
    </row>
    <row r="2132" ht="15.75" customHeight="1">
      <c r="I2132" s="1"/>
      <c r="K2132" s="1"/>
      <c r="M2132" s="1"/>
      <c r="Q2132" s="1"/>
      <c r="S2132" s="1"/>
    </row>
    <row r="2133" ht="15.75" customHeight="1">
      <c r="I2133" s="1"/>
      <c r="K2133" s="1"/>
      <c r="M2133" s="1"/>
      <c r="Q2133" s="1"/>
      <c r="S2133" s="1"/>
    </row>
    <row r="2134" ht="15.75" customHeight="1">
      <c r="I2134" s="1"/>
      <c r="K2134" s="1"/>
      <c r="M2134" s="1"/>
      <c r="Q2134" s="1"/>
      <c r="S2134" s="1"/>
    </row>
    <row r="2135" ht="15.75" customHeight="1">
      <c r="I2135" s="1"/>
      <c r="K2135" s="1"/>
      <c r="M2135" s="1"/>
      <c r="Q2135" s="1"/>
      <c r="S2135" s="1"/>
    </row>
    <row r="2136" ht="15.75" customHeight="1">
      <c r="I2136" s="1"/>
      <c r="K2136" s="1"/>
      <c r="M2136" s="1"/>
      <c r="Q2136" s="1"/>
      <c r="S2136" s="1"/>
    </row>
    <row r="2137" ht="15.75" customHeight="1">
      <c r="I2137" s="1"/>
      <c r="K2137" s="1"/>
      <c r="M2137" s="1"/>
      <c r="Q2137" s="1"/>
      <c r="S2137" s="1"/>
    </row>
    <row r="2138" ht="15.75" customHeight="1">
      <c r="I2138" s="1"/>
      <c r="K2138" s="1"/>
      <c r="M2138" s="1"/>
      <c r="Q2138" s="1"/>
      <c r="S2138" s="1"/>
    </row>
    <row r="2139" ht="15.75" customHeight="1">
      <c r="I2139" s="1"/>
      <c r="K2139" s="1"/>
      <c r="M2139" s="1"/>
      <c r="Q2139" s="1"/>
      <c r="S2139" s="1"/>
    </row>
    <row r="2140" ht="15.75" customHeight="1">
      <c r="I2140" s="1"/>
      <c r="K2140" s="1"/>
      <c r="M2140" s="1"/>
      <c r="Q2140" s="1"/>
      <c r="S2140" s="1"/>
    </row>
    <row r="2141" ht="15.75" customHeight="1">
      <c r="I2141" s="1"/>
      <c r="K2141" s="1"/>
      <c r="M2141" s="1"/>
      <c r="Q2141" s="1"/>
      <c r="S2141" s="1"/>
    </row>
    <row r="2142" ht="15.75" customHeight="1">
      <c r="I2142" s="1"/>
      <c r="K2142" s="1"/>
      <c r="M2142" s="1"/>
      <c r="Q2142" s="1"/>
      <c r="S2142" s="1"/>
    </row>
    <row r="2143" ht="15.75" customHeight="1">
      <c r="I2143" s="1"/>
      <c r="K2143" s="1"/>
      <c r="M2143" s="1"/>
      <c r="Q2143" s="1"/>
      <c r="S2143" s="1"/>
    </row>
    <row r="2144" ht="15.75" customHeight="1">
      <c r="I2144" s="1"/>
      <c r="K2144" s="1"/>
      <c r="M2144" s="1"/>
      <c r="Q2144" s="1"/>
      <c r="S2144" s="1"/>
    </row>
    <row r="2145" ht="15.75" customHeight="1">
      <c r="I2145" s="1"/>
      <c r="K2145" s="1"/>
      <c r="M2145" s="1"/>
      <c r="Q2145" s="1"/>
      <c r="S2145" s="1"/>
    </row>
    <row r="2146" ht="15.75" customHeight="1">
      <c r="I2146" s="1"/>
      <c r="K2146" s="1"/>
      <c r="M2146" s="1"/>
      <c r="Q2146" s="1"/>
      <c r="S2146" s="1"/>
    </row>
    <row r="2147" ht="15.75" customHeight="1">
      <c r="I2147" s="1"/>
      <c r="K2147" s="1"/>
      <c r="M2147" s="1"/>
      <c r="Q2147" s="1"/>
      <c r="S2147" s="1"/>
    </row>
    <row r="2148" ht="15.75" customHeight="1">
      <c r="I2148" s="1"/>
      <c r="K2148" s="1"/>
      <c r="M2148" s="1"/>
      <c r="Q2148" s="1"/>
      <c r="S2148" s="1"/>
    </row>
    <row r="2149" ht="15.75" customHeight="1">
      <c r="I2149" s="1"/>
      <c r="K2149" s="1"/>
      <c r="M2149" s="1"/>
      <c r="Q2149" s="1"/>
      <c r="S2149" s="1"/>
    </row>
    <row r="2150" ht="15.75" customHeight="1">
      <c r="I2150" s="1"/>
      <c r="K2150" s="1"/>
      <c r="M2150" s="1"/>
      <c r="Q2150" s="1"/>
      <c r="S2150" s="1"/>
    </row>
    <row r="2151" ht="15.75" customHeight="1">
      <c r="I2151" s="1"/>
      <c r="K2151" s="1"/>
      <c r="M2151" s="1"/>
      <c r="Q2151" s="1"/>
      <c r="S2151" s="1"/>
    </row>
    <row r="2152" ht="15.75" customHeight="1">
      <c r="I2152" s="1"/>
      <c r="K2152" s="1"/>
      <c r="M2152" s="1"/>
      <c r="Q2152" s="1"/>
      <c r="S2152" s="1"/>
    </row>
    <row r="2153" ht="15.75" customHeight="1">
      <c r="I2153" s="1"/>
      <c r="K2153" s="1"/>
      <c r="M2153" s="1"/>
      <c r="Q2153" s="1"/>
      <c r="S2153" s="1"/>
    </row>
    <row r="2154" ht="15.75" customHeight="1">
      <c r="I2154" s="1"/>
      <c r="K2154" s="1"/>
      <c r="M2154" s="1"/>
      <c r="Q2154" s="1"/>
      <c r="S2154" s="1"/>
    </row>
    <row r="2155" ht="15.75" customHeight="1">
      <c r="I2155" s="1"/>
      <c r="K2155" s="1"/>
      <c r="M2155" s="1"/>
      <c r="Q2155" s="1"/>
      <c r="S2155" s="1"/>
    </row>
    <row r="2156" ht="15.75" customHeight="1">
      <c r="I2156" s="1"/>
      <c r="K2156" s="1"/>
      <c r="M2156" s="1"/>
      <c r="Q2156" s="1"/>
      <c r="S2156" s="1"/>
    </row>
    <row r="2157" ht="15.75" customHeight="1">
      <c r="I2157" s="1"/>
      <c r="K2157" s="1"/>
      <c r="M2157" s="1"/>
      <c r="Q2157" s="1"/>
      <c r="S2157" s="1"/>
    </row>
    <row r="2158" ht="15.75" customHeight="1">
      <c r="I2158" s="1"/>
      <c r="K2158" s="1"/>
      <c r="M2158" s="1"/>
      <c r="Q2158" s="1"/>
      <c r="S2158" s="1"/>
    </row>
    <row r="2159" ht="15.75" customHeight="1">
      <c r="I2159" s="1"/>
      <c r="K2159" s="1"/>
      <c r="M2159" s="1"/>
      <c r="Q2159" s="1"/>
      <c r="S2159" s="1"/>
    </row>
    <row r="2160" ht="15.75" customHeight="1">
      <c r="I2160" s="1"/>
      <c r="K2160" s="1"/>
      <c r="M2160" s="1"/>
      <c r="Q2160" s="1"/>
      <c r="S2160" s="1"/>
    </row>
    <row r="2161" ht="15.75" customHeight="1">
      <c r="I2161" s="1"/>
      <c r="K2161" s="1"/>
      <c r="M2161" s="1"/>
      <c r="Q2161" s="1"/>
      <c r="S2161" s="1"/>
    </row>
    <row r="2162" ht="15.75" customHeight="1">
      <c r="I2162" s="1"/>
      <c r="K2162" s="1"/>
      <c r="M2162" s="1"/>
      <c r="Q2162" s="1"/>
      <c r="S2162" s="1"/>
    </row>
    <row r="2163" ht="15.75" customHeight="1">
      <c r="I2163" s="1"/>
      <c r="K2163" s="1"/>
      <c r="M2163" s="1"/>
      <c r="Q2163" s="1"/>
      <c r="S2163" s="1"/>
    </row>
    <row r="2164" ht="15.75" customHeight="1">
      <c r="I2164" s="1"/>
      <c r="K2164" s="1"/>
      <c r="M2164" s="1"/>
      <c r="Q2164" s="1"/>
      <c r="S2164" s="1"/>
    </row>
    <row r="2165" ht="15.75" customHeight="1">
      <c r="I2165" s="1"/>
      <c r="K2165" s="1"/>
      <c r="M2165" s="1"/>
      <c r="Q2165" s="1"/>
      <c r="S2165" s="1"/>
    </row>
    <row r="2166" ht="15.75" customHeight="1">
      <c r="I2166" s="1"/>
      <c r="K2166" s="1"/>
      <c r="M2166" s="1"/>
      <c r="Q2166" s="1"/>
      <c r="S2166" s="1"/>
    </row>
    <row r="2167" ht="15.75" customHeight="1">
      <c r="I2167" s="1"/>
      <c r="K2167" s="1"/>
      <c r="M2167" s="1"/>
      <c r="Q2167" s="1"/>
      <c r="S2167" s="1"/>
    </row>
    <row r="2168" ht="15.75" customHeight="1">
      <c r="I2168" s="1"/>
      <c r="K2168" s="1"/>
      <c r="M2168" s="1"/>
      <c r="Q2168" s="1"/>
      <c r="S2168" s="1"/>
    </row>
  </sheetData>
  <autoFilter ref="$A$1:$AY$1174"/>
  <hyperlinks>
    <hyperlink r:id="rId1" ref="AY755"/>
    <hyperlink r:id="rId2" ref="AY756"/>
  </hyperlinks>
  <drawing r:id="rId3"/>
</worksheet>
</file>